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D:\ueh_lecs\phân tích dự án đầu tư\"/>
    </mc:Choice>
  </mc:AlternateContent>
  <xr:revisionPtr revIDLastSave="0" documentId="13_ncr:1_{884124CA-DE4A-4730-8921-64360A187858}" xr6:coauthVersionLast="47" xr6:coauthVersionMax="47" xr10:uidLastSave="{00000000-0000-0000-0000-000000000000}"/>
  <bookViews>
    <workbookView xWindow="-120" yWindow="-120" windowWidth="29040" windowHeight="15720" firstSheet="1" activeTab="1" xr2:uid="{00000000-000D-0000-FFFF-FFFF00000000}"/>
  </bookViews>
  <sheets>
    <sheet name="CB_DATA_" sheetId="3" state="veryHidden" r:id="rId1"/>
    <sheet name="Costing" sheetId="2" r:id="rId2"/>
    <sheet name="Tornado chart" sheetId="4" r:id="rId3"/>
    <sheet name="Spider chart" sheetId="5" r:id="rId4"/>
  </sheets>
  <externalReferences>
    <externalReference r:id="rId5"/>
  </externalReferences>
  <definedNames>
    <definedName name="CB_02eb81f7ae20400298a92850d46302e4" localSheetId="1" hidden="1">Costing!$V$159</definedName>
    <definedName name="CB_1df51c54b04a4e378521df6240b5e8c1" localSheetId="0" hidden="1">#N/A</definedName>
    <definedName name="CB_29e1326a44d846a5a58831cd7e3e4fab" localSheetId="0" hidden="1">#N/A</definedName>
    <definedName name="CB_58867157ae304c0fb6f5b2b70e858d8a" localSheetId="1" hidden="1">Costing!$AC$6</definedName>
    <definedName name="CB_620df081d4d240099b4a54c062a2abb7" localSheetId="1" hidden="1">Costing!$V$154</definedName>
    <definedName name="CB_945e0f8513f647dfb6595f3deb5e404a" localSheetId="1" hidden="1">Costing!$V$160</definedName>
    <definedName name="CB_9b39998320c247549fbed8b69b81e321" localSheetId="1" hidden="1">Costing!$V$173</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"'638849299476141599"</definedName>
    <definedName name="CB_Block_00000000000000000000000000000001" localSheetId="1" hidden="1">"'638849299475859745"</definedName>
    <definedName name="CB_Block_00000000000000000000000000000003" localSheetId="0" hidden="1">"'11.1.5046.0"</definedName>
    <definedName name="CB_Block_00000000000000000000000000000003" localSheetId="1" hidden="1">"'11.1.5046.0"</definedName>
    <definedName name="CB_BlockExt_00000000000000000000000000000003" localSheetId="0" hidden="1">"'11.1.2.4.900"</definedName>
    <definedName name="CB_BlockExt_00000000000000000000000000000003" localSheetId="1" hidden="1">"'11.1.2.4.900"</definedName>
    <definedName name="CB_c13b8130b72c4fcfba305a003f21fd91" localSheetId="1" hidden="1">Costing!$AC$15</definedName>
    <definedName name="CB_e5816675670b4e0590237af2d1e9ca9b" localSheetId="1" hidden="1">Costing!$V$155</definedName>
    <definedName name="CB_ea9a1e34ee56408d841732465028b5d5" localSheetId="0" hidden="1">#N/A</definedName>
    <definedName name="CB_f117f702cece43a1a4f10db291cb1f2d" localSheetId="0" hidden="1">#N/A</definedName>
    <definedName name="CB_f2fe0e4a371a4407aca2cb4b2d26cf2e" localSheetId="1" hidden="1">Costing!$V$172</definedName>
    <definedName name="CB_f70ab72635074cd59269903746fc1874" localSheetId="1" hidden="1">Costing!$AC$7</definedName>
    <definedName name="CBCR_16665ef78c2a4a5287a7a1166fb33b3b" localSheetId="1" hidden="1">Costing!$V$173</definedName>
    <definedName name="CBCR_43848e78f3f340d4866100e2cc7c95f3" localSheetId="1" hidden="1">Costing!$V$172</definedName>
    <definedName name="CBCR_70e7a07764704ba3afde207869aaf991" localSheetId="1" hidden="1">Costing!$V$155</definedName>
    <definedName name="CBCR_a5d2bd612fe7423d9f4b94a64c0b6812" localSheetId="1" hidden="1">Costing!$V$159</definedName>
    <definedName name="CBCR_dccf423f5e1f472f97d6f348efbfc955" localSheetId="1" hidden="1">Costing!$V$154</definedName>
    <definedName name="CBCR_f4730e72f284458fbff17afa18b6f3bb" localSheetId="1" hidden="1">Costing!$V$160</definedName>
    <definedName name="CBWorkbookPriority" localSheetId="0" hidden="1">-3353334759891450</definedName>
    <definedName name="CBx_854dd59d9a2948b5892ff39b391ea265" localSheetId="0" hidden="1">"'Costing'!$A$1"</definedName>
    <definedName name="CBx_923de31eb8b945ceb4266acf60b4c476" localSheetId="0" hidden="1">"'CB_DATA_'!$A$1"</definedName>
    <definedName name="CBx_Sheet_Guid" localSheetId="0" hidden="1">"'923de31e-b8b9-45ce-b426-6acf60b4c476"</definedName>
    <definedName name="CBx_Sheet_Guid" localSheetId="1" hidden="1">"'854dd59d-9a29-48b5-892f-f39b391ea265"</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A11" i="3"/>
  <c r="AE20" i="2" l="1"/>
  <c r="U521" i="2" a="1"/>
  <c r="U521" i="2" s="1"/>
  <c r="U527" i="2"/>
  <c r="U528" i="2"/>
  <c r="U472" i="2"/>
  <c r="U473" i="2"/>
  <c r="U474" i="2"/>
  <c r="U475" i="2"/>
  <c r="U476" i="2" s="1"/>
  <c r="U477" i="2" s="1"/>
  <c r="U478" i="2" s="1"/>
  <c r="U479" i="2" s="1"/>
  <c r="U480" i="2" s="1"/>
  <c r="U481" i="2" s="1"/>
  <c r="U482" i="2" s="1"/>
  <c r="U483" i="2" s="1"/>
  <c r="U484" i="2" s="1"/>
  <c r="U485" i="2" s="1"/>
  <c r="U486" i="2" s="1"/>
  <c r="U487" i="2" s="1"/>
  <c r="U488" i="2" s="1"/>
  <c r="U489" i="2" s="1"/>
  <c r="U490" i="2" s="1"/>
  <c r="U491" i="2" s="1"/>
  <c r="U492" i="2" s="1"/>
  <c r="U493" i="2" s="1"/>
  <c r="U494" i="2" s="1"/>
  <c r="U495" i="2" s="1"/>
  <c r="U496" i="2" s="1"/>
  <c r="U497" i="2" s="1"/>
  <c r="U498" i="2" s="1"/>
  <c r="U499" i="2" s="1"/>
  <c r="U500" i="2" s="1"/>
  <c r="U501" i="2" s="1"/>
  <c r="U502" i="2" s="1"/>
  <c r="U503" i="2" s="1"/>
  <c r="U504" i="2" s="1"/>
  <c r="U505" i="2" s="1"/>
  <c r="U471" i="2"/>
  <c r="X468" i="2"/>
  <c r="Y468" i="2" s="1"/>
  <c r="Z468" i="2" s="1"/>
  <c r="AA468" i="2" s="1"/>
  <c r="AB468" i="2" s="1"/>
  <c r="AC468" i="2" s="1"/>
  <c r="AD468" i="2" s="1"/>
  <c r="AE468" i="2" s="1"/>
  <c r="AF468" i="2" s="1"/>
  <c r="AG468" i="2" s="1"/>
  <c r="AH468" i="2" s="1"/>
  <c r="AI468" i="2" s="1"/>
  <c r="AJ468" i="2" s="1"/>
  <c r="AK468" i="2" s="1"/>
  <c r="AL468" i="2" s="1"/>
  <c r="AM468" i="2" s="1"/>
  <c r="AN468" i="2" s="1"/>
  <c r="AO468" i="2" s="1"/>
  <c r="AP468" i="2" s="1"/>
  <c r="AQ468" i="2" s="1"/>
  <c r="U469" i="2"/>
  <c r="U442" i="2"/>
  <c r="U443" i="2" s="1"/>
  <c r="U444" i="2" s="1"/>
  <c r="U445" i="2" s="1"/>
  <c r="U446" i="2" s="1"/>
  <c r="U447" i="2" s="1"/>
  <c r="U448" i="2" s="1"/>
  <c r="U449" i="2" s="1"/>
  <c r="U450" i="2" s="1"/>
  <c r="U451" i="2" s="1"/>
  <c r="U452" i="2" s="1"/>
  <c r="U453" i="2" s="1"/>
  <c r="U454" i="2" s="1"/>
  <c r="U455" i="2" s="1"/>
  <c r="U456" i="2" s="1"/>
  <c r="U457" i="2" s="1"/>
  <c r="U458" i="2" s="1"/>
  <c r="U459" i="2" s="1"/>
  <c r="U460" i="2" s="1"/>
  <c r="U461" i="2" s="1"/>
  <c r="U440" i="2"/>
  <c r="AB440" i="2" s="1"/>
  <c r="U283" i="2"/>
  <c r="AB283" i="2" s="1"/>
  <c r="U331" i="2"/>
  <c r="U332" i="2" s="1"/>
  <c r="U333" i="2" s="1"/>
  <c r="U334" i="2" s="1"/>
  <c r="U335" i="2" s="1"/>
  <c r="U336" i="2" s="1"/>
  <c r="U337" i="2" s="1"/>
  <c r="U338" i="2" s="1"/>
  <c r="U339" i="2" s="1"/>
  <c r="U340" i="2" s="1"/>
  <c r="U341" i="2" s="1"/>
  <c r="U342" i="2" s="1"/>
  <c r="U343" i="2" s="1"/>
  <c r="U344" i="2" s="1"/>
  <c r="U345" i="2" s="1"/>
  <c r="U346" i="2" s="1"/>
  <c r="U347" i="2" s="1"/>
  <c r="U348" i="2" s="1"/>
  <c r="U349" i="2" s="1"/>
  <c r="U350" i="2" s="1"/>
  <c r="U351" i="2" s="1"/>
  <c r="U352" i="2" s="1"/>
  <c r="U353" i="2" s="1"/>
  <c r="U354" i="2" s="1"/>
  <c r="U355" i="2" s="1"/>
  <c r="U356" i="2" s="1"/>
  <c r="U357" i="2" s="1"/>
  <c r="U358" i="2" s="1"/>
  <c r="U359" i="2" s="1"/>
  <c r="U360" i="2" s="1"/>
  <c r="U361" i="2" s="1"/>
  <c r="U362" i="2" s="1"/>
  <c r="U363" i="2" s="1"/>
  <c r="U364" i="2" s="1"/>
  <c r="U365" i="2" s="1"/>
  <c r="U366" i="2" s="1"/>
  <c r="U367" i="2" s="1"/>
  <c r="U368" i="2" s="1"/>
  <c r="U369" i="2" s="1"/>
  <c r="U370" i="2" s="1"/>
  <c r="U371" i="2" s="1"/>
  <c r="U372" i="2" s="1"/>
  <c r="U373" i="2" s="1"/>
  <c r="U374" i="2" s="1"/>
  <c r="U375" i="2" s="1"/>
  <c r="U376" i="2" s="1"/>
  <c r="U377" i="2" s="1"/>
  <c r="U378" i="2" s="1"/>
  <c r="U379" i="2" s="1"/>
  <c r="U380" i="2" s="1"/>
  <c r="U329" i="2"/>
  <c r="U384" i="2"/>
  <c r="AB384" i="2" s="1"/>
  <c r="U285" i="2"/>
  <c r="U286" i="2" s="1"/>
  <c r="U287" i="2" s="1"/>
  <c r="U288" i="2" s="1"/>
  <c r="U289" i="2" s="1"/>
  <c r="U290" i="2" s="1"/>
  <c r="U291" i="2" s="1"/>
  <c r="U292" i="2" s="1"/>
  <c r="U293" i="2" s="1"/>
  <c r="U294" i="2" s="1"/>
  <c r="U295" i="2" s="1"/>
  <c r="U296" i="2" s="1"/>
  <c r="U297" i="2" s="1"/>
  <c r="U298" i="2" s="1"/>
  <c r="U299" i="2" s="1"/>
  <c r="U300" i="2" s="1"/>
  <c r="U301" i="2" s="1"/>
  <c r="U302" i="2" s="1"/>
  <c r="U303" i="2" s="1"/>
  <c r="U304" i="2" s="1"/>
  <c r="U305" i="2" s="1"/>
  <c r="U306" i="2" s="1"/>
  <c r="U307" i="2" s="1"/>
  <c r="U308" i="2" s="1"/>
  <c r="U309" i="2" s="1"/>
  <c r="U310" i="2" s="1"/>
  <c r="U311" i="2" s="1"/>
  <c r="U312" i="2" s="1"/>
  <c r="U313" i="2" s="1"/>
  <c r="U314" i="2" s="1"/>
  <c r="U315" i="2" s="1"/>
  <c r="U316" i="2" s="1"/>
  <c r="U317" i="2" s="1"/>
  <c r="U318" i="2" s="1"/>
  <c r="U319" i="2" s="1"/>
  <c r="U320" i="2" s="1"/>
  <c r="U321" i="2" s="1"/>
  <c r="U322" i="2" s="1"/>
  <c r="U323" i="2" s="1"/>
  <c r="U324" i="2" s="1"/>
  <c r="U193" i="2"/>
  <c r="U194" i="2" s="1"/>
  <c r="U195" i="2" s="1"/>
  <c r="U196" i="2" s="1"/>
  <c r="U197" i="2" s="1"/>
  <c r="U198" i="2" s="1"/>
  <c r="U199" i="2" s="1"/>
  <c r="U200" i="2" s="1"/>
  <c r="U201" i="2" s="1"/>
  <c r="U202" i="2" s="1"/>
  <c r="U203" i="2" s="1"/>
  <c r="U204" i="2" s="1"/>
  <c r="U205" i="2" s="1"/>
  <c r="U206" i="2" s="1"/>
  <c r="U207" i="2" s="1"/>
  <c r="U208" i="2" s="1"/>
  <c r="U209" i="2" s="1"/>
  <c r="U210" i="2" s="1"/>
  <c r="U211" i="2" s="1"/>
  <c r="U212" i="2" s="1"/>
  <c r="U213" i="2" s="1"/>
  <c r="U214" i="2" s="1"/>
  <c r="U215" i="2" s="1"/>
  <c r="U216" i="2" s="1"/>
  <c r="U217" i="2" s="1"/>
  <c r="U218" i="2" s="1"/>
  <c r="U219" i="2" s="1"/>
  <c r="U220" i="2" s="1"/>
  <c r="V119" i="2"/>
  <c r="V140" i="2"/>
  <c r="V48" i="2"/>
  <c r="M90" i="2"/>
  <c r="AC25" i="2"/>
  <c r="U131" i="2"/>
  <c r="V131" i="2"/>
  <c r="W131" i="2"/>
  <c r="X131" i="2"/>
  <c r="Y131" i="2"/>
  <c r="Z131" i="2"/>
  <c r="AA131" i="2"/>
  <c r="AB131" i="2"/>
  <c r="AC131" i="2"/>
  <c r="AD131" i="2"/>
  <c r="AE131" i="2"/>
  <c r="AF131" i="2"/>
  <c r="U132" i="2"/>
  <c r="U133" i="2"/>
  <c r="U134" i="2"/>
  <c r="V134" i="2"/>
  <c r="W134" i="2"/>
  <c r="X134" i="2"/>
  <c r="Y134" i="2"/>
  <c r="Z134" i="2"/>
  <c r="AA134" i="2"/>
  <c r="AB134" i="2"/>
  <c r="AC134" i="2"/>
  <c r="AD134" i="2"/>
  <c r="AE134" i="2"/>
  <c r="U135" i="2"/>
  <c r="V135" i="2"/>
  <c r="W135" i="2"/>
  <c r="X135" i="2"/>
  <c r="Y135" i="2"/>
  <c r="Z135" i="2"/>
  <c r="AA135" i="2"/>
  <c r="AB135" i="2"/>
  <c r="AC135" i="2"/>
  <c r="AD135" i="2"/>
  <c r="AE135" i="2"/>
  <c r="U136" i="2"/>
  <c r="V136" i="2"/>
  <c r="U138" i="2"/>
  <c r="U139" i="2"/>
  <c r="U140" i="2"/>
  <c r="W140" i="2"/>
  <c r="X140" i="2"/>
  <c r="Y140" i="2"/>
  <c r="Z140" i="2"/>
  <c r="AA140" i="2"/>
  <c r="AB140" i="2"/>
  <c r="AC140" i="2"/>
  <c r="AD140" i="2"/>
  <c r="AE140" i="2"/>
  <c r="AF140" i="2"/>
  <c r="U141" i="2"/>
  <c r="X141" i="2"/>
  <c r="Y141" i="2"/>
  <c r="Z141" i="2"/>
  <c r="AA141" i="2"/>
  <c r="AB141" i="2"/>
  <c r="AC141" i="2"/>
  <c r="AD141" i="2"/>
  <c r="AE141" i="2"/>
  <c r="AF141" i="2"/>
  <c r="U142" i="2"/>
  <c r="U143" i="2"/>
  <c r="W143" i="2"/>
  <c r="X143" i="2"/>
  <c r="Y143" i="2"/>
  <c r="Z143" i="2"/>
  <c r="AA143" i="2"/>
  <c r="AB143" i="2"/>
  <c r="AC143" i="2"/>
  <c r="AD143" i="2"/>
  <c r="AE143" i="2"/>
  <c r="AF143" i="2"/>
  <c r="U144" i="2"/>
  <c r="U145" i="2"/>
  <c r="U146" i="2"/>
  <c r="U147" i="2"/>
  <c r="U149" i="2"/>
  <c r="AF126" i="2"/>
  <c r="AF147" i="2" s="1"/>
  <c r="AF125" i="2"/>
  <c r="AF146" i="2" s="1"/>
  <c r="V125" i="2"/>
  <c r="V146" i="2" s="1"/>
  <c r="V124" i="2"/>
  <c r="V145" i="2" s="1"/>
  <c r="V74" i="2"/>
  <c r="V121" i="2" s="1"/>
  <c r="V142" i="2" s="1"/>
  <c r="AF123" i="2"/>
  <c r="AF144" i="2" s="1"/>
  <c r="V122" i="2"/>
  <c r="V143" i="2" s="1"/>
  <c r="AF121" i="2"/>
  <c r="AF142" i="2" s="1"/>
  <c r="V120" i="2"/>
  <c r="V141" i="2" s="1"/>
  <c r="AF116" i="2"/>
  <c r="AF136" i="2" s="1"/>
  <c r="AC17" i="2"/>
  <c r="AB452" i="2" l="1"/>
  <c r="AB450" i="2"/>
  <c r="AB451" i="2"/>
  <c r="AB460" i="2"/>
  <c r="AB444" i="2"/>
  <c r="AB461" i="2"/>
  <c r="AB446" i="2"/>
  <c r="AB442" i="2"/>
  <c r="AB453" i="2"/>
  <c r="AB445" i="2"/>
  <c r="AB454" i="2"/>
  <c r="AB455" i="2"/>
  <c r="AB447" i="2"/>
  <c r="AB448" i="2"/>
  <c r="AB458" i="2"/>
  <c r="AB459" i="2"/>
  <c r="AB443" i="2"/>
  <c r="AB456" i="2"/>
  <c r="AB457" i="2"/>
  <c r="AB449" i="2"/>
  <c r="AB441" i="2"/>
  <c r="AB419" i="2"/>
  <c r="AB392" i="2"/>
  <c r="AB393" i="2"/>
  <c r="AB394" i="2"/>
  <c r="AB395" i="2"/>
  <c r="AB414" i="2"/>
  <c r="AB415" i="2"/>
  <c r="AB418" i="2"/>
  <c r="AB340" i="2"/>
  <c r="AB420" i="2"/>
  <c r="AB422" i="2"/>
  <c r="AB406" i="2"/>
  <c r="AB426" i="2"/>
  <c r="AB400" i="2"/>
  <c r="AB403" i="2"/>
  <c r="AB425" i="2"/>
  <c r="AB407" i="2"/>
  <c r="AB388" i="2"/>
  <c r="AB408" i="2"/>
  <c r="AB430" i="2"/>
  <c r="AB401" i="2"/>
  <c r="AB424" i="2"/>
  <c r="AB405" i="2"/>
  <c r="AB427" i="2"/>
  <c r="AB389" i="2"/>
  <c r="AB409" i="2"/>
  <c r="AB431" i="2"/>
  <c r="AB421" i="2"/>
  <c r="AB402" i="2"/>
  <c r="AB404" i="2"/>
  <c r="AB385" i="2"/>
  <c r="AB387" i="2"/>
  <c r="AB390" i="2"/>
  <c r="AB410" i="2"/>
  <c r="AB432" i="2"/>
  <c r="AB423" i="2"/>
  <c r="AB386" i="2"/>
  <c r="AB391" i="2"/>
  <c r="AB411" i="2"/>
  <c r="AB433" i="2"/>
  <c r="AB398" i="2"/>
  <c r="AB416" i="2"/>
  <c r="AB434" i="2"/>
  <c r="AB399" i="2"/>
  <c r="AB417" i="2"/>
  <c r="AB435" i="2"/>
  <c r="AB396" i="2"/>
  <c r="AB412" i="2"/>
  <c r="AB428" i="2"/>
  <c r="AB397" i="2"/>
  <c r="AB413" i="2"/>
  <c r="AB429" i="2"/>
  <c r="AB374" i="2"/>
  <c r="AB373" i="2"/>
  <c r="AB372" i="2"/>
  <c r="AB371" i="2"/>
  <c r="AB347" i="2"/>
  <c r="AB357" i="2"/>
  <c r="AB356" i="2"/>
  <c r="AB380" i="2"/>
  <c r="AB339" i="2"/>
  <c r="AB348" i="2"/>
  <c r="AB341" i="2"/>
  <c r="AB365" i="2"/>
  <c r="AB333" i="2"/>
  <c r="AB363" i="2"/>
  <c r="AB332" i="2"/>
  <c r="AB331" i="2"/>
  <c r="AB355" i="2"/>
  <c r="AB329" i="2"/>
  <c r="AB330" i="2"/>
  <c r="AB338" i="2"/>
  <c r="AB346" i="2"/>
  <c r="AB354" i="2"/>
  <c r="AB362" i="2"/>
  <c r="AB370" i="2"/>
  <c r="AB378" i="2"/>
  <c r="AB369" i="2"/>
  <c r="AB377" i="2"/>
  <c r="AB336" i="2"/>
  <c r="AB352" i="2"/>
  <c r="AB342" i="2"/>
  <c r="AB350" i="2"/>
  <c r="AB366" i="2"/>
  <c r="AB337" i="2"/>
  <c r="AB345" i="2"/>
  <c r="AB353" i="2"/>
  <c r="AB361" i="2"/>
  <c r="AB344" i="2"/>
  <c r="AB360" i="2"/>
  <c r="AB368" i="2"/>
  <c r="AB376" i="2"/>
  <c r="AB334" i="2"/>
  <c r="AB358" i="2"/>
  <c r="AB335" i="2"/>
  <c r="AB343" i="2"/>
  <c r="AB351" i="2"/>
  <c r="AB359" i="2"/>
  <c r="AB367" i="2"/>
  <c r="AB375" i="2"/>
  <c r="AB379" i="2"/>
  <c r="AB364" i="2"/>
  <c r="AB349" i="2"/>
  <c r="AB319" i="2"/>
  <c r="AB318" i="2"/>
  <c r="AB309" i="2"/>
  <c r="AB306" i="2"/>
  <c r="AB304" i="2"/>
  <c r="AB296" i="2"/>
  <c r="AB294" i="2"/>
  <c r="AB320" i="2"/>
  <c r="AB293" i="2"/>
  <c r="AB287" i="2"/>
  <c r="AB314" i="2"/>
  <c r="AB303" i="2"/>
  <c r="AB290" i="2"/>
  <c r="AB313" i="2"/>
  <c r="AB302" i="2"/>
  <c r="AB289" i="2"/>
  <c r="AB312" i="2"/>
  <c r="AB301" i="2"/>
  <c r="AB288" i="2"/>
  <c r="AB322" i="2"/>
  <c r="AB311" i="2"/>
  <c r="AB298" i="2"/>
  <c r="AB321" i="2"/>
  <c r="AB310" i="2"/>
  <c r="AB297" i="2"/>
  <c r="AB286" i="2"/>
  <c r="AB317" i="2"/>
  <c r="AB305" i="2"/>
  <c r="AB295" i="2"/>
  <c r="AB285" i="2"/>
  <c r="AB323" i="2"/>
  <c r="AB307" i="2"/>
  <c r="AB299" i="2"/>
  <c r="AB291" i="2"/>
  <c r="AB315" i="2"/>
  <c r="AB324" i="2"/>
  <c r="AB316" i="2"/>
  <c r="AB308" i="2"/>
  <c r="AB300" i="2"/>
  <c r="AB292" i="2"/>
  <c r="AB284" i="2"/>
  <c r="V76" i="2"/>
  <c r="AF115" i="2"/>
  <c r="AF135" i="2" s="1"/>
  <c r="AF113" i="2"/>
  <c r="AF133" i="2" s="1"/>
  <c r="V113" i="2"/>
  <c r="V117" i="2" l="1"/>
  <c r="V133" i="2"/>
  <c r="V78" i="2"/>
  <c r="V123" i="2"/>
  <c r="V144" i="2" s="1"/>
  <c r="V94" i="2"/>
  <c r="V95" i="2" s="1"/>
  <c r="V97" i="2" s="1"/>
  <c r="V88" i="2" l="1"/>
  <c r="W41" i="2"/>
  <c r="X41" i="2" s="1"/>
  <c r="Y41" i="2" s="1"/>
  <c r="Z41" i="2" s="1"/>
  <c r="AA41" i="2" s="1"/>
  <c r="AB41" i="2" s="1"/>
  <c r="AC41" i="2" s="1"/>
  <c r="AD41" i="2" s="1"/>
  <c r="AE41" i="2" s="1"/>
  <c r="AF41" i="2" s="1"/>
  <c r="U59" i="2"/>
  <c r="U58" i="2"/>
  <c r="U57" i="2"/>
  <c r="U56" i="2"/>
  <c r="U55" i="2"/>
  <c r="U54" i="2"/>
  <c r="U53" i="2"/>
  <c r="W45" i="2"/>
  <c r="W40" i="2"/>
  <c r="W39" i="2"/>
  <c r="W68" i="2" s="1"/>
  <c r="W120" i="2"/>
  <c r="W141" i="2" s="1"/>
  <c r="U251" i="2"/>
  <c r="V468" i="2"/>
  <c r="AC19" i="2"/>
  <c r="AC26" i="2" s="1"/>
  <c r="AE12" i="2"/>
  <c r="AE11" i="2"/>
  <c r="AE10" i="2"/>
  <c r="AE9" i="2"/>
  <c r="AE8" i="2"/>
  <c r="AE7" i="2"/>
  <c r="AE6" i="2"/>
  <c r="AB251" i="2" l="1"/>
  <c r="AB270" i="2"/>
  <c r="AB262" i="2"/>
  <c r="AB266" i="2"/>
  <c r="AB258" i="2"/>
  <c r="AB278" i="2"/>
  <c r="AB256" i="2"/>
  <c r="AB252" i="2"/>
  <c r="AB254" i="2"/>
  <c r="AB276" i="2"/>
  <c r="AB274" i="2"/>
  <c r="AB273" i="2"/>
  <c r="AB259" i="2"/>
  <c r="AB275" i="2"/>
  <c r="AB267" i="2"/>
  <c r="AB271" i="2"/>
  <c r="AB263" i="2"/>
  <c r="AB257" i="2"/>
  <c r="AB265" i="2"/>
  <c r="AB268" i="2"/>
  <c r="AB255" i="2"/>
  <c r="AB261" i="2"/>
  <c r="AB253" i="2"/>
  <c r="AB272" i="2"/>
  <c r="AB277" i="2"/>
  <c r="AB264" i="2"/>
  <c r="AB269" i="2"/>
  <c r="AB260" i="2"/>
  <c r="W74" i="2"/>
  <c r="U191" i="2"/>
  <c r="AB191" i="2" s="1"/>
  <c r="AB192" i="2"/>
  <c r="AB198" i="2"/>
  <c r="AB214" i="2"/>
  <c r="AB206" i="2"/>
  <c r="AB220" i="2"/>
  <c r="AB211" i="2"/>
  <c r="AB201" i="2"/>
  <c r="AB199" i="2"/>
  <c r="AB203" i="2"/>
  <c r="AB194" i="2"/>
  <c r="AB208" i="2"/>
  <c r="AB212" i="2"/>
  <c r="AB210" i="2"/>
  <c r="AB200" i="2"/>
  <c r="AB204" i="2"/>
  <c r="AB195" i="2"/>
  <c r="AB215" i="2"/>
  <c r="AB219" i="2"/>
  <c r="AB213" i="2"/>
  <c r="AB193" i="2"/>
  <c r="AB216" i="2"/>
  <c r="AB197" i="2"/>
  <c r="AB218" i="2"/>
  <c r="AB202" i="2"/>
  <c r="AB196" i="2"/>
  <c r="AB209" i="2"/>
  <c r="AB205" i="2"/>
  <c r="AB217" i="2"/>
  <c r="AB207" i="2"/>
  <c r="AB232" i="2"/>
  <c r="AB240" i="2"/>
  <c r="AB233" i="2"/>
  <c r="AB241" i="2"/>
  <c r="AB226" i="2"/>
  <c r="AB234" i="2"/>
  <c r="AB242" i="2"/>
  <c r="AB227" i="2"/>
  <c r="AB235" i="2"/>
  <c r="AB243" i="2"/>
  <c r="AB228" i="2"/>
  <c r="AB236" i="2"/>
  <c r="AB244" i="2"/>
  <c r="AB229" i="2"/>
  <c r="AB237" i="2"/>
  <c r="AB245" i="2"/>
  <c r="AB230" i="2"/>
  <c r="AB246" i="2"/>
  <c r="U225" i="2"/>
  <c r="AB225" i="2" s="1"/>
  <c r="AB238" i="2"/>
  <c r="AB239" i="2"/>
  <c r="AB231" i="2"/>
  <c r="W83" i="2"/>
  <c r="W85" i="2" s="1"/>
  <c r="W148" i="2" s="1"/>
  <c r="V137" i="2"/>
  <c r="V138" i="2" s="1"/>
  <c r="V57" i="2"/>
  <c r="W57" i="2" s="1"/>
  <c r="V58" i="2"/>
  <c r="W58" i="2" s="1"/>
  <c r="V59" i="2"/>
  <c r="W59" i="2" s="1"/>
  <c r="V55" i="2"/>
  <c r="W55" i="2" s="1"/>
  <c r="W65" i="2"/>
  <c r="V56" i="2"/>
  <c r="W66" i="2"/>
  <c r="V53" i="2"/>
  <c r="W53" i="2" s="1"/>
  <c r="V54" i="2"/>
  <c r="W54" i="2" s="1"/>
  <c r="AE46" i="2"/>
  <c r="W46" i="2"/>
  <c r="W47" i="2" s="1"/>
  <c r="AA46" i="2"/>
  <c r="Z46" i="2"/>
  <c r="X46" i="2"/>
  <c r="AD46" i="2"/>
  <c r="AC46" i="2"/>
  <c r="Y46" i="2"/>
  <c r="AB46" i="2"/>
  <c r="W77" i="2"/>
  <c r="W124" i="2" s="1"/>
  <c r="W145" i="2" s="1"/>
  <c r="W67" i="2"/>
  <c r="X40" i="2"/>
  <c r="X39" i="2"/>
  <c r="Z85" i="2" l="1"/>
  <c r="Z148" i="2" s="1"/>
  <c r="W84" i="2"/>
  <c r="W87" i="2" s="1"/>
  <c r="W96" i="2" s="1"/>
  <c r="X85" i="2"/>
  <c r="X148" i="2" s="1"/>
  <c r="W121" i="2"/>
  <c r="W142" i="2" s="1"/>
  <c r="Y85" i="2"/>
  <c r="Y148" i="2" s="1"/>
  <c r="W93" i="2"/>
  <c r="X55" i="2"/>
  <c r="Y39" i="2"/>
  <c r="Y58" i="2" s="1"/>
  <c r="X54" i="2"/>
  <c r="W69" i="2"/>
  <c r="W75" i="2" s="1"/>
  <c r="W76" i="2" s="1"/>
  <c r="X56" i="2"/>
  <c r="X57" i="2"/>
  <c r="X58" i="2"/>
  <c r="W56" i="2"/>
  <c r="W60" i="2" s="1"/>
  <c r="X74" i="2"/>
  <c r="X66" i="2"/>
  <c r="X65" i="2"/>
  <c r="X77" i="2"/>
  <c r="X124" i="2" s="1"/>
  <c r="X145" i="2" s="1"/>
  <c r="X68" i="2"/>
  <c r="X67" i="2"/>
  <c r="X59" i="2"/>
  <c r="W48" i="2"/>
  <c r="X45" i="2" s="1"/>
  <c r="X48" i="2" s="1"/>
  <c r="Y45" i="2" s="1"/>
  <c r="Y48" i="2" s="1"/>
  <c r="Z45" i="2" s="1"/>
  <c r="Z48" i="2" s="1"/>
  <c r="AA45" i="2" s="1"/>
  <c r="X53" i="2"/>
  <c r="Y40" i="2"/>
  <c r="X47" i="2"/>
  <c r="Y47" i="2" s="1"/>
  <c r="Z47" i="2" s="1"/>
  <c r="AA47" i="2" s="1"/>
  <c r="AB47" i="2" s="1"/>
  <c r="AC47" i="2" s="1"/>
  <c r="AD47" i="2" s="1"/>
  <c r="AE47" i="2" s="1"/>
  <c r="M22" i="2"/>
  <c r="M92" i="2"/>
  <c r="M89" i="2"/>
  <c r="M87" i="2"/>
  <c r="M16" i="2"/>
  <c r="M75" i="2"/>
  <c r="K82" i="2" s="1"/>
  <c r="X60" i="2" l="1"/>
  <c r="W86" i="2"/>
  <c r="W88" i="2" s="1"/>
  <c r="X83" i="2" s="1"/>
  <c r="X84" i="2" s="1"/>
  <c r="X87" i="2" s="1"/>
  <c r="X86" i="2" s="1"/>
  <c r="X88" i="2" s="1"/>
  <c r="Y83" i="2" s="1"/>
  <c r="Y84" i="2" s="1"/>
  <c r="Y87" i="2" s="1"/>
  <c r="X121" i="2"/>
  <c r="X142" i="2" s="1"/>
  <c r="Y77" i="2"/>
  <c r="Y124" i="2" s="1"/>
  <c r="Y145" i="2" s="1"/>
  <c r="Y67" i="2"/>
  <c r="Y59" i="2"/>
  <c r="Y66" i="2"/>
  <c r="Y68" i="2"/>
  <c r="W78" i="2"/>
  <c r="Y56" i="2"/>
  <c r="Y53" i="2"/>
  <c r="Y54" i="2"/>
  <c r="Y55" i="2"/>
  <c r="Y65" i="2"/>
  <c r="Z39" i="2"/>
  <c r="Z65" i="2" s="1"/>
  <c r="W106" i="2"/>
  <c r="W107" i="2" s="1"/>
  <c r="W125" i="2" s="1"/>
  <c r="W146" i="2" s="1"/>
  <c r="W113" i="2"/>
  <c r="W133" i="2" s="1"/>
  <c r="W92" i="2"/>
  <c r="W104" i="2"/>
  <c r="Y57" i="2"/>
  <c r="X93" i="2"/>
  <c r="Z40" i="2"/>
  <c r="Y74" i="2"/>
  <c r="X69" i="2"/>
  <c r="X75" i="2" s="1"/>
  <c r="X76" i="2" s="1"/>
  <c r="AA48" i="2"/>
  <c r="AB45" i="2" s="1"/>
  <c r="AB48" i="2" s="1"/>
  <c r="AC45" i="2" s="1"/>
  <c r="AC48" i="2" s="1"/>
  <c r="AD45" i="2" s="1"/>
  <c r="AD48" i="2" s="1"/>
  <c r="AE45" i="2" s="1"/>
  <c r="AE48" i="2" s="1"/>
  <c r="M93" i="2"/>
  <c r="M25" i="2"/>
  <c r="C91" i="2"/>
  <c r="P3" i="2"/>
  <c r="P9" i="2" s="1"/>
  <c r="E39" i="2"/>
  <c r="E38" i="2"/>
  <c r="X96" i="2" l="1"/>
  <c r="Y60" i="2"/>
  <c r="Y92" i="2" s="1"/>
  <c r="Y93" i="2"/>
  <c r="Z57" i="2"/>
  <c r="Y121" i="2"/>
  <c r="Y142" i="2" s="1"/>
  <c r="X123" i="2"/>
  <c r="X144" i="2" s="1"/>
  <c r="Z77" i="2"/>
  <c r="Z124" i="2" s="1"/>
  <c r="Z145" i="2" s="1"/>
  <c r="Y69" i="2"/>
  <c r="Y75" i="2" s="1"/>
  <c r="W94" i="2"/>
  <c r="W123" i="2"/>
  <c r="W144" i="2" s="1"/>
  <c r="AA39" i="2"/>
  <c r="AA59" i="2" s="1"/>
  <c r="Z58" i="2"/>
  <c r="Z56" i="2"/>
  <c r="Z66" i="2"/>
  <c r="Z67" i="2"/>
  <c r="X94" i="2"/>
  <c r="X78" i="2"/>
  <c r="Z55" i="2"/>
  <c r="Z59" i="2"/>
  <c r="Z54" i="2"/>
  <c r="Z68" i="2"/>
  <c r="Z53" i="2"/>
  <c r="X106" i="2"/>
  <c r="X107" i="2" s="1"/>
  <c r="X125" i="2" s="1"/>
  <c r="X146" i="2" s="1"/>
  <c r="X113" i="2"/>
  <c r="X133" i="2" s="1"/>
  <c r="X92" i="2"/>
  <c r="X104" i="2"/>
  <c r="X105" i="2" s="1"/>
  <c r="W105" i="2"/>
  <c r="Y86" i="2"/>
  <c r="Y88" i="2" s="1"/>
  <c r="Z83" i="2" s="1"/>
  <c r="Z84" i="2" s="1"/>
  <c r="Z87" i="2" s="1"/>
  <c r="Y96" i="2"/>
  <c r="Z74" i="2"/>
  <c r="AA40" i="2"/>
  <c r="E40" i="2"/>
  <c r="E34" i="2"/>
  <c r="E33" i="2"/>
  <c r="E32" i="2"/>
  <c r="E31" i="2"/>
  <c r="E30" i="2"/>
  <c r="E26" i="2"/>
  <c r="E25" i="2"/>
  <c r="E24" i="2"/>
  <c r="E23" i="2"/>
  <c r="E22" i="2"/>
  <c r="E18" i="2"/>
  <c r="E17" i="2"/>
  <c r="E16" i="2"/>
  <c r="E15" i="2"/>
  <c r="E14" i="2"/>
  <c r="E13" i="2"/>
  <c r="E12" i="2"/>
  <c r="E8" i="2"/>
  <c r="E7" i="2"/>
  <c r="E6" i="2"/>
  <c r="E5" i="2"/>
  <c r="E4" i="2"/>
  <c r="Z60" i="2" l="1"/>
  <c r="Z104" i="2" s="1"/>
  <c r="Y76" i="2"/>
  <c r="Y123" i="2" s="1"/>
  <c r="Y144" i="2" s="1"/>
  <c r="Z121" i="2"/>
  <c r="Z142" i="2" s="1"/>
  <c r="Z93" i="2"/>
  <c r="AA54" i="2"/>
  <c r="AA55" i="2"/>
  <c r="AA53" i="2"/>
  <c r="AA68" i="2"/>
  <c r="AA77" i="2"/>
  <c r="AA124" i="2" s="1"/>
  <c r="AA145" i="2" s="1"/>
  <c r="AA58" i="2"/>
  <c r="AA66" i="2"/>
  <c r="AA57" i="2"/>
  <c r="AA56" i="2"/>
  <c r="AB39" i="2"/>
  <c r="AB67" i="2" s="1"/>
  <c r="AA67" i="2"/>
  <c r="AA65" i="2"/>
  <c r="Z69" i="2"/>
  <c r="Z75" i="2" s="1"/>
  <c r="W116" i="2"/>
  <c r="W136" i="2" s="1"/>
  <c r="W138" i="2" s="1"/>
  <c r="X116" i="2"/>
  <c r="X136" i="2" s="1"/>
  <c r="X138" i="2" s="1"/>
  <c r="Y113" i="2"/>
  <c r="Y133" i="2" s="1"/>
  <c r="Y106" i="2"/>
  <c r="Y107" i="2" s="1"/>
  <c r="Y125" i="2" s="1"/>
  <c r="Y146" i="2" s="1"/>
  <c r="Y104" i="2"/>
  <c r="Y105" i="2" s="1"/>
  <c r="Z86" i="2"/>
  <c r="Z88" i="2" s="1"/>
  <c r="Z96" i="2"/>
  <c r="AA74" i="2"/>
  <c r="AB40" i="2"/>
  <c r="E27" i="2"/>
  <c r="E9" i="2"/>
  <c r="E35" i="2"/>
  <c r="E19" i="2"/>
  <c r="AA60" i="2" l="1"/>
  <c r="AA106" i="2" s="1"/>
  <c r="Y78" i="2"/>
  <c r="Y94" i="2"/>
  <c r="Z76" i="2"/>
  <c r="Z94" i="2" s="1"/>
  <c r="AA121" i="2"/>
  <c r="AA142" i="2" s="1"/>
  <c r="Z106" i="2"/>
  <c r="Z107" i="2" s="1"/>
  <c r="Z125" i="2" s="1"/>
  <c r="Z146" i="2" s="1"/>
  <c r="AA69" i="2"/>
  <c r="AA75" i="2" s="1"/>
  <c r="AA76" i="2" s="1"/>
  <c r="AA93" i="2"/>
  <c r="X117" i="2"/>
  <c r="AB59" i="2"/>
  <c r="AB68" i="2"/>
  <c r="AB66" i="2"/>
  <c r="AB65" i="2"/>
  <c r="AB54" i="2"/>
  <c r="AB55" i="2"/>
  <c r="AC39" i="2"/>
  <c r="AC68" i="2" s="1"/>
  <c r="AB77" i="2"/>
  <c r="AB124" i="2" s="1"/>
  <c r="AB145" i="2" s="1"/>
  <c r="AB53" i="2"/>
  <c r="AB57" i="2"/>
  <c r="AB58" i="2"/>
  <c r="AB56" i="2"/>
  <c r="Z113" i="2"/>
  <c r="Z133" i="2" s="1"/>
  <c r="Z92" i="2"/>
  <c r="Y116" i="2"/>
  <c r="Y136" i="2" s="1"/>
  <c r="Y138" i="2" s="1"/>
  <c r="W117" i="2"/>
  <c r="Z105" i="2"/>
  <c r="AB74" i="2"/>
  <c r="AC40" i="2"/>
  <c r="E43" i="2"/>
  <c r="AB60" i="2" l="1"/>
  <c r="AB106" i="2" s="1"/>
  <c r="AB107" i="2" s="1"/>
  <c r="AB125" i="2" s="1"/>
  <c r="AB146" i="2" s="1"/>
  <c r="Z78" i="2"/>
  <c r="Z123" i="2"/>
  <c r="Z144" i="2" s="1"/>
  <c r="AB121" i="2"/>
  <c r="AB142" i="2" s="1"/>
  <c r="AA123" i="2"/>
  <c r="AA144" i="2" s="1"/>
  <c r="AA104" i="2"/>
  <c r="AA105" i="2" s="1"/>
  <c r="AA116" i="2" s="1"/>
  <c r="AA136" i="2" s="1"/>
  <c r="AA107" i="2"/>
  <c r="AA125" i="2" s="1"/>
  <c r="AA146" i="2" s="1"/>
  <c r="AA92" i="2"/>
  <c r="AB93" i="2"/>
  <c r="AA113" i="2"/>
  <c r="AA133" i="2" s="1"/>
  <c r="AB69" i="2"/>
  <c r="AB75" i="2" s="1"/>
  <c r="AC65" i="2"/>
  <c r="Y117" i="2"/>
  <c r="AD39" i="2"/>
  <c r="AD66" i="2" s="1"/>
  <c r="AC54" i="2"/>
  <c r="AC55" i="2"/>
  <c r="AC56" i="2"/>
  <c r="AC77" i="2"/>
  <c r="AC124" i="2" s="1"/>
  <c r="AC145" i="2" s="1"/>
  <c r="AC58" i="2"/>
  <c r="AC53" i="2"/>
  <c r="AC66" i="2"/>
  <c r="AC59" i="2"/>
  <c r="AC67" i="2"/>
  <c r="AC57" i="2"/>
  <c r="Z116" i="2"/>
  <c r="Z136" i="2" s="1"/>
  <c r="Z138" i="2" s="1"/>
  <c r="AC74" i="2"/>
  <c r="AD40" i="2"/>
  <c r="AC60" i="2" l="1"/>
  <c r="AC106" i="2" s="1"/>
  <c r="AC107" i="2" s="1"/>
  <c r="AC125" i="2" s="1"/>
  <c r="AC146" i="2" s="1"/>
  <c r="AB76" i="2"/>
  <c r="AB123" i="2" s="1"/>
  <c r="AB144" i="2" s="1"/>
  <c r="AD67" i="2"/>
  <c r="AA78" i="2"/>
  <c r="AC121" i="2"/>
  <c r="AC142" i="2" s="1"/>
  <c r="AA94" i="2"/>
  <c r="AA138" i="2"/>
  <c r="AE39" i="2"/>
  <c r="AE66" i="2" s="1"/>
  <c r="AC69" i="2"/>
  <c r="AC75" i="2" s="1"/>
  <c r="AC76" i="2" s="1"/>
  <c r="AD68" i="2"/>
  <c r="AD59" i="2"/>
  <c r="AD53" i="2"/>
  <c r="AB104" i="2"/>
  <c r="AB105" i="2" s="1"/>
  <c r="AB116" i="2" s="1"/>
  <c r="AB136" i="2" s="1"/>
  <c r="AD55" i="2"/>
  <c r="AD56" i="2"/>
  <c r="AD58" i="2"/>
  <c r="AB92" i="2"/>
  <c r="AD54" i="2"/>
  <c r="AA117" i="2"/>
  <c r="AB113" i="2"/>
  <c r="AB133" i="2" s="1"/>
  <c r="AD77" i="2"/>
  <c r="AD124" i="2" s="1"/>
  <c r="AD145" i="2" s="1"/>
  <c r="AD57" i="2"/>
  <c r="AD65" i="2"/>
  <c r="AC93" i="2"/>
  <c r="Z117" i="2"/>
  <c r="AD74" i="2"/>
  <c r="AE40" i="2"/>
  <c r="AD60" i="2" l="1"/>
  <c r="AD113" i="2" s="1"/>
  <c r="AD133" i="2" s="1"/>
  <c r="AB78" i="2"/>
  <c r="AB94" i="2"/>
  <c r="AE59" i="2"/>
  <c r="AE68" i="2"/>
  <c r="AE65" i="2"/>
  <c r="AE67" i="2"/>
  <c r="AE77" i="2"/>
  <c r="AE124" i="2" s="1"/>
  <c r="AE145" i="2" s="1"/>
  <c r="AE58" i="2"/>
  <c r="AE56" i="2"/>
  <c r="AD121" i="2"/>
  <c r="AD142" i="2" s="1"/>
  <c r="AE57" i="2"/>
  <c r="AE53" i="2"/>
  <c r="AD69" i="2"/>
  <c r="AD75" i="2" s="1"/>
  <c r="AD76" i="2" s="1"/>
  <c r="AE54" i="2"/>
  <c r="AE55" i="2"/>
  <c r="AF39" i="2"/>
  <c r="AF114" i="2" s="1"/>
  <c r="AF134" i="2" s="1"/>
  <c r="AF138" i="2" s="1"/>
  <c r="AB138" i="2"/>
  <c r="AD93" i="2"/>
  <c r="AC113" i="2"/>
  <c r="AC133" i="2" s="1"/>
  <c r="AC104" i="2"/>
  <c r="AC105" i="2" s="1"/>
  <c r="AC116" i="2" s="1"/>
  <c r="AC136" i="2" s="1"/>
  <c r="AC92" i="2"/>
  <c r="AC94" i="2"/>
  <c r="AC123" i="2"/>
  <c r="AC144" i="2" s="1"/>
  <c r="AC78" i="2"/>
  <c r="AB117" i="2"/>
  <c r="AF40" i="2"/>
  <c r="AE74" i="2"/>
  <c r="AE60" i="2" l="1"/>
  <c r="AE106" i="2" s="1"/>
  <c r="AE69" i="2"/>
  <c r="AE75" i="2" s="1"/>
  <c r="AE76" i="2" s="1"/>
  <c r="AE123" i="2" s="1"/>
  <c r="AE144" i="2" s="1"/>
  <c r="AF77" i="2"/>
  <c r="AF124" i="2" s="1"/>
  <c r="AF145" i="2" s="1"/>
  <c r="AF149" i="2" s="1"/>
  <c r="AF150" i="2" s="1"/>
  <c r="AE93" i="2"/>
  <c r="AD123" i="2"/>
  <c r="AD144" i="2" s="1"/>
  <c r="AE121" i="2"/>
  <c r="AE142" i="2" s="1"/>
  <c r="AD106" i="2"/>
  <c r="AD107" i="2" s="1"/>
  <c r="AD125" i="2" s="1"/>
  <c r="AD146" i="2" s="1"/>
  <c r="AD92" i="2"/>
  <c r="AD104" i="2"/>
  <c r="AD105" i="2" s="1"/>
  <c r="AD116" i="2" s="1"/>
  <c r="AD136" i="2" s="1"/>
  <c r="AD138" i="2" s="1"/>
  <c r="AF117" i="2"/>
  <c r="AC138" i="2"/>
  <c r="AC117" i="2"/>
  <c r="AD94" i="2"/>
  <c r="AF78" i="2" l="1"/>
  <c r="AE107" i="2"/>
  <c r="AE125" i="2" s="1"/>
  <c r="AE146" i="2" s="1"/>
  <c r="AD78" i="2"/>
  <c r="AE104" i="2"/>
  <c r="AE105" i="2" s="1"/>
  <c r="AE116" i="2" s="1"/>
  <c r="AE136" i="2" s="1"/>
  <c r="AE113" i="2"/>
  <c r="AE133" i="2" s="1"/>
  <c r="AE92" i="2"/>
  <c r="AF127" i="2"/>
  <c r="AD117" i="2"/>
  <c r="AE94" i="2"/>
  <c r="AE78" i="2"/>
  <c r="AE138" i="2" l="1"/>
  <c r="AF128" i="2"/>
  <c r="AE117" i="2"/>
  <c r="W95" i="2"/>
  <c r="W97" i="2" s="1"/>
  <c r="V98" i="2" l="1"/>
  <c r="AA95" i="2"/>
  <c r="AA97" i="2" s="1"/>
  <c r="AD95" i="2"/>
  <c r="AD97" i="2" s="1"/>
  <c r="AC95" i="2"/>
  <c r="AC97" i="2" s="1"/>
  <c r="Y95" i="2"/>
  <c r="Y97" i="2" s="1"/>
  <c r="X95" i="2" l="1"/>
  <c r="X97" i="2" s="1"/>
  <c r="X98" i="2" s="1"/>
  <c r="X99" i="2" s="1"/>
  <c r="Z95" i="2"/>
  <c r="Z97" i="2" s="1"/>
  <c r="Z98" i="2" s="1"/>
  <c r="Z99" i="2" s="1"/>
  <c r="AB95" i="2"/>
  <c r="AB97" i="2" s="1"/>
  <c r="AC98" i="2" s="1"/>
  <c r="V99" i="2"/>
  <c r="AD98" i="2"/>
  <c r="W98" i="2"/>
  <c r="W99" i="2" s="1"/>
  <c r="AE95" i="2"/>
  <c r="AE97" i="2" s="1"/>
  <c r="AA98" i="2" l="1"/>
  <c r="AA99" i="2" s="1"/>
  <c r="Y98" i="2"/>
  <c r="Y99" i="2" s="1"/>
  <c r="Z100" i="2"/>
  <c r="Z126" i="2"/>
  <c r="Z147" i="2" s="1"/>
  <c r="Z149" i="2" s="1"/>
  <c r="Z150" i="2" s="1"/>
  <c r="W100" i="2"/>
  <c r="W126" i="2"/>
  <c r="W147" i="2" s="1"/>
  <c r="W149" i="2" s="1"/>
  <c r="W150" i="2" s="1"/>
  <c r="V100" i="2"/>
  <c r="V126" i="2"/>
  <c r="V147" i="2" s="1"/>
  <c r="V149" i="2" s="1"/>
  <c r="V150" i="2" s="1"/>
  <c r="V171" i="2" s="1"/>
  <c r="X100" i="2"/>
  <c r="X126" i="2"/>
  <c r="X147" i="2" s="1"/>
  <c r="X149" i="2" s="1"/>
  <c r="X150" i="2" s="1"/>
  <c r="AB98" i="2"/>
  <c r="AB99" i="2" s="1"/>
  <c r="AC99" i="2"/>
  <c r="AD99" i="2"/>
  <c r="AE98" i="2"/>
  <c r="W171" i="2" l="1"/>
  <c r="X171" i="2"/>
  <c r="X127" i="2"/>
  <c r="V127" i="2"/>
  <c r="Z127" i="2"/>
  <c r="W127" i="2"/>
  <c r="AD100" i="2"/>
  <c r="AD126" i="2"/>
  <c r="AD147" i="2" s="1"/>
  <c r="AD149" i="2" s="1"/>
  <c r="AD150" i="2" s="1"/>
  <c r="AA100" i="2"/>
  <c r="AA126" i="2"/>
  <c r="AA147" i="2" s="1"/>
  <c r="AA149" i="2" s="1"/>
  <c r="AA150" i="2" s="1"/>
  <c r="Y100" i="2"/>
  <c r="Y126" i="2"/>
  <c r="Y147" i="2" s="1"/>
  <c r="Y149" i="2" s="1"/>
  <c r="Y150" i="2" s="1"/>
  <c r="Z171" i="2" s="1"/>
  <c r="AB100" i="2"/>
  <c r="AB126" i="2"/>
  <c r="AB147" i="2" s="1"/>
  <c r="AB149" i="2" s="1"/>
  <c r="AB150" i="2" s="1"/>
  <c r="AC100" i="2"/>
  <c r="AC126" i="2"/>
  <c r="AC147" i="2" s="1"/>
  <c r="AC149" i="2" s="1"/>
  <c r="AC150" i="2" s="1"/>
  <c r="AE99" i="2"/>
  <c r="AD171" i="2" l="1"/>
  <c r="AB171" i="2"/>
  <c r="AA171" i="2"/>
  <c r="Y171" i="2"/>
  <c r="AC171" i="2"/>
  <c r="AB127" i="2"/>
  <c r="W128" i="2"/>
  <c r="W184" i="2" s="1"/>
  <c r="Y127" i="2"/>
  <c r="Z128" i="2"/>
  <c r="Z184" i="2" s="1"/>
  <c r="AA127" i="2"/>
  <c r="V128" i="2"/>
  <c r="V170" i="2" s="1"/>
  <c r="AC127" i="2"/>
  <c r="AD127" i="2"/>
  <c r="X128" i="2"/>
  <c r="X184" i="2" s="1"/>
  <c r="AE100" i="2"/>
  <c r="AE126" i="2"/>
  <c r="AE147" i="2" s="1"/>
  <c r="AE149" i="2" s="1"/>
  <c r="AE150" i="2" s="1"/>
  <c r="AF171" i="2" s="1"/>
  <c r="V155" i="2" l="1"/>
  <c r="W251" i="2" s="1"/>
  <c r="V165" i="2"/>
  <c r="AA251" i="2" s="1"/>
  <c r="AE171" i="2"/>
  <c r="V173" i="2" s="1" a="1"/>
  <c r="V173" i="2" s="1"/>
  <c r="X170" i="2"/>
  <c r="W170" i="2"/>
  <c r="AD128" i="2"/>
  <c r="Y128" i="2"/>
  <c r="AC128" i="2"/>
  <c r="AE127" i="2"/>
  <c r="V159" i="2" s="1"/>
  <c r="AA128" i="2"/>
  <c r="AB128" i="2"/>
  <c r="AH278" i="2" l="1"/>
  <c r="AH262" i="2"/>
  <c r="AH271" i="2"/>
  <c r="AH255" i="2"/>
  <c r="AH266" i="2"/>
  <c r="AH252" i="2"/>
  <c r="AH264" i="2"/>
  <c r="AH273" i="2"/>
  <c r="AH257" i="2"/>
  <c r="AH275" i="2"/>
  <c r="AH259" i="2"/>
  <c r="AH268" i="2"/>
  <c r="AH272" i="2"/>
  <c r="AH256" i="2"/>
  <c r="AH274" i="2"/>
  <c r="AH267" i="2"/>
  <c r="AH277" i="2"/>
  <c r="AH261" i="2"/>
  <c r="AH270" i="2"/>
  <c r="AH254" i="2"/>
  <c r="AH263" i="2"/>
  <c r="AH265" i="2"/>
  <c r="AH258" i="2"/>
  <c r="AH251" i="2"/>
  <c r="AH276" i="2"/>
  <c r="AH260" i="2"/>
  <c r="AH269" i="2"/>
  <c r="AH253" i="2"/>
  <c r="AD274" i="2"/>
  <c r="AD258" i="2"/>
  <c r="AD267" i="2"/>
  <c r="AD251" i="2"/>
  <c r="AD262" i="2"/>
  <c r="AD271" i="2"/>
  <c r="AD255" i="2"/>
  <c r="AD259" i="2"/>
  <c r="AD277" i="2"/>
  <c r="AD270" i="2"/>
  <c r="AD272" i="2"/>
  <c r="AD276" i="2"/>
  <c r="AD260" i="2"/>
  <c r="AD269" i="2"/>
  <c r="AD253" i="2"/>
  <c r="AD278" i="2"/>
  <c r="AD264" i="2"/>
  <c r="AD275" i="2"/>
  <c r="AD268" i="2"/>
  <c r="AD256" i="2"/>
  <c r="AD265" i="2"/>
  <c r="AD273" i="2"/>
  <c r="AD257" i="2"/>
  <c r="AD266" i="2"/>
  <c r="AD252" i="2"/>
  <c r="AD261" i="2"/>
  <c r="AD254" i="2"/>
  <c r="AD263" i="2"/>
  <c r="X329" i="2"/>
  <c r="AE364" i="2" s="1"/>
  <c r="X251" i="2"/>
  <c r="AA384" i="2"/>
  <c r="AA440" i="2" s="1"/>
  <c r="AA329" i="2"/>
  <c r="W384" i="2"/>
  <c r="W440" i="2" s="1"/>
  <c r="W329" i="2"/>
  <c r="X283" i="2"/>
  <c r="AE283" i="2" s="1"/>
  <c r="X384" i="2"/>
  <c r="X440" i="2" s="1"/>
  <c r="AA191" i="2"/>
  <c r="AH199" i="2" s="1"/>
  <c r="AA283" i="2"/>
  <c r="W191" i="2"/>
  <c r="AD204" i="2" s="1"/>
  <c r="W283" i="2"/>
  <c r="AA225" i="2"/>
  <c r="W225" i="2"/>
  <c r="AC170" i="2"/>
  <c r="X191" i="2"/>
  <c r="AE194" i="2" s="1"/>
  <c r="X225" i="2"/>
  <c r="AE232" i="2" s="1"/>
  <c r="AD170" i="2"/>
  <c r="Z170" i="2"/>
  <c r="Y184" i="2"/>
  <c r="V179" i="2"/>
  <c r="Y170" i="2"/>
  <c r="AB170" i="2"/>
  <c r="AA170" i="2"/>
  <c r="AE128" i="2"/>
  <c r="AF170" i="2" s="1"/>
  <c r="AE365" i="2" l="1"/>
  <c r="AE349" i="2"/>
  <c r="AD440" i="2"/>
  <c r="AD443" i="2"/>
  <c r="AD451" i="2"/>
  <c r="AD459" i="2"/>
  <c r="AD450" i="2"/>
  <c r="AD458" i="2"/>
  <c r="AD454" i="2"/>
  <c r="AD445" i="2"/>
  <c r="AD461" i="2"/>
  <c r="AD444" i="2"/>
  <c r="AD442" i="2"/>
  <c r="AD441" i="2"/>
  <c r="AD449" i="2"/>
  <c r="AD457" i="2"/>
  <c r="AD456" i="2"/>
  <c r="AD447" i="2"/>
  <c r="AD455" i="2"/>
  <c r="AD453" i="2"/>
  <c r="AD452" i="2"/>
  <c r="AD460" i="2"/>
  <c r="AD448" i="2"/>
  <c r="AD446" i="2"/>
  <c r="AH440" i="2"/>
  <c r="AH447" i="2"/>
  <c r="AH455" i="2"/>
  <c r="AH459" i="2"/>
  <c r="AH446" i="2"/>
  <c r="AH454" i="2"/>
  <c r="AH442" i="2"/>
  <c r="AH445" i="2"/>
  <c r="AH453" i="2"/>
  <c r="AH461" i="2"/>
  <c r="AH460" i="2"/>
  <c r="AH443" i="2"/>
  <c r="AH451" i="2"/>
  <c r="AH450" i="2"/>
  <c r="AH458" i="2"/>
  <c r="AH441" i="2"/>
  <c r="AH449" i="2"/>
  <c r="AH448" i="2"/>
  <c r="AH444" i="2"/>
  <c r="AH452" i="2"/>
  <c r="AH457" i="2"/>
  <c r="AH456" i="2"/>
  <c r="AE440" i="2"/>
  <c r="AE444" i="2"/>
  <c r="AE452" i="2"/>
  <c r="AE460" i="2"/>
  <c r="AE459" i="2"/>
  <c r="AE461" i="2"/>
  <c r="AE443" i="2"/>
  <c r="AE451" i="2"/>
  <c r="AE456" i="2"/>
  <c r="AE442" i="2"/>
  <c r="AE450" i="2"/>
  <c r="AE458" i="2"/>
  <c r="AE449" i="2"/>
  <c r="AE448" i="2"/>
  <c r="AE447" i="2"/>
  <c r="AE455" i="2"/>
  <c r="AE446" i="2"/>
  <c r="AE445" i="2"/>
  <c r="AE441" i="2"/>
  <c r="AE457" i="2"/>
  <c r="AE454" i="2"/>
  <c r="AE453" i="2"/>
  <c r="AE357" i="2"/>
  <c r="AE341" i="2"/>
  <c r="AE329" i="2"/>
  <c r="AE333" i="2"/>
  <c r="AE360" i="2"/>
  <c r="AE336" i="2"/>
  <c r="AE350" i="2"/>
  <c r="AE342" i="2"/>
  <c r="AE344" i="2"/>
  <c r="AE375" i="2"/>
  <c r="AE374" i="2"/>
  <c r="AE369" i="2"/>
  <c r="AE345" i="2"/>
  <c r="AE363" i="2"/>
  <c r="AE331" i="2"/>
  <c r="AE371" i="2"/>
  <c r="AE355" i="2"/>
  <c r="AE347" i="2"/>
  <c r="AE372" i="2"/>
  <c r="AE379" i="2"/>
  <c r="AE335" i="2"/>
  <c r="AE359" i="2"/>
  <c r="AE358" i="2"/>
  <c r="AE343" i="2"/>
  <c r="AE356" i="2"/>
  <c r="AE267" i="2"/>
  <c r="AE251" i="2"/>
  <c r="AE276" i="2"/>
  <c r="AE260" i="2"/>
  <c r="AE278" i="2"/>
  <c r="AE271" i="2"/>
  <c r="AE255" i="2"/>
  <c r="AE273" i="2"/>
  <c r="AE268" i="2"/>
  <c r="AE252" i="2"/>
  <c r="AE277" i="2"/>
  <c r="AE263" i="2"/>
  <c r="AE265" i="2"/>
  <c r="AE274" i="2"/>
  <c r="AE269" i="2"/>
  <c r="AE253" i="2"/>
  <c r="AE262" i="2"/>
  <c r="AE264" i="2"/>
  <c r="AE257" i="2"/>
  <c r="AE261" i="2"/>
  <c r="AE254" i="2"/>
  <c r="AE272" i="2"/>
  <c r="AE266" i="2"/>
  <c r="AE275" i="2"/>
  <c r="AE259" i="2"/>
  <c r="AE270" i="2"/>
  <c r="AE256" i="2"/>
  <c r="AE258" i="2"/>
  <c r="AE376" i="2"/>
  <c r="AE366" i="2"/>
  <c r="AE348" i="2"/>
  <c r="AE351" i="2"/>
  <c r="AE340" i="2"/>
  <c r="AE332" i="2"/>
  <c r="AE353" i="2"/>
  <c r="AE338" i="2"/>
  <c r="AE377" i="2"/>
  <c r="AE339" i="2"/>
  <c r="AE367" i="2"/>
  <c r="AE361" i="2"/>
  <c r="AE380" i="2"/>
  <c r="AE337" i="2"/>
  <c r="AE362" i="2"/>
  <c r="AE354" i="2"/>
  <c r="AE368" i="2"/>
  <c r="AE346" i="2"/>
  <c r="AE334" i="2"/>
  <c r="AE378" i="2"/>
  <c r="AE330" i="2"/>
  <c r="AE352" i="2"/>
  <c r="AE370" i="2"/>
  <c r="AE373" i="2"/>
  <c r="AH435" i="2"/>
  <c r="AH419" i="2"/>
  <c r="AH403" i="2"/>
  <c r="AH387" i="2"/>
  <c r="AH428" i="2"/>
  <c r="AH412" i="2"/>
  <c r="AH396" i="2"/>
  <c r="AH423" i="2"/>
  <c r="AH407" i="2"/>
  <c r="AH416" i="2"/>
  <c r="AH434" i="2"/>
  <c r="AH411" i="2"/>
  <c r="AH388" i="2"/>
  <c r="AH421" i="2"/>
  <c r="AH405" i="2"/>
  <c r="AH389" i="2"/>
  <c r="AH430" i="2"/>
  <c r="AH414" i="2"/>
  <c r="AH398" i="2"/>
  <c r="AH391" i="2"/>
  <c r="AH432" i="2"/>
  <c r="AH400" i="2"/>
  <c r="AH384" i="2"/>
  <c r="AH386" i="2"/>
  <c r="AH404" i="2"/>
  <c r="AH425" i="2"/>
  <c r="AH409" i="2"/>
  <c r="AH393" i="2"/>
  <c r="AH418" i="2"/>
  <c r="AH402" i="2"/>
  <c r="AH427" i="2"/>
  <c r="AH395" i="2"/>
  <c r="AH420" i="2"/>
  <c r="AH429" i="2"/>
  <c r="AH394" i="2"/>
  <c r="AH408" i="2"/>
  <c r="AH397" i="2"/>
  <c r="AH433" i="2"/>
  <c r="AH406" i="2"/>
  <c r="AH401" i="2"/>
  <c r="AH415" i="2"/>
  <c r="AH399" i="2"/>
  <c r="AH410" i="2"/>
  <c r="AH422" i="2"/>
  <c r="AH417" i="2"/>
  <c r="AH392" i="2"/>
  <c r="AH426" i="2"/>
  <c r="AH390" i="2"/>
  <c r="AH385" i="2"/>
  <c r="AH413" i="2"/>
  <c r="AH431" i="2"/>
  <c r="AH424" i="2"/>
  <c r="AE424" i="2"/>
  <c r="AE408" i="2"/>
  <c r="AE392" i="2"/>
  <c r="AE433" i="2"/>
  <c r="AE417" i="2"/>
  <c r="AE401" i="2"/>
  <c r="AE385" i="2"/>
  <c r="AE403" i="2"/>
  <c r="AE428" i="2"/>
  <c r="AE412" i="2"/>
  <c r="AE421" i="2"/>
  <c r="AE407" i="2"/>
  <c r="AE432" i="2"/>
  <c r="AE425" i="2"/>
  <c r="AE434" i="2"/>
  <c r="AE426" i="2"/>
  <c r="AE410" i="2"/>
  <c r="AE394" i="2"/>
  <c r="AE435" i="2"/>
  <c r="AE419" i="2"/>
  <c r="AE387" i="2"/>
  <c r="AE396" i="2"/>
  <c r="AE405" i="2"/>
  <c r="AE389" i="2"/>
  <c r="AE423" i="2"/>
  <c r="AE400" i="2"/>
  <c r="AE409" i="2"/>
  <c r="AE430" i="2"/>
  <c r="AE414" i="2"/>
  <c r="AE398" i="2"/>
  <c r="AE391" i="2"/>
  <c r="AE416" i="2"/>
  <c r="AE384" i="2"/>
  <c r="AE393" i="2"/>
  <c r="AE429" i="2"/>
  <c r="AE418" i="2"/>
  <c r="AE399" i="2"/>
  <c r="AE388" i="2"/>
  <c r="AE427" i="2"/>
  <c r="AE422" i="2"/>
  <c r="AE386" i="2"/>
  <c r="AE431" i="2"/>
  <c r="AE404" i="2"/>
  <c r="AE413" i="2"/>
  <c r="AE402" i="2"/>
  <c r="AE397" i="2"/>
  <c r="AE411" i="2"/>
  <c r="AE420" i="2"/>
  <c r="AE415" i="2"/>
  <c r="AE390" i="2"/>
  <c r="AE406" i="2"/>
  <c r="AE395" i="2"/>
  <c r="AD431" i="2"/>
  <c r="AD415" i="2"/>
  <c r="AD399" i="2"/>
  <c r="AD424" i="2"/>
  <c r="AD408" i="2"/>
  <c r="AD392" i="2"/>
  <c r="AD435" i="2"/>
  <c r="AD419" i="2"/>
  <c r="AD403" i="2"/>
  <c r="AD412" i="2"/>
  <c r="AD414" i="2"/>
  <c r="AD398" i="2"/>
  <c r="AD391" i="2"/>
  <c r="AD432" i="2"/>
  <c r="AD433" i="2"/>
  <c r="AD417" i="2"/>
  <c r="AD401" i="2"/>
  <c r="AD385" i="2"/>
  <c r="AD426" i="2"/>
  <c r="AD410" i="2"/>
  <c r="AD394" i="2"/>
  <c r="AD387" i="2"/>
  <c r="AD428" i="2"/>
  <c r="AD396" i="2"/>
  <c r="AD423" i="2"/>
  <c r="AD407" i="2"/>
  <c r="AD416" i="2"/>
  <c r="AD384" i="2"/>
  <c r="AD421" i="2"/>
  <c r="AD405" i="2"/>
  <c r="AD389" i="2"/>
  <c r="AD430" i="2"/>
  <c r="AD400" i="2"/>
  <c r="AD425" i="2"/>
  <c r="AD404" i="2"/>
  <c r="AD429" i="2"/>
  <c r="AD418" i="2"/>
  <c r="AD413" i="2"/>
  <c r="AD388" i="2"/>
  <c r="AD402" i="2"/>
  <c r="AD386" i="2"/>
  <c r="AD420" i="2"/>
  <c r="AD390" i="2"/>
  <c r="AD434" i="2"/>
  <c r="AD427" i="2"/>
  <c r="AD397" i="2"/>
  <c r="AD395" i="2"/>
  <c r="AD393" i="2"/>
  <c r="AD411" i="2"/>
  <c r="AD422" i="2"/>
  <c r="AD406" i="2"/>
  <c r="AD409" i="2"/>
  <c r="AH329" i="2"/>
  <c r="AH336" i="2"/>
  <c r="AH344" i="2"/>
  <c r="AH352" i="2"/>
  <c r="AH360" i="2"/>
  <c r="AH368" i="2"/>
  <c r="AH376" i="2"/>
  <c r="AH334" i="2"/>
  <c r="AH342" i="2"/>
  <c r="AH374" i="2"/>
  <c r="AH365" i="2"/>
  <c r="AH335" i="2"/>
  <c r="AH343" i="2"/>
  <c r="AH351" i="2"/>
  <c r="AH359" i="2"/>
  <c r="AH367" i="2"/>
  <c r="AH375" i="2"/>
  <c r="AH350" i="2"/>
  <c r="AH358" i="2"/>
  <c r="AH366" i="2"/>
  <c r="AH348" i="2"/>
  <c r="AH364" i="2"/>
  <c r="AH333" i="2"/>
  <c r="AH341" i="2"/>
  <c r="AH349" i="2"/>
  <c r="AH357" i="2"/>
  <c r="AH373" i="2"/>
  <c r="AH332" i="2"/>
  <c r="AH340" i="2"/>
  <c r="AH356" i="2"/>
  <c r="AH339" i="2"/>
  <c r="AH354" i="2"/>
  <c r="AH369" i="2"/>
  <c r="AH379" i="2"/>
  <c r="AH331" i="2"/>
  <c r="AH346" i="2"/>
  <c r="AH361" i="2"/>
  <c r="AH337" i="2"/>
  <c r="AH377" i="2"/>
  <c r="AH380" i="2"/>
  <c r="AH353" i="2"/>
  <c r="AH371" i="2"/>
  <c r="AH363" i="2"/>
  <c r="AH330" i="2"/>
  <c r="AH345" i="2"/>
  <c r="AH372" i="2"/>
  <c r="AH370" i="2"/>
  <c r="AH338" i="2"/>
  <c r="AH355" i="2"/>
  <c r="AH347" i="2"/>
  <c r="AH362" i="2"/>
  <c r="AH378" i="2"/>
  <c r="AD329" i="2"/>
  <c r="AD332" i="2"/>
  <c r="AD340" i="2"/>
  <c r="AD348" i="2"/>
  <c r="AD356" i="2"/>
  <c r="AD364" i="2"/>
  <c r="AD372" i="2"/>
  <c r="AD380" i="2"/>
  <c r="AD363" i="2"/>
  <c r="AD371" i="2"/>
  <c r="AD330" i="2"/>
  <c r="AD338" i="2"/>
  <c r="AD346" i="2"/>
  <c r="AD370" i="2"/>
  <c r="AD378" i="2"/>
  <c r="AD331" i="2"/>
  <c r="AD339" i="2"/>
  <c r="AD347" i="2"/>
  <c r="AD355" i="2"/>
  <c r="AD379" i="2"/>
  <c r="AD354" i="2"/>
  <c r="AD362" i="2"/>
  <c r="AD377" i="2"/>
  <c r="AD336" i="2"/>
  <c r="AD344" i="2"/>
  <c r="AD368" i="2"/>
  <c r="AD337" i="2"/>
  <c r="AD345" i="2"/>
  <c r="AD353" i="2"/>
  <c r="AD361" i="2"/>
  <c r="AD369" i="2"/>
  <c r="AD352" i="2"/>
  <c r="AD360" i="2"/>
  <c r="AD333" i="2"/>
  <c r="AD367" i="2"/>
  <c r="AD359" i="2"/>
  <c r="AD365" i="2"/>
  <c r="AD341" i="2"/>
  <c r="AD343" i="2"/>
  <c r="AD358" i="2"/>
  <c r="AD373" i="2"/>
  <c r="AD376" i="2"/>
  <c r="AD351" i="2"/>
  <c r="AD366" i="2"/>
  <c r="AD342" i="2"/>
  <c r="AD374" i="2"/>
  <c r="AD334" i="2"/>
  <c r="AD349" i="2"/>
  <c r="AD375" i="2"/>
  <c r="AD335" i="2"/>
  <c r="AD350" i="2"/>
  <c r="AD357" i="2"/>
  <c r="AE285" i="2"/>
  <c r="AE287" i="2"/>
  <c r="AE303" i="2"/>
  <c r="AE295" i="2"/>
  <c r="AE297" i="2"/>
  <c r="AE288" i="2"/>
  <c r="AE291" i="2"/>
  <c r="AE312" i="2"/>
  <c r="AE300" i="2"/>
  <c r="AE316" i="2"/>
  <c r="AE320" i="2"/>
  <c r="AE292" i="2"/>
  <c r="AE305" i="2"/>
  <c r="AE310" i="2"/>
  <c r="AE321" i="2"/>
  <c r="AE324" i="2"/>
  <c r="AE323" i="2"/>
  <c r="AE284" i="2"/>
  <c r="AE317" i="2"/>
  <c r="AE290" i="2"/>
  <c r="AE322" i="2"/>
  <c r="AE314" i="2"/>
  <c r="AE296" i="2"/>
  <c r="AE309" i="2"/>
  <c r="AE301" i="2"/>
  <c r="AE306" i="2"/>
  <c r="AE304" i="2"/>
  <c r="AE308" i="2"/>
  <c r="AE293" i="2"/>
  <c r="AE315" i="2"/>
  <c r="AE299" i="2"/>
  <c r="AE313" i="2"/>
  <c r="AE302" i="2"/>
  <c r="AE318" i="2"/>
  <c r="AE289" i="2"/>
  <c r="AE307" i="2"/>
  <c r="AE298" i="2"/>
  <c r="AE286" i="2"/>
  <c r="AE319" i="2"/>
  <c r="AE311" i="2"/>
  <c r="AH197" i="2"/>
  <c r="AH200" i="2"/>
  <c r="AH198" i="2"/>
  <c r="AE294" i="2"/>
  <c r="AH219" i="2"/>
  <c r="AH191" i="2"/>
  <c r="AH220" i="2"/>
  <c r="AH210" i="2"/>
  <c r="AH206" i="2"/>
  <c r="AH214" i="2"/>
  <c r="AH193" i="2"/>
  <c r="AH204" i="2"/>
  <c r="AH212" i="2"/>
  <c r="AD209" i="2"/>
  <c r="AD202" i="2"/>
  <c r="AH209" i="2"/>
  <c r="AH205" i="2"/>
  <c r="AH213" i="2"/>
  <c r="AH192" i="2"/>
  <c r="AD207" i="2"/>
  <c r="AD205" i="2"/>
  <c r="AD213" i="2"/>
  <c r="AH216" i="2"/>
  <c r="AH202" i="2"/>
  <c r="AH201" i="2"/>
  <c r="AH211" i="2"/>
  <c r="AD199" i="2"/>
  <c r="AH215" i="2"/>
  <c r="AH283" i="2"/>
  <c r="AH290" i="2"/>
  <c r="AH298" i="2"/>
  <c r="AH306" i="2"/>
  <c r="AH314" i="2"/>
  <c r="AH322" i="2"/>
  <c r="AH321" i="2"/>
  <c r="AH288" i="2"/>
  <c r="AH296" i="2"/>
  <c r="AH312" i="2"/>
  <c r="AH287" i="2"/>
  <c r="AH319" i="2"/>
  <c r="AH286" i="2"/>
  <c r="AH289" i="2"/>
  <c r="AH297" i="2"/>
  <c r="AH305" i="2"/>
  <c r="AH313" i="2"/>
  <c r="AH304" i="2"/>
  <c r="AH320" i="2"/>
  <c r="AH295" i="2"/>
  <c r="AH303" i="2"/>
  <c r="AH311" i="2"/>
  <c r="AH291" i="2"/>
  <c r="AH317" i="2"/>
  <c r="AH323" i="2"/>
  <c r="AH285" i="2"/>
  <c r="AH318" i="2"/>
  <c r="AH316" i="2"/>
  <c r="AH284" i="2"/>
  <c r="AH294" i="2"/>
  <c r="AH300" i="2"/>
  <c r="AH292" i="2"/>
  <c r="AH301" i="2"/>
  <c r="AH307" i="2"/>
  <c r="AH310" i="2"/>
  <c r="AH293" i="2"/>
  <c r="AH299" i="2"/>
  <c r="AH309" i="2"/>
  <c r="AH315" i="2"/>
  <c r="AH324" i="2"/>
  <c r="AH302" i="2"/>
  <c r="AH308" i="2"/>
  <c r="AD283" i="2"/>
  <c r="AD286" i="2"/>
  <c r="AD294" i="2"/>
  <c r="AD302" i="2"/>
  <c r="AD310" i="2"/>
  <c r="AD318" i="2"/>
  <c r="AD309" i="2"/>
  <c r="AD284" i="2"/>
  <c r="AD292" i="2"/>
  <c r="AD300" i="2"/>
  <c r="AD324" i="2"/>
  <c r="AD291" i="2"/>
  <c r="AD307" i="2"/>
  <c r="AD315" i="2"/>
  <c r="AD290" i="2"/>
  <c r="AD285" i="2"/>
  <c r="AD293" i="2"/>
  <c r="AD301" i="2"/>
  <c r="AD317" i="2"/>
  <c r="AD308" i="2"/>
  <c r="AD316" i="2"/>
  <c r="AD299" i="2"/>
  <c r="AD323" i="2"/>
  <c r="AD287" i="2"/>
  <c r="AD311" i="2"/>
  <c r="AD304" i="2"/>
  <c r="AD305" i="2"/>
  <c r="AD320" i="2"/>
  <c r="AD322" i="2"/>
  <c r="AD288" i="2"/>
  <c r="AD312" i="2"/>
  <c r="AD306" i="2"/>
  <c r="AD319" i="2"/>
  <c r="AD303" i="2"/>
  <c r="AD297" i="2"/>
  <c r="AD314" i="2"/>
  <c r="AD295" i="2"/>
  <c r="AD296" i="2"/>
  <c r="AD298" i="2"/>
  <c r="AD313" i="2"/>
  <c r="AD321" i="2"/>
  <c r="AD289" i="2"/>
  <c r="AH194" i="2"/>
  <c r="AH208" i="2"/>
  <c r="AD200" i="2"/>
  <c r="AH207" i="2"/>
  <c r="AH217" i="2"/>
  <c r="AH218" i="2"/>
  <c r="AH196" i="2"/>
  <c r="AH203" i="2"/>
  <c r="AH195" i="2"/>
  <c r="AD217" i="2"/>
  <c r="AD191" i="2"/>
  <c r="AD194" i="2"/>
  <c r="AD192" i="2"/>
  <c r="AD219" i="2"/>
  <c r="AD214" i="2"/>
  <c r="AD211" i="2"/>
  <c r="AD215" i="2"/>
  <c r="AD210" i="2"/>
  <c r="AD206" i="2"/>
  <c r="AD195" i="2"/>
  <c r="AD198" i="2"/>
  <c r="AD212" i="2"/>
  <c r="AD201" i="2"/>
  <c r="AD197" i="2"/>
  <c r="AD218" i="2"/>
  <c r="AD220" i="2"/>
  <c r="AD216" i="2"/>
  <c r="AD203" i="2"/>
  <c r="AD208" i="2"/>
  <c r="AD193" i="2"/>
  <c r="AD196" i="2"/>
  <c r="AE226" i="2"/>
  <c r="AE230" i="2"/>
  <c r="AE234" i="2"/>
  <c r="AE238" i="2"/>
  <c r="AE242" i="2"/>
  <c r="AE246" i="2"/>
  <c r="AE229" i="2"/>
  <c r="AE233" i="2"/>
  <c r="AE237" i="2"/>
  <c r="AE245" i="2"/>
  <c r="AE228" i="2"/>
  <c r="AE240" i="2"/>
  <c r="AE225" i="2"/>
  <c r="AE241" i="2"/>
  <c r="AE236" i="2"/>
  <c r="AE244" i="2"/>
  <c r="AE231" i="2"/>
  <c r="AE227" i="2"/>
  <c r="AE243" i="2"/>
  <c r="AE239" i="2"/>
  <c r="AE235" i="2"/>
  <c r="AD225" i="2"/>
  <c r="AD229" i="2"/>
  <c r="AD233" i="2"/>
  <c r="AD237" i="2"/>
  <c r="AD241" i="2"/>
  <c r="AD245" i="2"/>
  <c r="AD228" i="2"/>
  <c r="AD232" i="2"/>
  <c r="AD236" i="2"/>
  <c r="AD240" i="2"/>
  <c r="AD244" i="2"/>
  <c r="AD235" i="2"/>
  <c r="AD243" i="2"/>
  <c r="AD227" i="2"/>
  <c r="AD231" i="2"/>
  <c r="AD239" i="2"/>
  <c r="AD226" i="2"/>
  <c r="AD242" i="2"/>
  <c r="AD238" i="2"/>
  <c r="AD234" i="2"/>
  <c r="AD246" i="2"/>
  <c r="AD230" i="2"/>
  <c r="AH227" i="2"/>
  <c r="AH231" i="2"/>
  <c r="AH235" i="2"/>
  <c r="AH239" i="2"/>
  <c r="AH243" i="2"/>
  <c r="AH226" i="2"/>
  <c r="AH230" i="2"/>
  <c r="AH234" i="2"/>
  <c r="AH238" i="2"/>
  <c r="AH242" i="2"/>
  <c r="AH246" i="2"/>
  <c r="AH225" i="2"/>
  <c r="AH229" i="2"/>
  <c r="AH237" i="2"/>
  <c r="AH245" i="2"/>
  <c r="AH233" i="2"/>
  <c r="AH241" i="2"/>
  <c r="AH232" i="2"/>
  <c r="AH240" i="2"/>
  <c r="AH236" i="2"/>
  <c r="AH244" i="2"/>
  <c r="AH228" i="2"/>
  <c r="AE219" i="2"/>
  <c r="AE192" i="2"/>
  <c r="AE204" i="2"/>
  <c r="AE211" i="2"/>
  <c r="AE203" i="2"/>
  <c r="AE216" i="2"/>
  <c r="AE205" i="2"/>
  <c r="AE200" i="2"/>
  <c r="AE197" i="2"/>
  <c r="AE215" i="2"/>
  <c r="AE195" i="2"/>
  <c r="AE193" i="2"/>
  <c r="AE201" i="2"/>
  <c r="AE207" i="2"/>
  <c r="AE191" i="2"/>
  <c r="AE199" i="2"/>
  <c r="AE212" i="2"/>
  <c r="AE218" i="2"/>
  <c r="AE214" i="2"/>
  <c r="AE220" i="2"/>
  <c r="AE196" i="2"/>
  <c r="AE210" i="2"/>
  <c r="AE206" i="2"/>
  <c r="AE208" i="2"/>
  <c r="AE217" i="2"/>
  <c r="AE202" i="2"/>
  <c r="AE198" i="2"/>
  <c r="AE213" i="2"/>
  <c r="AE209" i="2"/>
  <c r="W179" i="2"/>
  <c r="X179" i="2" s="1"/>
  <c r="V164" i="2"/>
  <c r="AE170" i="2"/>
  <c r="V172" i="2" s="1" a="1"/>
  <c r="V172" i="2" s="1"/>
  <c r="V154" i="2"/>
  <c r="V160" i="2"/>
  <c r="V191" i="2" l="1"/>
  <c r="AC213" i="2" s="1"/>
  <c r="U468" i="2"/>
  <c r="V251" i="2"/>
  <c r="AC265" i="2" s="1"/>
  <c r="Z329" i="2"/>
  <c r="AG355" i="2" s="1"/>
  <c r="Z251" i="2"/>
  <c r="Y329" i="2"/>
  <c r="AF374" i="2" s="1"/>
  <c r="Y251" i="2"/>
  <c r="V329" i="2"/>
  <c r="AC379" i="2" s="1"/>
  <c r="V384" i="2"/>
  <c r="V440" i="2" s="1"/>
  <c r="V283" i="2"/>
  <c r="AC283" i="2" s="1"/>
  <c r="Y283" i="2"/>
  <c r="Y384" i="2"/>
  <c r="Y440" i="2" s="1"/>
  <c r="Z283" i="2"/>
  <c r="Z384" i="2"/>
  <c r="Z440" i="2" s="1"/>
  <c r="Y191" i="2"/>
  <c r="AF218" i="2" s="1"/>
  <c r="Y225" i="2"/>
  <c r="V225" i="2"/>
  <c r="Z191" i="2"/>
  <c r="Z225" i="2"/>
  <c r="V177" i="2"/>
  <c r="W177" i="2" s="1"/>
  <c r="X177" i="2" s="1"/>
  <c r="AC264" i="2" l="1"/>
  <c r="AC261" i="2"/>
  <c r="AC255" i="2"/>
  <c r="AC260" i="2"/>
  <c r="AC276" i="2"/>
  <c r="AC263" i="2"/>
  <c r="AC270" i="2"/>
  <c r="AC277" i="2"/>
  <c r="AC259" i="2"/>
  <c r="AC275" i="2"/>
  <c r="AC266" i="2"/>
  <c r="AC257" i="2"/>
  <c r="AC256" i="2"/>
  <c r="AC272" i="2"/>
  <c r="AC273" i="2"/>
  <c r="AC251" i="2"/>
  <c r="AC267" i="2"/>
  <c r="AC254" i="2"/>
  <c r="AC252" i="2"/>
  <c r="AF440" i="2"/>
  <c r="AF445" i="2"/>
  <c r="AF453" i="2"/>
  <c r="AF461" i="2"/>
  <c r="AF452" i="2"/>
  <c r="AF448" i="2"/>
  <c r="AF455" i="2"/>
  <c r="AF454" i="2"/>
  <c r="AF444" i="2"/>
  <c r="AF460" i="2"/>
  <c r="AF443" i="2"/>
  <c r="AF451" i="2"/>
  <c r="AF459" i="2"/>
  <c r="AF442" i="2"/>
  <c r="AF458" i="2"/>
  <c r="AF441" i="2"/>
  <c r="AF449" i="2"/>
  <c r="AF450" i="2"/>
  <c r="AF457" i="2"/>
  <c r="AF456" i="2"/>
  <c r="AF447" i="2"/>
  <c r="AF446" i="2"/>
  <c r="AG440" i="2"/>
  <c r="AG446" i="2"/>
  <c r="AG454" i="2"/>
  <c r="AG445" i="2"/>
  <c r="AG453" i="2"/>
  <c r="AG461" i="2"/>
  <c r="AG441" i="2"/>
  <c r="AG457" i="2"/>
  <c r="AG448" i="2"/>
  <c r="AG447" i="2"/>
  <c r="AG444" i="2"/>
  <c r="AG452" i="2"/>
  <c r="AG460" i="2"/>
  <c r="AG451" i="2"/>
  <c r="AG450" i="2"/>
  <c r="AG458" i="2"/>
  <c r="AG456" i="2"/>
  <c r="AG455" i="2"/>
  <c r="AG443" i="2"/>
  <c r="AG459" i="2"/>
  <c r="AG442" i="2"/>
  <c r="AG449" i="2"/>
  <c r="AC440" i="2"/>
  <c r="AC442" i="2"/>
  <c r="AC450" i="2"/>
  <c r="AC458" i="2"/>
  <c r="AC446" i="2"/>
  <c r="AC452" i="2"/>
  <c r="AC451" i="2"/>
  <c r="AC441" i="2"/>
  <c r="AC449" i="2"/>
  <c r="AC457" i="2"/>
  <c r="AC448" i="2"/>
  <c r="AC456" i="2"/>
  <c r="AC447" i="2"/>
  <c r="AC454" i="2"/>
  <c r="AC445" i="2"/>
  <c r="AC461" i="2"/>
  <c r="AC460" i="2"/>
  <c r="AC455" i="2"/>
  <c r="AC453" i="2"/>
  <c r="AC444" i="2"/>
  <c r="AC443" i="2"/>
  <c r="AC459" i="2"/>
  <c r="AC271" i="2"/>
  <c r="AC268" i="2"/>
  <c r="AC253" i="2"/>
  <c r="AC262" i="2"/>
  <c r="AC278" i="2"/>
  <c r="AC269" i="2"/>
  <c r="AC258" i="2"/>
  <c r="AC274" i="2"/>
  <c r="AG269" i="2"/>
  <c r="AG253" i="2"/>
  <c r="AG278" i="2"/>
  <c r="AG262" i="2"/>
  <c r="AG273" i="2"/>
  <c r="AG257" i="2"/>
  <c r="AG266" i="2"/>
  <c r="AG263" i="2"/>
  <c r="AG274" i="2"/>
  <c r="AG271" i="2"/>
  <c r="AG255" i="2"/>
  <c r="AG264" i="2"/>
  <c r="AG275" i="2"/>
  <c r="AG259" i="2"/>
  <c r="AG272" i="2"/>
  <c r="AG258" i="2"/>
  <c r="AG268" i="2"/>
  <c r="AG252" i="2"/>
  <c r="AG277" i="2"/>
  <c r="AG261" i="2"/>
  <c r="AG270" i="2"/>
  <c r="AG254" i="2"/>
  <c r="AG256" i="2"/>
  <c r="AG265" i="2"/>
  <c r="AG267" i="2"/>
  <c r="AG251" i="2"/>
  <c r="AG276" i="2"/>
  <c r="AG260" i="2"/>
  <c r="AF350" i="2"/>
  <c r="AF276" i="2"/>
  <c r="AF260" i="2"/>
  <c r="AF269" i="2"/>
  <c r="AF253" i="2"/>
  <c r="AF264" i="2"/>
  <c r="AF254" i="2"/>
  <c r="AF263" i="2"/>
  <c r="AF272" i="2"/>
  <c r="AF256" i="2"/>
  <c r="AF265" i="2"/>
  <c r="AF278" i="2"/>
  <c r="AF262" i="2"/>
  <c r="AF271" i="2"/>
  <c r="AF255" i="2"/>
  <c r="AF273" i="2"/>
  <c r="AF257" i="2"/>
  <c r="AF266" i="2"/>
  <c r="AF274" i="2"/>
  <c r="AF275" i="2"/>
  <c r="AF259" i="2"/>
  <c r="AF268" i="2"/>
  <c r="AF252" i="2"/>
  <c r="AF277" i="2"/>
  <c r="AF261" i="2"/>
  <c r="AF270" i="2"/>
  <c r="AF258" i="2"/>
  <c r="AF267" i="2"/>
  <c r="AF251" i="2"/>
  <c r="AF366" i="2"/>
  <c r="AF358" i="2"/>
  <c r="AF342" i="2"/>
  <c r="AF334" i="2"/>
  <c r="AF329" i="2"/>
  <c r="AG372" i="2"/>
  <c r="AG362" i="2"/>
  <c r="AG375" i="2"/>
  <c r="AG338" i="2"/>
  <c r="AG333" i="2"/>
  <c r="AG367" i="2"/>
  <c r="AG336" i="2"/>
  <c r="AG339" i="2"/>
  <c r="AG331" i="2"/>
  <c r="AG356" i="2"/>
  <c r="AG348" i="2"/>
  <c r="AG354" i="2"/>
  <c r="AG364" i="2"/>
  <c r="AG373" i="2"/>
  <c r="AG379" i="2"/>
  <c r="AG343" i="2"/>
  <c r="AG344" i="2"/>
  <c r="AG357" i="2"/>
  <c r="AG360" i="2"/>
  <c r="AG349" i="2"/>
  <c r="AG345" i="2"/>
  <c r="AG330" i="2"/>
  <c r="AG342" i="2"/>
  <c r="AG374" i="2"/>
  <c r="AG340" i="2"/>
  <c r="AG366" i="2"/>
  <c r="AG378" i="2"/>
  <c r="AG332" i="2"/>
  <c r="AG368" i="2"/>
  <c r="AG352" i="2"/>
  <c r="AG359" i="2"/>
  <c r="AG337" i="2"/>
  <c r="AG351" i="2"/>
  <c r="AG369" i="2"/>
  <c r="AG365" i="2"/>
  <c r="AG376" i="2"/>
  <c r="AG335" i="2"/>
  <c r="AG371" i="2"/>
  <c r="AG329" i="2"/>
  <c r="AG377" i="2"/>
  <c r="AG341" i="2"/>
  <c r="AG370" i="2"/>
  <c r="AG358" i="2"/>
  <c r="AG361" i="2"/>
  <c r="AG363" i="2"/>
  <c r="AG350" i="2"/>
  <c r="AG346" i="2"/>
  <c r="AG347" i="2"/>
  <c r="AG353" i="2"/>
  <c r="AG380" i="2"/>
  <c r="AG334" i="2"/>
  <c r="AC333" i="2"/>
  <c r="AF369" i="2"/>
  <c r="AF378" i="2"/>
  <c r="AF375" i="2"/>
  <c r="AF377" i="2"/>
  <c r="AF352" i="2"/>
  <c r="AF360" i="2"/>
  <c r="AF361" i="2"/>
  <c r="AF345" i="2"/>
  <c r="AF353" i="2"/>
  <c r="AF351" i="2"/>
  <c r="AF379" i="2"/>
  <c r="AF363" i="2"/>
  <c r="AF347" i="2"/>
  <c r="AF339" i="2"/>
  <c r="AC366" i="2"/>
  <c r="AC380" i="2"/>
  <c r="AC372" i="2"/>
  <c r="AF354" i="2"/>
  <c r="AC351" i="2"/>
  <c r="AF372" i="2"/>
  <c r="AC330" i="2"/>
  <c r="AF356" i="2"/>
  <c r="AC345" i="2"/>
  <c r="AF348" i="2"/>
  <c r="AF365" i="2"/>
  <c r="AF367" i="2"/>
  <c r="AF357" i="2"/>
  <c r="AF344" i="2"/>
  <c r="AF349" i="2"/>
  <c r="AC340" i="2"/>
  <c r="AF370" i="2"/>
  <c r="AF341" i="2"/>
  <c r="AC367" i="2"/>
  <c r="AF335" i="2"/>
  <c r="AF333" i="2"/>
  <c r="AC358" i="2"/>
  <c r="AC336" i="2"/>
  <c r="AC343" i="2"/>
  <c r="AF359" i="2"/>
  <c r="AF362" i="2"/>
  <c r="AC361" i="2"/>
  <c r="AC359" i="2"/>
  <c r="AC354" i="2"/>
  <c r="AF346" i="2"/>
  <c r="AC371" i="2"/>
  <c r="AF336" i="2"/>
  <c r="AF338" i="2"/>
  <c r="AC331" i="2"/>
  <c r="AC341" i="2"/>
  <c r="AC329" i="2"/>
  <c r="AC363" i="2"/>
  <c r="AC373" i="2"/>
  <c r="AC350" i="2"/>
  <c r="AC365" i="2"/>
  <c r="AF371" i="2"/>
  <c r="AC376" i="2"/>
  <c r="AC360" i="2"/>
  <c r="AC352" i="2"/>
  <c r="AC344" i="2"/>
  <c r="AF368" i="2"/>
  <c r="AF355" i="2"/>
  <c r="AF380" i="2"/>
  <c r="AC362" i="2"/>
  <c r="AC364" i="2"/>
  <c r="AF340" i="2"/>
  <c r="AC370" i="2"/>
  <c r="AC375" i="2"/>
  <c r="AC346" i="2"/>
  <c r="AC349" i="2"/>
  <c r="AC338" i="2"/>
  <c r="AF337" i="2"/>
  <c r="AF331" i="2"/>
  <c r="AF332" i="2"/>
  <c r="AC374" i="2"/>
  <c r="AC337" i="2"/>
  <c r="AC357" i="2"/>
  <c r="AC368" i="2"/>
  <c r="AC378" i="2"/>
  <c r="AF343" i="2"/>
  <c r="AF330" i="2"/>
  <c r="AF373" i="2"/>
  <c r="AC334" i="2"/>
  <c r="AC377" i="2"/>
  <c r="AC335" i="2"/>
  <c r="AC347" i="2"/>
  <c r="AC342" i="2"/>
  <c r="AC355" i="2"/>
  <c r="AC332" i="2"/>
  <c r="AC369" i="2"/>
  <c r="AC348" i="2"/>
  <c r="AC356" i="2"/>
  <c r="AC353" i="2"/>
  <c r="AC339" i="2"/>
  <c r="AF376" i="2"/>
  <c r="AF364" i="2"/>
  <c r="AF433" i="2"/>
  <c r="AF417" i="2"/>
  <c r="AF401" i="2"/>
  <c r="AF385" i="2"/>
  <c r="AF426" i="2"/>
  <c r="AF410" i="2"/>
  <c r="AF394" i="2"/>
  <c r="AF396" i="2"/>
  <c r="AF389" i="2"/>
  <c r="AF430" i="2"/>
  <c r="AF398" i="2"/>
  <c r="AF425" i="2"/>
  <c r="AF418" i="2"/>
  <c r="AF402" i="2"/>
  <c r="AF435" i="2"/>
  <c r="AF419" i="2"/>
  <c r="AF403" i="2"/>
  <c r="AF387" i="2"/>
  <c r="AF428" i="2"/>
  <c r="AF412" i="2"/>
  <c r="AF421" i="2"/>
  <c r="AF405" i="2"/>
  <c r="AF414" i="2"/>
  <c r="AF432" i="2"/>
  <c r="AF416" i="2"/>
  <c r="AF400" i="2"/>
  <c r="AF393" i="2"/>
  <c r="AF427" i="2"/>
  <c r="AF423" i="2"/>
  <c r="AF407" i="2"/>
  <c r="AF391" i="2"/>
  <c r="AF384" i="2"/>
  <c r="AF409" i="2"/>
  <c r="AF434" i="2"/>
  <c r="AF386" i="2"/>
  <c r="AF413" i="2"/>
  <c r="AF408" i="2"/>
  <c r="AF390" i="2"/>
  <c r="AF404" i="2"/>
  <c r="AF422" i="2"/>
  <c r="AF397" i="2"/>
  <c r="AF406" i="2"/>
  <c r="AF431" i="2"/>
  <c r="AF424" i="2"/>
  <c r="AF388" i="2"/>
  <c r="AF411" i="2"/>
  <c r="AF392" i="2"/>
  <c r="AF420" i="2"/>
  <c r="AF415" i="2"/>
  <c r="AF395" i="2"/>
  <c r="AF429" i="2"/>
  <c r="AF399" i="2"/>
  <c r="AG426" i="2"/>
  <c r="AG410" i="2"/>
  <c r="AG394" i="2"/>
  <c r="AG435" i="2"/>
  <c r="AG419" i="2"/>
  <c r="AG403" i="2"/>
  <c r="AG387" i="2"/>
  <c r="AG389" i="2"/>
  <c r="AG430" i="2"/>
  <c r="AG398" i="2"/>
  <c r="AG407" i="2"/>
  <c r="AG391" i="2"/>
  <c r="AG418" i="2"/>
  <c r="AG411" i="2"/>
  <c r="AG395" i="2"/>
  <c r="AG428" i="2"/>
  <c r="AG412" i="2"/>
  <c r="AG396" i="2"/>
  <c r="AG421" i="2"/>
  <c r="AG405" i="2"/>
  <c r="AG414" i="2"/>
  <c r="AG423" i="2"/>
  <c r="AG384" i="2"/>
  <c r="AG409" i="2"/>
  <c r="AG393" i="2"/>
  <c r="AG434" i="2"/>
  <c r="AG386" i="2"/>
  <c r="AG432" i="2"/>
  <c r="AG416" i="2"/>
  <c r="AG400" i="2"/>
  <c r="AG425" i="2"/>
  <c r="AG402" i="2"/>
  <c r="AG427" i="2"/>
  <c r="AG413" i="2"/>
  <c r="AG388" i="2"/>
  <c r="AG422" i="2"/>
  <c r="AG397" i="2"/>
  <c r="AG392" i="2"/>
  <c r="AG406" i="2"/>
  <c r="AG401" i="2"/>
  <c r="AG415" i="2"/>
  <c r="AG420" i="2"/>
  <c r="AG424" i="2"/>
  <c r="AG399" i="2"/>
  <c r="AG408" i="2"/>
  <c r="AG433" i="2"/>
  <c r="AG417" i="2"/>
  <c r="AG390" i="2"/>
  <c r="AG404" i="2"/>
  <c r="AG429" i="2"/>
  <c r="AG431" i="2"/>
  <c r="AG385" i="2"/>
  <c r="AC422" i="2"/>
  <c r="AC406" i="2"/>
  <c r="AC390" i="2"/>
  <c r="AC431" i="2"/>
  <c r="AC415" i="2"/>
  <c r="AC399" i="2"/>
  <c r="AC385" i="2"/>
  <c r="AC394" i="2"/>
  <c r="AC435" i="2"/>
  <c r="AC403" i="2"/>
  <c r="AC387" i="2"/>
  <c r="AC421" i="2"/>
  <c r="AC389" i="2"/>
  <c r="AC398" i="2"/>
  <c r="AC424" i="2"/>
  <c r="AC408" i="2"/>
  <c r="AC392" i="2"/>
  <c r="AC433" i="2"/>
  <c r="AC417" i="2"/>
  <c r="AC401" i="2"/>
  <c r="AC426" i="2"/>
  <c r="AC410" i="2"/>
  <c r="AC419" i="2"/>
  <c r="AC405" i="2"/>
  <c r="AC414" i="2"/>
  <c r="AC423" i="2"/>
  <c r="AC391" i="2"/>
  <c r="AC432" i="2"/>
  <c r="AC428" i="2"/>
  <c r="AC412" i="2"/>
  <c r="AC396" i="2"/>
  <c r="AC430" i="2"/>
  <c r="AC407" i="2"/>
  <c r="AC404" i="2"/>
  <c r="AC427" i="2"/>
  <c r="AC425" i="2"/>
  <c r="AC409" i="2"/>
  <c r="AC384" i="2"/>
  <c r="AC388" i="2"/>
  <c r="AC402" i="2"/>
  <c r="AC416" i="2"/>
  <c r="AC400" i="2"/>
  <c r="AC420" i="2"/>
  <c r="AC434" i="2"/>
  <c r="AC429" i="2"/>
  <c r="AC418" i="2"/>
  <c r="AC393" i="2"/>
  <c r="AC413" i="2"/>
  <c r="AC397" i="2"/>
  <c r="AC411" i="2"/>
  <c r="AC395" i="2"/>
  <c r="AC386" i="2"/>
  <c r="AG202" i="2"/>
  <c r="AG211" i="2"/>
  <c r="AC306" i="2"/>
  <c r="AC298" i="2"/>
  <c r="AC323" i="2"/>
  <c r="AC319" i="2"/>
  <c r="AC316" i="2"/>
  <c r="AC324" i="2"/>
  <c r="AC304" i="2"/>
  <c r="AC288" i="2"/>
  <c r="AC310" i="2"/>
  <c r="AC314" i="2"/>
  <c r="AC290" i="2"/>
  <c r="AC309" i="2"/>
  <c r="AC302" i="2"/>
  <c r="AC284" i="2"/>
  <c r="AC293" i="2"/>
  <c r="AC303" i="2"/>
  <c r="AC313" i="2"/>
  <c r="AC321" i="2"/>
  <c r="AC317" i="2"/>
  <c r="AC292" i="2"/>
  <c r="AC296" i="2"/>
  <c r="AC289" i="2"/>
  <c r="AC286" i="2"/>
  <c r="AC294" i="2"/>
  <c r="AC322" i="2"/>
  <c r="AG304" i="2"/>
  <c r="AF283" i="2"/>
  <c r="AC318" i="2"/>
  <c r="AC295" i="2"/>
  <c r="AC307" i="2"/>
  <c r="AC315" i="2"/>
  <c r="AC285" i="2"/>
  <c r="AC311" i="2"/>
  <c r="AC312" i="2"/>
  <c r="AC320" i="2"/>
  <c r="AC308" i="2"/>
  <c r="AC299" i="2"/>
  <c r="AC301" i="2"/>
  <c r="AC287" i="2"/>
  <c r="AC297" i="2"/>
  <c r="AC305" i="2"/>
  <c r="AC300" i="2"/>
  <c r="AC291" i="2"/>
  <c r="AF300" i="2"/>
  <c r="AF323" i="2"/>
  <c r="AF307" i="2"/>
  <c r="AF305" i="2"/>
  <c r="AF292" i="2"/>
  <c r="AF315" i="2"/>
  <c r="AF284" i="2"/>
  <c r="AF306" i="2"/>
  <c r="AF301" i="2"/>
  <c r="AF322" i="2"/>
  <c r="AF285" i="2"/>
  <c r="AF290" i="2"/>
  <c r="AF319" i="2"/>
  <c r="AF295" i="2"/>
  <c r="AG288" i="2"/>
  <c r="AG286" i="2"/>
  <c r="AF313" i="2"/>
  <c r="AF317" i="2"/>
  <c r="AF308" i="2"/>
  <c r="AF294" i="2"/>
  <c r="AF299" i="2"/>
  <c r="AF286" i="2"/>
  <c r="AF311" i="2"/>
  <c r="AG315" i="2"/>
  <c r="AG296" i="2"/>
  <c r="AF320" i="2"/>
  <c r="AF312" i="2"/>
  <c r="AF310" i="2"/>
  <c r="AF291" i="2"/>
  <c r="AF298" i="2"/>
  <c r="AF302" i="2"/>
  <c r="AF304" i="2"/>
  <c r="AG298" i="2"/>
  <c r="AG319" i="2"/>
  <c r="AG305" i="2"/>
  <c r="AG292" i="2"/>
  <c r="AG297" i="2"/>
  <c r="AG324" i="2"/>
  <c r="AF321" i="2"/>
  <c r="AF316" i="2"/>
  <c r="AF289" i="2"/>
  <c r="AF303" i="2"/>
  <c r="AF296" i="2"/>
  <c r="AG303" i="2"/>
  <c r="AG309" i="2"/>
  <c r="AG316" i="2"/>
  <c r="AG295" i="2"/>
  <c r="AG307" i="2"/>
  <c r="AG318" i="2"/>
  <c r="AG321" i="2"/>
  <c r="AG301" i="2"/>
  <c r="AG311" i="2"/>
  <c r="AG313" i="2"/>
  <c r="AF314" i="2"/>
  <c r="AF324" i="2"/>
  <c r="AF309" i="2"/>
  <c r="AF287" i="2"/>
  <c r="AF288" i="2"/>
  <c r="AG323" i="2"/>
  <c r="AG285" i="2"/>
  <c r="AG320" i="2"/>
  <c r="AG308" i="2"/>
  <c r="AG287" i="2"/>
  <c r="AG299" i="2"/>
  <c r="AG300" i="2"/>
  <c r="AG290" i="2"/>
  <c r="AG289" i="2"/>
  <c r="AG317" i="2"/>
  <c r="AG306" i="2"/>
  <c r="AG310" i="2"/>
  <c r="AG283" i="2"/>
  <c r="AG291" i="2"/>
  <c r="AG293" i="2"/>
  <c r="AG302" i="2"/>
  <c r="AG312" i="2"/>
  <c r="AG314" i="2"/>
  <c r="AG322" i="2"/>
  <c r="AG284" i="2"/>
  <c r="AG294" i="2"/>
  <c r="AF297" i="2"/>
  <c r="AF318" i="2"/>
  <c r="AF293" i="2"/>
  <c r="AF211" i="2"/>
  <c r="AF201" i="2"/>
  <c r="AF219" i="2"/>
  <c r="AF204" i="2"/>
  <c r="AF199" i="2"/>
  <c r="AF203" i="2"/>
  <c r="AF196" i="2"/>
  <c r="AF194" i="2"/>
  <c r="AF217" i="2"/>
  <c r="AF202" i="2"/>
  <c r="AF195" i="2"/>
  <c r="AF216" i="2"/>
  <c r="AF208" i="2"/>
  <c r="AF191" i="2"/>
  <c r="AF206" i="2"/>
  <c r="AF200" i="2"/>
  <c r="AF215" i="2"/>
  <c r="AF210" i="2"/>
  <c r="AF213" i="2"/>
  <c r="AF205" i="2"/>
  <c r="AF197" i="2"/>
  <c r="AF214" i="2"/>
  <c r="AF198" i="2"/>
  <c r="AF192" i="2"/>
  <c r="AF207" i="2"/>
  <c r="AF220" i="2"/>
  <c r="AF212" i="2"/>
  <c r="AF209" i="2"/>
  <c r="AF193" i="2"/>
  <c r="AG227" i="2"/>
  <c r="AG231" i="2"/>
  <c r="AG235" i="2"/>
  <c r="AG239" i="2"/>
  <c r="AG243" i="2"/>
  <c r="AG226" i="2"/>
  <c r="AG230" i="2"/>
  <c r="AG234" i="2"/>
  <c r="AG238" i="2"/>
  <c r="AG242" i="2"/>
  <c r="AG246" i="2"/>
  <c r="AG229" i="2"/>
  <c r="AG233" i="2"/>
  <c r="AG237" i="2"/>
  <c r="AG245" i="2"/>
  <c r="AG225" i="2"/>
  <c r="AG241" i="2"/>
  <c r="AG236" i="2"/>
  <c r="AG232" i="2"/>
  <c r="AG244" i="2"/>
  <c r="AG240" i="2"/>
  <c r="AG228" i="2"/>
  <c r="AC225" i="2"/>
  <c r="AC229" i="2"/>
  <c r="AC233" i="2"/>
  <c r="AC237" i="2"/>
  <c r="AC241" i="2"/>
  <c r="AC245" i="2"/>
  <c r="AC228" i="2"/>
  <c r="AC232" i="2"/>
  <c r="AC236" i="2"/>
  <c r="AC240" i="2"/>
  <c r="AC244" i="2"/>
  <c r="AC227" i="2"/>
  <c r="AC235" i="2"/>
  <c r="AC243" i="2"/>
  <c r="AC231" i="2"/>
  <c r="AC239" i="2"/>
  <c r="AC226" i="2"/>
  <c r="AC242" i="2"/>
  <c r="AC238" i="2"/>
  <c r="AC234" i="2"/>
  <c r="AC230" i="2"/>
  <c r="AC246" i="2"/>
  <c r="AF226" i="2"/>
  <c r="AF230" i="2"/>
  <c r="AF234" i="2"/>
  <c r="AF238" i="2"/>
  <c r="AF242" i="2"/>
  <c r="AF246" i="2"/>
  <c r="AF225" i="2"/>
  <c r="AF229" i="2"/>
  <c r="AF233" i="2"/>
  <c r="AF237" i="2"/>
  <c r="AF241" i="2"/>
  <c r="AF245" i="2"/>
  <c r="AF228" i="2"/>
  <c r="AF232" i="2"/>
  <c r="AF240" i="2"/>
  <c r="AF236" i="2"/>
  <c r="AF244" i="2"/>
  <c r="AF243" i="2"/>
  <c r="AF239" i="2"/>
  <c r="AF231" i="2"/>
  <c r="AF235" i="2"/>
  <c r="AF227" i="2"/>
  <c r="AC192" i="2"/>
  <c r="AC191" i="2"/>
  <c r="AC203" i="2"/>
  <c r="AC197" i="2"/>
  <c r="AC205" i="2"/>
  <c r="AC204" i="2"/>
  <c r="AC217" i="2"/>
  <c r="AC214" i="2"/>
  <c r="AC206" i="2"/>
  <c r="AC195" i="2"/>
  <c r="AC216" i="2"/>
  <c r="AC218" i="2"/>
  <c r="AG196" i="2"/>
  <c r="AG204" i="2"/>
  <c r="AG217" i="2"/>
  <c r="AG201" i="2"/>
  <c r="AC210" i="2"/>
  <c r="AG193" i="2"/>
  <c r="AG209" i="2"/>
  <c r="AG214" i="2"/>
  <c r="AC209" i="2"/>
  <c r="AC202" i="2"/>
  <c r="AG206" i="2"/>
  <c r="AC193" i="2"/>
  <c r="AC194" i="2"/>
  <c r="AG215" i="2"/>
  <c r="AG195" i="2"/>
  <c r="AG216" i="2"/>
  <c r="AG207" i="2"/>
  <c r="AG208" i="2"/>
  <c r="AC220" i="2"/>
  <c r="AC198" i="2"/>
  <c r="AC207" i="2"/>
  <c r="AG200" i="2"/>
  <c r="AC212" i="2"/>
  <c r="AC196" i="2"/>
  <c r="AG198" i="2"/>
  <c r="AG213" i="2"/>
  <c r="AG205" i="2"/>
  <c r="AG219" i="2"/>
  <c r="AG197" i="2"/>
  <c r="AC219" i="2"/>
  <c r="AG192" i="2"/>
  <c r="AG194" i="2"/>
  <c r="AG220" i="2"/>
  <c r="AG203" i="2"/>
  <c r="AG212" i="2"/>
  <c r="AG191" i="2"/>
  <c r="AC201" i="2"/>
  <c r="AC208" i="2"/>
  <c r="AC211" i="2"/>
  <c r="AG218" i="2"/>
  <c r="AG199" i="2"/>
  <c r="AG210" i="2"/>
  <c r="AC215" i="2"/>
  <c r="AC200" i="2"/>
  <c r="AC1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tc={7EC160D0-7903-4F81-8188-D5A44BEE7DE5}</author>
    <author>tc={DBF7C4D3-2B3D-7D45-AFE6-807F25674CA8}</author>
    <author>tc={5C1D56E4-7A96-6F40-B951-5EC2F24F74CA}</author>
    <author>Binh</author>
  </authors>
  <commentList>
    <comment ref="I15" authorId="0" shapeId="0" xr:uid="{7EC160D0-7903-4F81-8188-D5A44BEE7DE5}">
      <text>
        <t>[Threaded comment]
Your version of Excel allows you to read this threaded comment; however, any edits to it will get removed if the file is opened in a newer version of Excel. Learn more: https://go.microsoft.com/fwlink/?linkid=870924
Comment:
    Link bồn rửa đôi:
https://inoxyennam.com/products/bon-rua-cong-nghiep-2-hoc-ps1678?utm_source=googleads&amp;utm_medium=shopping&amp;gad_source=1&amp;gad_campaignid=20819235080&amp;gbraid=0AAAAAo0i8GlWrDY-PSdsoJbbQzGqURhNA&amp;gclid=CjwKCAjw6NrBBhB6EiwAvnT_rq_A3qEtsz8T90Klq7xiust9hGcwKByVTXXXWqJOLrtr3RnIjmhHlBoCjl4QAvD_BwE</t>
      </text>
    </comment>
    <comment ref="AC17" authorId="1" shapeId="0" xr:uid="{DBF7C4D3-2B3D-7D45-AFE6-807F25674CA8}">
      <text>
        <t xml:space="preserve">[Threaded comment]
Your version of Excel allows you to read this threaded comment; however, any edits to it will get removed if the file is opened in a newer version of Excel. Learn more: https://go.microsoft.com/fwlink/?linkid=870924
Comment:
    Deposit two months of the year 0 </t>
      </text>
    </comment>
    <comment ref="AC28" authorId="2" shapeId="0" xr:uid="{5C1D56E4-7A96-6F40-B951-5EC2F24F74CA}">
      <text>
        <t>[Threaded comment]
Your version of Excel allows you to read this threaded comment; however, any edits to it will get removed if the file is opened in a newer version of Excel. Learn more: https://go.microsoft.com/fwlink/?linkid=870924
Comment:
    https://vneconomy.vn/lam-phat-nam-2024-duoc-kiem-soat-hieu-qua.htm#:~:text=%E2%80%9CGI%E1%BB%AE%20CH%C3%82N%E2%80%9D%20L%E1%BA%A0M%20PH%C3%81T%20C%E1%BA%A2,c%E1%BB%A7a%20Vi%E1%BB%87t%20Nam%20n%C4%83m%202024.</t>
      </text>
    </comment>
    <comment ref="U128" authorId="3" shapeId="0" xr:uid="{74E92951-3ECC-4E0E-A18C-309D2D5C8FCE}">
      <text>
        <r>
          <rPr>
            <sz val="15"/>
            <color rgb="FF000000"/>
            <rFont val="Tahoma"/>
            <family val="2"/>
          </rPr>
          <t>Market or Project NCF</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futureMetadata name="XLDAPR" count="1">
    <bk>
      <extLst>
        <ext uri="{bdbb8cdc-fa1e-496e-a857-3c3f30c029c3}">
          <xda:dynamicArrayProperties fDynamic="1" fCollapsed="0"/>
        </ext>
      </extLst>
    </bk>
  </futureMetadata>
  <cellMetadata count="1">
    <bk>
      <rc t="2" v="0"/>
    </bk>
  </cell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<sst xmlns="http://schemas.openxmlformats.org/spreadsheetml/2006/main" count="783" uniqueCount="457">
  <si>
    <t>Machinery and equipment</t>
  </si>
  <si>
    <t>Renovation</t>
  </si>
  <si>
    <t>Parameter table</t>
  </si>
  <si>
    <t>Type of kitchen</t>
  </si>
  <si>
    <t>Price per unit</t>
  </si>
  <si>
    <t>Quantity</t>
  </si>
  <si>
    <t>Price</t>
  </si>
  <si>
    <t>Image</t>
  </si>
  <si>
    <t>Brand</t>
  </si>
  <si>
    <t>Capacity</t>
  </si>
  <si>
    <t>Link</t>
  </si>
  <si>
    <t>Comment</t>
  </si>
  <si>
    <t>Construction items</t>
  </si>
  <si>
    <t>price per unit</t>
  </si>
  <si>
    <t>quantity of unit</t>
  </si>
  <si>
    <t>unit</t>
  </si>
  <si>
    <t>price (VND)</t>
  </si>
  <si>
    <t>link</t>
  </si>
  <si>
    <t>Micro kitchen</t>
  </si>
  <si>
    <t>.</t>
  </si>
  <si>
    <t>Electrical and water systems</t>
  </si>
  <si>
    <t>sqm</t>
  </si>
  <si>
    <t>2 door upright freezer - refrigerator</t>
  </si>
  <si>
    <t>Toshiba</t>
  </si>
  <si>
    <t>555l</t>
  </si>
  <si>
    <t>Durable, multi-tech</t>
  </si>
  <si>
    <t>Fire protection system</t>
  </si>
  <si>
    <t>Cooler table</t>
  </si>
  <si>
    <t>Hoshizaki</t>
  </si>
  <si>
    <t>199l</t>
  </si>
  <si>
    <t>Compact, suitable for small kitchens</t>
  </si>
  <si>
    <t>plaster wall</t>
  </si>
  <si>
    <t>313,6</t>
  </si>
  <si>
    <t>54.880.000</t>
  </si>
  <si>
    <t>Investment</t>
  </si>
  <si>
    <t>Year 0</t>
  </si>
  <si>
    <t>Item</t>
  </si>
  <si>
    <t>Detail</t>
  </si>
  <si>
    <t>Value</t>
  </si>
  <si>
    <t>Unit</t>
  </si>
  <si>
    <t>Number of unit</t>
  </si>
  <si>
    <t>Small dough mixer</t>
  </si>
  <si>
    <t>Goodfor</t>
  </si>
  <si>
    <t>15l</t>
  </si>
  <si>
    <t>Power and capacity enough for small kitchens</t>
  </si>
  <si>
    <t>sem wall</t>
  </si>
  <si>
    <t>19,2</t>
  </si>
  <si>
    <t>6.720.000</t>
  </si>
  <si>
    <t>Operation</t>
  </si>
  <si>
    <t>Year 1-9</t>
  </si>
  <si>
    <t>Kitchen rental price</t>
  </si>
  <si>
    <t>Standard Large</t>
  </si>
  <si>
    <t>VND/month</t>
  </si>
  <si>
    <t>Single sink + stainless steel table</t>
  </si>
  <si>
    <t>Nam Việt</t>
  </si>
  <si>
    <t>70l</t>
  </si>
  <si>
    <t>Vietnamese brand, reasonable price</t>
  </si>
  <si>
    <t>Water treatment system</t>
  </si>
  <si>
    <t>m3</t>
  </si>
  <si>
    <t>Liquidation</t>
  </si>
  <si>
    <t>Year 10</t>
  </si>
  <si>
    <t>(year 0)</t>
  </si>
  <si>
    <t xml:space="preserve">Special Medium </t>
  </si>
  <si>
    <t>Ingredient shelf</t>
  </si>
  <si>
    <t>Hidavico</t>
  </si>
  <si>
    <t>First aid kit</t>
  </si>
  <si>
    <t>kit</t>
  </si>
  <si>
    <t>Standard Medium</t>
  </si>
  <si>
    <t>Total</t>
  </si>
  <si>
    <t>Standard Small</t>
  </si>
  <si>
    <t>Land rent</t>
  </si>
  <si>
    <t>Special Micro</t>
  </si>
  <si>
    <t>Small kitchen</t>
  </si>
  <si>
    <t>Deposit (year 0)</t>
  </si>
  <si>
    <t>Rental of</t>
  </si>
  <si>
    <t>months</t>
  </si>
  <si>
    <t>Executive Mirco</t>
  </si>
  <si>
    <t>Freezer</t>
  </si>
  <si>
    <t>Kenshin</t>
  </si>
  <si>
    <t>1055l</t>
  </si>
  <si>
    <t>Popular industrial brand, reasonable price, moderate capacity</t>
  </si>
  <si>
    <t>Rental in year 0</t>
  </si>
  <si>
    <t>Standard Micro</t>
  </si>
  <si>
    <t>405l</t>
  </si>
  <si>
    <t>Capital strucutre of the project</t>
  </si>
  <si>
    <t>Increase</t>
  </si>
  <si>
    <t>/year</t>
  </si>
  <si>
    <t>Price increase</t>
  </si>
  <si>
    <t>Small convection oven</t>
  </si>
  <si>
    <t>Southstar</t>
  </si>
  <si>
    <t>Reasonable price, multi-function, can grill many types of food</t>
  </si>
  <si>
    <t>Total investment in year 0</t>
  </si>
  <si>
    <t>Extractor hood &amp; double sink</t>
  </si>
  <si>
    <t>Samsung &amp; Yến Nam</t>
  </si>
  <si>
    <t>500 x 500 x 300mm</t>
  </si>
  <si>
    <t>Prestigious brand + High quality Vietnamese goods</t>
  </si>
  <si>
    <t>Debt</t>
  </si>
  <si>
    <t>of total investment in year 0 and our payment schedule is expended over 4 years</t>
  </si>
  <si>
    <t>Renovation &amp; setup</t>
  </si>
  <si>
    <t>VND</t>
  </si>
  <si>
    <t>Financing</t>
  </si>
  <si>
    <t>Double fryer</t>
  </si>
  <si>
    <t>12l</t>
  </si>
  <si>
    <t xml:space="preserve">Equity </t>
  </si>
  <si>
    <t xml:space="preserve">Equipment </t>
  </si>
  <si>
    <t>total investment</t>
  </si>
  <si>
    <t>4 burner European stove</t>
  </si>
  <si>
    <t>Thiên Bình</t>
  </si>
  <si>
    <t>Interest rate</t>
  </si>
  <si>
    <t>TCB</t>
  </si>
  <si>
    <t>Economic lifetime</t>
  </si>
  <si>
    <t>Years</t>
  </si>
  <si>
    <t>Thương hiệu Việt Nam, giá cả phù hợp</t>
  </si>
  <si>
    <t>Treasury bill</t>
  </si>
  <si>
    <t>per year and in the duration in 10 years</t>
  </si>
  <si>
    <t>Labor cost</t>
  </si>
  <si>
    <t>Period</t>
  </si>
  <si>
    <t>years</t>
  </si>
  <si>
    <t>Rm</t>
  </si>
  <si>
    <t>Return rate of VN Index averaged in 10 years back then</t>
  </si>
  <si>
    <t>Admin &amp; manager</t>
  </si>
  <si>
    <t>number</t>
  </si>
  <si>
    <t>people</t>
  </si>
  <si>
    <t>Medium kitchen</t>
  </si>
  <si>
    <t>Beta</t>
  </si>
  <si>
    <t>https://vlab.stern.nyu.edu/volatility/VOL.VNINDEX%3AIND-R.EGARCH</t>
  </si>
  <si>
    <t>Freezer &amp; Cooler</t>
  </si>
  <si>
    <t>CAPM</t>
  </si>
  <si>
    <t xml:space="preserve">Maintenance technician and mechanic </t>
  </si>
  <si>
    <t>European stove + fryer + grill</t>
  </si>
  <si>
    <t>Berjaya</t>
  </si>
  <si>
    <t>900 x 790 x 1070mm</t>
  </si>
  <si>
    <t>Vacuum packing machine</t>
  </si>
  <si>
    <t>Alpha</t>
  </si>
  <si>
    <t>Janitor</t>
  </si>
  <si>
    <t>WACC</t>
  </si>
  <si>
    <t>Semi-automatic dishwasher</t>
  </si>
  <si>
    <t>Ultrasonic</t>
  </si>
  <si>
    <t>1105l</t>
  </si>
  <si>
    <t>Extractor hood &amp; Sink</t>
  </si>
  <si>
    <t>Samsung</t>
  </si>
  <si>
    <t>Securityman</t>
  </si>
  <si>
    <t>Inflation rate</t>
  </si>
  <si>
    <t>Tax rate</t>
  </si>
  <si>
    <t>Pursuant to Articles 10, 13 and 14 of the 2008 Law on Corporate Income Tax, amended and supplemented by Article 1 of the 2013 Law on Corporate Income Tax, 
and detailed instructions by Article 10 of Decree 218/2013/ND-CP stipulating the 2025 corporate income tax rate currently being applied</t>
  </si>
  <si>
    <t>No VAT</t>
  </si>
  <si>
    <t>Large kitchen</t>
  </si>
  <si>
    <t>Coporate income tax</t>
  </si>
  <si>
    <t>Management and Sales</t>
  </si>
  <si>
    <t>Year 1-10</t>
  </si>
  <si>
    <t>Freezer, refrigerator, small cooling storage</t>
  </si>
  <si>
    <t>1630l</t>
  </si>
  <si>
    <t>(Year 0 pricing)</t>
  </si>
  <si>
    <t>year 9</t>
  </si>
  <si>
    <t>Bigstar</t>
  </si>
  <si>
    <t>460 x 450 x 110mm</t>
  </si>
  <si>
    <t>Working capital</t>
  </si>
  <si>
    <t>AR (Account Receivable)</t>
  </si>
  <si>
    <t>Revenue</t>
  </si>
  <si>
    <t>Conveyor</t>
  </si>
  <si>
    <t>Maruyasu</t>
  </si>
  <si>
    <t>1m</t>
  </si>
  <si>
    <t>Phù hợp cho bếp lớn cần dây chuyền</t>
  </si>
  <si>
    <t>CB (Cash Balance)</t>
  </si>
  <si>
    <t>Other equipments</t>
  </si>
  <si>
    <t>1. CPI TABLE</t>
  </si>
  <si>
    <t>Docker lever</t>
  </si>
  <si>
    <t>Tân Phát</t>
  </si>
  <si>
    <t>Year</t>
  </si>
  <si>
    <t>Dolly</t>
  </si>
  <si>
    <t>Phong Thạnh</t>
  </si>
  <si>
    <t>300kg</t>
  </si>
  <si>
    <t>Inflation index</t>
  </si>
  <si>
    <t>Rental increase</t>
  </si>
  <si>
    <t>Equipment cost</t>
  </si>
  <si>
    <t>2. DEPRECIATION SCHEDULE (VND)</t>
  </si>
  <si>
    <t>Beginning value</t>
  </si>
  <si>
    <t>Tentative parameter</t>
  </si>
  <si>
    <t>Depreciation</t>
  </si>
  <si>
    <t>Timeframe</t>
  </si>
  <si>
    <t>Accumulated depreciation</t>
  </si>
  <si>
    <t>Phase One</t>
  </si>
  <si>
    <t>year</t>
  </si>
  <si>
    <t>Ending value</t>
  </si>
  <si>
    <t>Phase Two</t>
  </si>
  <si>
    <t>3. SALES (VND) (no sales in year 0)</t>
  </si>
  <si>
    <t>Project Expenditure</t>
  </si>
  <si>
    <t>Discription of work</t>
  </si>
  <si>
    <t>Anticipated costed</t>
  </si>
  <si>
    <t>Reference comparison</t>
  </si>
  <si>
    <t>Land rent: 880 sqm with the size of 16x55 meters where its frontage is the 16-meter side in Tan Phu district, this land is used to renovate and change the function into a shared-kitchen center, F&amp;B logistics hub</t>
  </si>
  <si>
    <r>
      <t xml:space="preserve">This land lot located in the central of the crowded area of Tan Phu district, near big recreational center, opposite the Celadon City (the most ultra luxurious residential area in Tan  Phu) and this land lot has been used as: billiards center, showroom and cafe kid With numerous advantageous criteria, the rental cost of it is: 75 million VND per month in year 0, paid monthly or quarterly in the last day of the time period During the first year of contruction and investment, land owner will waive land rent 50% to encourage this project in the long term From year 1 to the end, rental will be adjusted according to the nominal inflation rate. The payment terms require us to </t>
    </r>
    <r>
      <rPr>
        <b/>
        <sz val="11"/>
        <color rgb="FFFF0000"/>
        <rFont val="Aptos Narrow (Body)"/>
      </rPr>
      <t>deposit in 2 month</t>
    </r>
    <r>
      <rPr>
        <sz val="11"/>
        <color rgb="FF000000"/>
        <rFont val="Aptos Narrow"/>
        <family val="2"/>
        <scheme val="minor"/>
      </rPr>
      <t xml:space="preserve"> in year 0 (using the current price in year 0)  and will be refuded in the year of liquidation. The price of land rent will increase by 2% per year for general payment term.</t>
    </r>
  </si>
  <si>
    <t>Compared to other rental cost in the same district with the competitive attraction, the others are a bit higher such as 100M VND per month but the frontage is smaller, the size of the land lot is hard to transformed the usage and the road is narrow Additionally, the rental price in other districts such as district 8, district 2 are different, some are higher, some are located in rural cities The project's land is quite competitve and outstanding in general and it's suitable  for contruction a giant project like shared-kitchen</t>
  </si>
  <si>
    <t>Building renovation steps</t>
  </si>
  <si>
    <t>1 Kitchen setup</t>
  </si>
  <si>
    <r>
      <t xml:space="preserve">The total one-time cost for the contractor is </t>
    </r>
    <r>
      <rPr>
        <b/>
        <sz val="11"/>
        <color rgb="FF000000"/>
        <rFont val="Aptos Narrow"/>
        <family val="2"/>
        <scheme val="minor"/>
      </rPr>
      <t xml:space="preserve">299,163,450 </t>
    </r>
    <r>
      <rPr>
        <sz val="11"/>
        <color rgb="FF000000"/>
        <rFont val="Aptos Narrow"/>
        <family val="2"/>
        <scheme val="minor"/>
      </rPr>
      <t>VND</t>
    </r>
  </si>
  <si>
    <t>2 Infrastructure</t>
  </si>
  <si>
    <t>The economic lifetime of these properties is 10 years</t>
  </si>
  <si>
    <t>3 Specialized room</t>
  </si>
  <si>
    <t>Asset: System of the machines, equipment, internal setups</t>
  </si>
  <si>
    <r>
      <rPr>
        <sz val="11"/>
        <color rgb="FF000000"/>
        <rFont val="Aptos Narrow"/>
        <family val="2"/>
        <scheme val="minor"/>
      </rPr>
      <t xml:space="preserve">The total cost of equipment purchase and installation is </t>
    </r>
    <r>
      <rPr>
        <b/>
        <sz val="11"/>
        <color rgb="FF000000"/>
        <rFont val="Aptos Narrow"/>
        <family val="2"/>
      </rPr>
      <t>748,371,400 VND</t>
    </r>
    <r>
      <rPr>
        <sz val="11"/>
        <color rgb="FF000000"/>
        <rFont val="Aptos Narrow"/>
        <family val="2"/>
        <scheme val="minor"/>
      </rPr>
      <t>, a one-time payment in the year of investment The equipment cost will be evenly distributed over 10 years of operation in the form of depreciation The economic lifetime of these properties is 15 years</t>
    </r>
  </si>
  <si>
    <t>Total Sales</t>
  </si>
  <si>
    <t>4. LABOR COSTS (VND)</t>
  </si>
  <si>
    <t>Total labor cost</t>
  </si>
  <si>
    <t>5. EXPENDITURE TABLE (VND)</t>
  </si>
  <si>
    <t>Sales structure</t>
  </si>
  <si>
    <t>Management cost charged per kitchen according to their unit of sqm</t>
  </si>
  <si>
    <t>18 200 VND/sqm, this follows the exchange rate of 26000VND/USD at the time the project starts in the market</t>
  </si>
  <si>
    <t>Account receivable: since we are the service supplier and management agent, we will accept extended payment holidays including management fee, rental per kitchen, electricity, water, waste treatment with the rate of 4% of direct revenue</t>
  </si>
  <si>
    <t>Name of the segment</t>
  </si>
  <si>
    <t xml:space="preserve">Code of unit </t>
  </si>
  <si>
    <t>No. of units</t>
  </si>
  <si>
    <t>Ground floor area (GFA_sqm)</t>
  </si>
  <si>
    <t>Rental price, VND/month</t>
  </si>
  <si>
    <t>Note</t>
  </si>
  <si>
    <t>Land rental costs</t>
  </si>
  <si>
    <t>However, during the liquidation year, we do not accept delayed payment  or extended paying period which are too long or over 2 payment terms, all assets must be sold and paied a slum sum (no debt)</t>
  </si>
  <si>
    <t>STANDARD LARGE</t>
  </si>
  <si>
    <t>12-14</t>
  </si>
  <si>
    <t>The most advanced kitchen with high capacity and massive volume of production per day, placed in the cental of the zone, far away from the Waste treatmet and highly appoachable for shipping agents</t>
  </si>
  <si>
    <t>Labor costs</t>
  </si>
  <si>
    <t>Cash balance: estimated at about 0.3% of annual direct revenue from shared-kitchen tenants, this makes sure our project can cover for spontaneous and unexpected expense</t>
  </si>
  <si>
    <t xml:space="preserve">SPECIAL MEDIUM </t>
  </si>
  <si>
    <t>1</t>
  </si>
  <si>
    <t xml:space="preserve">Expose the frontage and the most expensive site of the area where it's easy for sales and delivery men to pick up, easy for material fill up and can use the frontage for marketing </t>
  </si>
  <si>
    <t>Total operating cost</t>
  </si>
  <si>
    <t>Account payable: the shared-kitchen system is required giant investment cost during the buying of high-tech machines, internal technology but we decided to pay once in year 0 and no AP recured in the following years</t>
  </si>
  <si>
    <t>STA NDARD MEDIUM</t>
  </si>
  <si>
    <t>15-19</t>
  </si>
  <si>
    <t>Located in the central of the zone but they don't have the frontage and take time to deliver final product for shipping and have to use cargo to get the ingredients</t>
  </si>
  <si>
    <t>Management and Sales cost</t>
  </si>
  <si>
    <t>The shareholders and board of directors agree on the plan without receivable delays over 2 successive years or they will be forced and fined according to our payment term in the contract</t>
  </si>
  <si>
    <t>STANDARD SMALL</t>
  </si>
  <si>
    <t>20-23</t>
  </si>
  <si>
    <t>Located at the leftside of the map and at the corner, take long distance for delivery and far from the entrance and this zone is a compound so it's far the exit door</t>
  </si>
  <si>
    <t>Total cost</t>
  </si>
  <si>
    <t>AR</t>
  </si>
  <si>
    <t>4% of direct annual revenue</t>
  </si>
  <si>
    <t>SPECIAL MICRO</t>
  </si>
  <si>
    <t>2</t>
  </si>
  <si>
    <t xml:space="preserve">Expose the frontage and the most expensive site of the area where it's easy for sales and delivery men to pick up, easy for material fill up and can use the frontage for marketing, but it's smaller than other segments </t>
  </si>
  <si>
    <t>CB</t>
  </si>
  <si>
    <t>0.3% of direct annual revenue</t>
  </si>
  <si>
    <t>EXECUTIVE MIRCO</t>
  </si>
  <si>
    <t>3</t>
  </si>
  <si>
    <t xml:space="preserve">Also a sub-category of miro, but it doesn't expose directly to the frontage so the price of it is lower than the special one in the same segmentation </t>
  </si>
  <si>
    <t>STANDARD MICRO</t>
  </si>
  <si>
    <t>5-10</t>
  </si>
  <si>
    <t>Located near the entrance but it's very small, suitable for small-size kitchen and beverage stall, access nearby facilities and infrastructure of the zone</t>
  </si>
  <si>
    <t>6. LOAN SCHEDULE (VND)</t>
  </si>
  <si>
    <t>Total rented revenue from tenants per month</t>
  </si>
  <si>
    <t>Beginning balance</t>
  </si>
  <si>
    <t>Variable cost</t>
  </si>
  <si>
    <t>Accrued interest</t>
  </si>
  <si>
    <t>1 Human resouce</t>
  </si>
  <si>
    <t>Adjusted by the inflation rate</t>
  </si>
  <si>
    <t>Management and sales</t>
  </si>
  <si>
    <t>At year 0 pricing, the estimated annual cost for management and sales (covering categories such as office operations, technology equipment, management software, internet services, and office supplies) is approximately 46 million. These costs are assumed to grow annually in line with inflation. In the year of liquidation, the expenses are projected to be 30% of the inflation-adjusted cost from the preceding year.</t>
  </si>
  <si>
    <t>Payments</t>
  </si>
  <si>
    <t>Job title</t>
  </si>
  <si>
    <t>Role description</t>
  </si>
  <si>
    <t>No. of labor</t>
  </si>
  <si>
    <t>Salary per labor</t>
  </si>
  <si>
    <t>Items</t>
  </si>
  <si>
    <t>Version</t>
  </si>
  <si>
    <t xml:space="preserve">     + Principal repayment</t>
  </si>
  <si>
    <t>General administration cum operation manager</t>
  </si>
  <si>
    <t>- Execute tenants' leasing contract
- Quality control and manage the operating procedure within the organization
- Pay salay for employee incluing securities, maintainnace, mechanics, cleaners….
- Make sure tenants pay on time
- Internal andexternal communication within the organization</t>
  </si>
  <si>
    <t>- Basic salary for management-level employee in Tan Phu district with the same tasks and responsibilities</t>
  </si>
  <si>
    <t>Technology &amp; licsences</t>
  </si>
  <si>
    <t>Microsoft for Business</t>
  </si>
  <si>
    <t>Microsoft 365</t>
  </si>
  <si>
    <t xml:space="preserve">     + Interest payment</t>
  </si>
  <si>
    <t>- Maintain the smooth operation in the rental area
- Fix and backup in case of broken items
- Operate the waste treatment room, electricity room, water cleaning room
- Follow up on the daily operation of the center such as lightning system, fire camp, cargo delivery, dock leverage....</t>
  </si>
  <si>
    <t>- This role requires multi-knowledge to maintain the smooth of work and they are key controlers for the safety of the shared-kitchen center</t>
  </si>
  <si>
    <t>Misa Accounting system</t>
  </si>
  <si>
    <t>Misa 2025</t>
  </si>
  <si>
    <t>Ending balance</t>
  </si>
  <si>
    <t>- Clean and maintain the hygiene standard in the area, make sure all kitchens sites and corridors are tidy and safe for food supply</t>
  </si>
  <si>
    <t>- Basic salary since they just work at specific time such as the early morning or after all kitchens close at night</t>
  </si>
  <si>
    <t>Internet fee</t>
  </si>
  <si>
    <t>Viettel</t>
  </si>
  <si>
    <t>Wifi 2.4/5G</t>
  </si>
  <si>
    <t>- Keep the shared-kitchen zone safe and secure without criminals, conflict, argument, no thiefs, make sure all the machines are protected</t>
  </si>
  <si>
    <t xml:space="preserve">- Securityman will work 24/7 but we employ 2 men to work in opposite shifts in the whole day and we keep this zone safe and professional for businesses to work </t>
  </si>
  <si>
    <t>Office operation fee (including water, electricity, internal use of facilities….)</t>
  </si>
  <si>
    <t>Office Saigon</t>
  </si>
  <si>
    <t>Normal use</t>
  </si>
  <si>
    <t>8. INCOME STATEMENT TIPV</t>
  </si>
  <si>
    <t>Total salary per month</t>
  </si>
  <si>
    <t>Marketing to promote sales when vaccant</t>
  </si>
  <si>
    <t>Haravan</t>
  </si>
  <si>
    <t>Small enterprise</t>
  </si>
  <si>
    <t>Stationary</t>
  </si>
  <si>
    <t>Multi-sources</t>
  </si>
  <si>
    <t>Common items</t>
  </si>
  <si>
    <t>(-) Management and sales</t>
  </si>
  <si>
    <r>
      <t xml:space="preserve">(-) Total operating  cost </t>
    </r>
    <r>
      <rPr>
        <b/>
        <sz val="13"/>
        <rFont val="Times New Roman"/>
        <family val="1"/>
      </rPr>
      <t>(excluding deppreciation)</t>
    </r>
  </si>
  <si>
    <t>EBIT</t>
  </si>
  <si>
    <t>(-) Interest payment</t>
  </si>
  <si>
    <t>EBT</t>
  </si>
  <si>
    <t>Taxable income</t>
  </si>
  <si>
    <t>Corporate income tax</t>
  </si>
  <si>
    <t>Net income (NI)</t>
  </si>
  <si>
    <t>9. WORKING CAPITAL (MILLION DONG)</t>
  </si>
  <si>
    <t>Accounts receivable (AR)</t>
  </si>
  <si>
    <t>Change in accounts receivable</t>
  </si>
  <si>
    <t>Cash balance</t>
  </si>
  <si>
    <t>Change in cash balance</t>
  </si>
  <si>
    <t>10. CASH FLOW STATEMENT (TIPV)</t>
  </si>
  <si>
    <t>CASH INFLOWS (CIFs)</t>
  </si>
  <si>
    <t>Total sales</t>
  </si>
  <si>
    <t>Salvage value</t>
  </si>
  <si>
    <t>Rental deposit refund</t>
  </si>
  <si>
    <t>Change in AR</t>
  </si>
  <si>
    <t>Total cash inflows</t>
  </si>
  <si>
    <t>CASH OUTFLOWS (COFs)</t>
  </si>
  <si>
    <t>Renovation and setup</t>
  </si>
  <si>
    <t>Machinery and equipments</t>
  </si>
  <si>
    <t>Rental</t>
  </si>
  <si>
    <t>Rental deposit</t>
  </si>
  <si>
    <t>Management and sales cost</t>
  </si>
  <si>
    <t>Change in CB</t>
  </si>
  <si>
    <t>Tax</t>
  </si>
  <si>
    <t>Total cash outflows</t>
  </si>
  <si>
    <t>NET CASH FLOWS TIPV</t>
  </si>
  <si>
    <t>11. CASH FLOW STATEMENT (EPV)</t>
  </si>
  <si>
    <t>Loan disbursement</t>
  </si>
  <si>
    <t>Payment</t>
  </si>
  <si>
    <t>NET CASH FLOWS EPV</t>
  </si>
  <si>
    <t>12. PROJECT ASSESSMENT CRITERIA</t>
  </si>
  <si>
    <t>Net present value</t>
  </si>
  <si>
    <t>NPV (TIPV)</t>
  </si>
  <si>
    <t>NPV (EPV)</t>
  </si>
  <si>
    <t>Benefit-cost ratio (TIPV)</t>
  </si>
  <si>
    <t>BCR (View 1)</t>
  </si>
  <si>
    <t>BCR (View 2)</t>
  </si>
  <si>
    <t>IRR</t>
  </si>
  <si>
    <t>IRR (TIPV)</t>
  </si>
  <si>
    <t>IRR (EPV)</t>
  </si>
  <si>
    <t>Payback period (PP)</t>
  </si>
  <si>
    <t>Accumulated NCF (TIPV)</t>
  </si>
  <si>
    <t>Accumulated NCF (EPV)</t>
  </si>
  <si>
    <t>PP (TIPV)</t>
  </si>
  <si>
    <t>PP(EPV)</t>
  </si>
  <si>
    <t>Time duration to pay debt</t>
  </si>
  <si>
    <t>TIPV</t>
  </si>
  <si>
    <t>Months</t>
  </si>
  <si>
    <t>Days</t>
  </si>
  <si>
    <t>EPV</t>
  </si>
  <si>
    <t>Annual debt service coverage ratio (ADSCR) TIPV</t>
  </si>
  <si>
    <t xml:space="preserve">ADSCR </t>
  </si>
  <si>
    <t>13. RISK ASSESSMENT</t>
  </si>
  <si>
    <t xml:space="preserve">List some market risks or systematic risks that are going to effect the feasibility and profitability of the project </t>
  </si>
  <si>
    <t>One way change in Price of large kitchen, the most expensive price ever in the segmention of the shared-kitchen hub</t>
  </si>
  <si>
    <t>If change in some item is greater than change in the price, the format will be red color</t>
  </si>
  <si>
    <t>Price of Large Kitchen</t>
  </si>
  <si>
    <t>One-way sensitivity analysis</t>
  </si>
  <si>
    <t>Percentage change</t>
  </si>
  <si>
    <t>Price of Special Medium Kitchen</t>
  </si>
  <si>
    <t>Salary of Manager</t>
  </si>
  <si>
    <t>Price of Standard Medium Kitchen</t>
  </si>
  <si>
    <t>Occupancy rate of tenant</t>
  </si>
  <si>
    <t>Occupancy rate when take into consideration is the overall since in fact, a lot of tenants move in and move out each month and this situation continue to varies. So, to simplify the project, the occupancy rate in Shared-kitchen 4.0 can be understood as the real capacity of production in manuufacturing company</t>
  </si>
  <si>
    <t>General for all types</t>
  </si>
  <si>
    <r>
      <t xml:space="preserve">Total Sales </t>
    </r>
    <r>
      <rPr>
        <b/>
        <sz val="13"/>
        <color rgb="FFD00000"/>
        <rFont val="Times New Roman"/>
        <family val="1"/>
      </rPr>
      <t>(Based on generalized occupancy rate we noticed on the parameter table)</t>
    </r>
  </si>
  <si>
    <t>Occupancy rate in year 1</t>
  </si>
  <si>
    <t>Sensitivity Two-way Analysis</t>
  </si>
  <si>
    <t>Price of standard large kitchen</t>
  </si>
  <si>
    <t>Rental price is set in year 0 after consulting with other agents in the the same business characteristics, price of rental will increasing slightly by 3% per year and also be adjusted according the inflation rate. Occupancy rate when take into consideration is the overall since in fact, a lot of tenants move in and move out each month and this situation continue to varies. So, to simplify the project, the occupancy rate in Shared-kitchen 4.0 can be understood as the real capacity of production in manuufacturing company</t>
  </si>
  <si>
    <t>$AC$15</t>
  </si>
  <si>
    <t>$AC$20</t>
  </si>
  <si>
    <t>$W$10</t>
  </si>
  <si>
    <t>$W$34</t>
  </si>
  <si>
    <t>Best Scenario</t>
  </si>
  <si>
    <t>The best case is describe as when AR is smallen down tp 2%, Interest rate decreases by 9.5%, Occupancy rate in year 1 is 80% and Land rent is 70M VND
Modified by admin on 7/6/2025</t>
  </si>
  <si>
    <t>Common Screnario</t>
  </si>
  <si>
    <t>This is the common case in the marekt where occupancy rate is not too high but not to low, interest rate is about 12.5%, land rent in general is 80,mVND while AR is about 5% since tenants can not pay all
Modified by admin on 7/6/2025</t>
  </si>
  <si>
    <t>Worst Scenario</t>
  </si>
  <si>
    <t>Worst Scenario is expected to happen when sudden situation appears such as Covid pandemic. In this case, the interest rate is higher at about 15%, occupancy rate in year 1 is just 50%, land rent increased to 85mVND, AR is 8% where tenant cann't pay</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</si>
  <si>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</si>
  <si>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</si>
  <si>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</si>
  <si>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</si>
  <si>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</si>
  <si>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</si>
  <si>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</si>
  <si>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$V$154</t>
  </si>
  <si>
    <t>$V$155</t>
  </si>
  <si>
    <t>$V$159</t>
  </si>
  <si>
    <t>$V$160</t>
  </si>
  <si>
    <t>$V$164</t>
  </si>
  <si>
    <t>$V$165</t>
  </si>
  <si>
    <t>$V$172</t>
  </si>
  <si>
    <t>$V$173</t>
  </si>
  <si>
    <t>SCENARIO ANALYSIS</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</si>
  <si>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</si>
  <si>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</si>
  <si>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</si>
  <si>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</si>
  <si>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</si>
  <si>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</si>
  <si>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</si>
  <si>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</si>
  <si>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</si>
  <si>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</si>
  <si>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</si>
  <si>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</si>
  <si>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923de31e-b8b9-45ce-b426-6acf60b4c476</t>
  </si>
  <si>
    <t>CB_Block_0</t>
  </si>
  <si>
    <t>㜸〱敤㕣㔹㙣㈴㐷ㄹ㥥㙡捦㡣愷挷昶摡㔹㙦㡥つ㈱㌱〹㈱㈴㕥㥣昵㈶㑢〸戰㉣㍥戲㐷昰慥㥤戵㜷ㄳ〴㘸戶㍤㔳扤敥散㜴户搳摤攳㕤㠷㐸㠹㈰攱㄰㤷〸㠷〸㠴㐳ㄱ㐲攲㠵㑢攲捥ぢㄲㄲ㠷ㄲ㠹〷㜸㐰昰㄰㄰㠲〷㄰㕡挱ぢ㐸㐸昰㝤搵摤㌳摤㌳㥥戶㌳㐹挰㐱慥捤晣慥慥慢慢敡㍦敢晦慢㤳ㄳ戹㕣敥摦㐸晣换㤴㘷收㥡挵㜵㍦㤰昶挴㡣㕢慦换㙡㘰戹㡥㍦㌱攵㜹挶晡㥣攵〷㝤㘸㔰慣㔸愸昷ぢㄵ摦㝡㔰㤶㉡㙢搲昳搱愸㤰换㤵㑡扡㠶㝡づ挲摦㐸晣愰戳搷㘰ㅥ㘰㘹㘶㝡㝥昹㝥㡣扡ㄸ戸㥥摣㌷㜶㈶散㝢㘸㜲㜲㘲㜲攲攰晥摢㕦㍦戱㝦摦搸㑣愳ㅥ㌴㍣㜹挸㤱㡤挰㌳敡晢挶ㄶㅡ换㜵慢晡㌶戹扥攴㥥㤷捥㈱戹扣晦戶㘵攳昶㌷㑣摥㝥昰愰㜹攷㥤㙦ㄸ挴慢㜳㈷㘷愶ㄷ㍣㘹晡㉦搲㤸〵㑥昹昶㔹㔹戵戸㌶㈹㍤换㌹㌷㌱㌳㡤晦ㄲ昳挷搳ㅤㄳ㡢㉢㔲〶㝣戵昴愴㔳㤵扥㡥㡥〳昶㤴敦㌷散㔵㙥㥥㙥ㅦ挱㔲慢㠶ㅦㄴ散ㄹ㔹慦敢㜶㍣㙡挹㥥挷摥搵㡤昵㐱㝢㔱㍡扥ㄵ㔸㙢㔶戰㕥戴㤷㌰㔰㙤挸㍥敤换㔳㠶㜳㑥㥥㌴㙣㔹戰㡦㌶慣㕡㍥㑣戹扥㥢攲㈱㤲ㄳ㔳换㥦㤸昲敤㤹ㄵ挳㔳㌳昲戹㌱ㄹ㙤㡦㜸搵㜴摢ㅢ扡㡦换愹慢㌷㜰捣ㅢ扢户㐳捤ㄹ挳㙢戶ㅣ敦摥㌲㕡㝣㝡〶户㜶㙦㥦搸愳㜴㥦㥢扢昷㔱㕢㤹㙥㉤〶㈲晡㔶㍢㡡挵攸㐵㠲㝥㠲ㄲ〱ㄱ愸㤷〹〶〸〶〱㐴晥敦攰㤲㘴㐷㔶㘹ㄵ㐳慢㉣㙢㤵慡㔶愹㘹ㄵ愹㔵㑣慤㜲㑥慢慣㘸ㄵ㑢慢摣慦㔵捥愳㑤㥣㑡晤晤㕡㤴扥戵㜴捦㠵挹㝦晥敤攸挷㝦昶扡摦攴㠷扥㕤ㅥ摣㠵㐶昷㐴㤳㥡昵㡣ぢ㈰戵ㄶㄵㅦ㤸搸捦㝦㥢㜳〵㤸挲㍣㘸摥㘱㑥㑥搶づ敥㌷㙥㌳ち㕣㔶〶昲㔳㠴㌲㠲戶㠳收扤㤶㔳㜳㉦㈸摣㕤㌳㙤昸戲戵㜱攳㔱摤戴摢㜰㙡晥㉢㌶慥㕣っ㡣㐰㕥摤㕥搷ㅡ愴愳摢㈲搸㑡晡敡㝤搷戶㜷㍢㘳搴ㅢ㜲敡愲ㄵ㔶扦戲慤摡㕥昰摣攵敥戵㐷㍣昹㐰戳戶㘳㐶㔳㄰㙡㙢㙡散㡥㔵㠶㔵攱扣挶㘶㔶㕣㕦㍡㙡㝡攳昶㠲㔵㍤㉦扤㐵㐹㤱㈸㙢㙡愹㤷戳㉡攲晡昱㜹〷ぢ〵户搶慥㑦㤶㥡㜷㕤っ挰捣戲㠶昹慥㑡㉦㔸㕦㌲㤶敢昲㡡㔴㤳昰㥤愸搸㥢㉡㍥攲㔶ㅢ晥㡣敢〴㥥㕢㑦搷㑣搵搶っ㐸㥡摡〹户㈶昳昹㥣ㄲち㄰戸㝤㝤㐲攴㙥改捥ぢちㄱ〹ㄴ㤳㤱慦㑡㤳摤挴㈹慣づ慢愸㑢搲愴昶敡㑤〶攳㝣㤵㡣挹攰挰挴㥡愸㍦昸搲搷㙥㌲㙣ㄳ㜳㉦㙤㘳㑤ㅢ㡤㔶㝦搷㥡㜴㠲㘳㠶㔳慢㑢㉦㔳晢〹捥㐸ㅦ〶㈸㕣㠲㐰攸扡㝢㔴㜵攲愲㔸㉦㕣戰㙡挱㑡㜱㐵㕡攷㔶〲㤴㐱㐳㤶㑡摣摡㡥愴㕦㠶㈲㝤㌷挱㈸㐰戹㥣㉢敥㘱愳㘲ㄹ㈹㔷愰㜴捡攰攵㤴㈰㘷扦ㄴ㉦て㥡㐷慣㝡㈰㐳愱㍣㙣〲㈳愱㔶㔳攸ㅢ㈲㠹㝡㐶㌵㔴ㄸ㝢捣ㄹ㔰愹㘱㌹挱㝡㡢㙦㍢戸㈴㈴愲ㅤ㔹戰敤㘴〱㐵㐱㕡ㅥ㘴昰ㅡ㠸愶㑤ㅡ㘴㌷㑥㄰ㄱ搹㈰㐳戳㘳攴㌴㤱戱㝤㠶㡣㐰晢㈴ㄱ戲昵晥敥㌲㠲挴摥㐹愴散搴㤵ㅦ㜷愴搹㐶戶㝣㈸捤㉥挷挶改㔷㄰㕣㐹㜰ㄵ挱㕥〰昱㐷㐸㌸㑡㌹攴搳㐹㝦〵㥥昵㙢〸㕥〹〰昹愴㔳收㐴愲㡡㌶搴㔶散㐸戶ㅢ㠲㥤慣㡣攲㔰ㄴ搱㌲㙥摡㤹㐳戶㐲㜴㘴㜵㙥て㕤㥢㔷㍡昶㌵摤㘹㌳戹ㅣ㔲㘴㐶搳攴㕡㌷㘹㥡摣〸㌶敤㔱㙦㕤㠷慥晡ㄸ挱慢〰捡晡昵㠴㔰㉥㌴㜸户㘶搱搳愴㝣㔹㤸㐵愱㌱搴愳㠲㡦〸㤹㐷㠰っ㈱搷㜱㝣搹戱愱㘹づ㡥㥢㉦㝢ㅢ㝡㕦㜷晥㡥㤰摥愶㌷㜷昴づ晤㐵捦搳㡡扥〱散㈵㝥摢㔵挷摣㠸㙡晤㌵〴㌷〱戴改ㄸ㥥扥㥦慦愷㐰㤹挵㜶〲㜳扢改㜵㔱㔶敥搲晡慡㔴ㅡ㘸搰㕣㌲扣㜳㌲㠰〷攳昸㉣㙣㘱搷昳㘴ㅤ㠷摡㥡㉡攰昹攵捡㜴愱㝦挴㜳㙤㤶敦搸挸晥换㐲㌱攴昳㕡㕦慥捤㐶捥戰㌵ㄳ㍥愷〴攵㔰〷摦搶㕤㐸㈴㍡愵挹㡢晤戲捦㤷㍢㤲愴〷㐹㜲㌳戶㔵扦〵〰㔲㐲晣慡慢㐴搹挷㘶慦㔳捤搲ㄶ㉢㍤㝣ㄹ愷㤳㌶ㅦ㘲㠷ㅣㄹ〸ㅤ戶搳昰ㅦ昸㐳昶愲㘵㌷㠵挵㠰扤㈰扤㉡㝣ぢ㔶㕤㤶㐳户㉣㐵捤㡥慣㜸㤹挸㡡扥扥㡥昳㜴㠶㝦㑤搱㐹㥢㤴挸攴昶捣捡㡣戳㜸㡢愸攸㠶愴㔰挹㜰つ㌵㈵㄰㈹㡦㙤㜷㐴㑣て㈲收㔶㙣㥣扥㥦㘰㤲攰〰㐰攱㔹㐸㥡慤㙥㍣挳㘱晤㙢㜴㘹㔷㉡戹ㄲ搱愰㕣㠴捦㜴ㄵ㔶〷昹㥡搷ㄳ摣〱搰㘶晥搰〱㤹㐱㠸ち攵〹㐲㔴㘱っ昳㡣㈵㉦㤰〶㜶㤹〸㉣捤㌴晣挰戵ㄹ㔹ㅡ㌲㘷摤㤳㙥㌰㙢昹慢㠸㐴㡤㥡㔱收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㘴㥦㌷〲摣㝤昴昴昱㔶㘴敥〵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㘳戴㠲扡ㅤ〱㤱愳搲愵昸づ挶愵㠷㔱ㄲち㈱㘲㍤㠳㐴攰ㄵ㑣〸㜹扡戸㡢收㘹挷ち㠰㍤㘲散㠸ㄵ捣晡㐰㌹〰戲敡㜸㝢戵挲㙡愲搳㜸㔳㉢㕣搷㔹㤵㔲ㄳ搷㜶搶㈷昵挶慢㌷愸づ㌵㑡㐲㤱㙣搶㐸㘹㤶つ收戸㥤㔴㡤㔰㡡㍢搶㌶㈲换㙤摡摡㜷㑡㤱ㄷ愰㤸ㄴ捤攴昴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㝡㔸㝣昶〹愶慦ㅥ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戴㔵㐴㤷〵て捣㑥ㅣ㌳㠲敡捡㘲戰ㅥ㕥摣敡㤵㈴ち㑦挳ㅦ戱攱摢㘹㌳攷ㅤ㕥㐴㕤攳摥㤷捦㍢敥〵㐷捤慢攰昳搶ㅦ㈸〴㔷㈸晢㌹挹㜲敥摦昸愷㤲㤶㉢晣㄰㈳㙥㘵摡ㅣ愰攵㈰攱㌸㉡㠵搲㘰っ昹っ㍡㠱敤摥扣㌵㐰㍡搹搳㐶㈷㑡㄰散㄰㡡㜳敥㐵㈳ㄴ昱〳愰㤵挴ㄲㅥ挹戱攷㕦〱敢㡢敦愳㠴〸挷㜳㈴㐶ち慦㐲㉥〳㜵㑡㤰㐷㔷㍣㜸㈱攴晦〷㑢㌱㌷㙦挸㑥晦〵㘶ㄶ摦㙢㐷搱戵㐴搱㜷㍢㔰㈴㜸つ㐴昱敦摤挸挴愹挰昰散昳ち㠴㜳㑤㍢〷搰㤷晣挲敦晦昰〰㍡ㄷㄱ㠷戲搱㄰㙡扢ㄱ捦㑤ㄳ愱慦挳㐴㘰昰㕥㤹〸㈷㤰ㄱ㡣攲㠷㈶㐲攴〳㤹㐷挱收㈶〲㘳㝢ㄹ㠶㘰㈲搴㥡㜰㙢昰〴㜶㠵㑤晦搸㌱㕣扣㤵㍥攲昹㔰㕡晥っ㍣㔲㔷㜶ㄶ㉦ㄸ㥥㘱敦㔵攵㐷㍤〹㘵收㉤攱㈶户敡挲ㅥ㔷㙦㔸愳㍡㙤攰慢㠸扤散㍢晥㤴慤摤㕦〷愶挲ㄴ扡敦㐵㐹ㄴ㕦㠰愷㐴昰摣㤰㝢昷㥥慦ㅤ晤摤㠳㡦ㅥ收㙤戵㠸㔶ぢ户㈰摦㑢挸㥥昶〴㠲扡㠹㡢㈲㤷昳挳㥣ㄳ昸㐴挹㕡慤换㘹挳㔳㔶㤰慦摢㜱㌶㈴扣〴㘱㠶挴户ㅤ㑣㑣摣㝢〸㑤捣㠹㌶㜷愷晡戰㐹戹〸㈷ㄲㄳ㔷㍥扤㌸㙣㈸扡㉡戲ㅥ慤捤挲㌷愰㡡㥥攷㐴搲㔶㈲㑦㥤㑣㐲㝣扤㕤搷ㅤ愴慥ぢて㌲っ晢挷㔲ち昱〷㔲㐸昲㈰挳ぢ〱㑡㑡㥤㐲愶㜰㉢㐰㐶㘴慤㍤挴㑢㝦挰㡥㄰㤰捤㑢㝦㍤㝥挴㠲㕤〴ㄶ㘳㕦㝣慦㈷㕡摡愲戱㙡㘲愸㔶搹㌴㡢挸愸挳ぢぢ㈶攳搲㤴愵㜳〰愵㕢㜶㐷昱㈵㐳㜶ㄸ㜸ぢㄹ扢㘰搳搷㔶戶敦㜲ㅡ戸昹〱㍤㔳㔴ち挳搹捤㘲ㅣ㐸㔵㡣㉥㙣㕡づ㡢〸㠷挳㙣戳搳㐰㔴〵㥤攵散挵愹ㄴ挱㍦㝥㈹挴晡昱搶搰㤷户搷㔰挷㌹晤㔸㈰㝦戰扦慥捤㘰㙣扣㤵ㅣ〳〹扢愵㔶愵昰㝡昸㘹㜴攱愲㜳㐲㙦㘵搵戳㌸㠸㍦㌱㘷昵㘹ㅤ晡㥦搱㙢挵㔹㘷搸㥢㘱散㤴晥扦て〵㥢敡㝦挱搸㥢㐲攴摢愳っㅦち㡣㥦㙣ㅡ戲攱㡥挰戳㡤攰㡤㍡ㄸ敢㉡换㤰㜷㤸㕢挴挷慢㘱戵㤲攰昰㝢攵摢慦㐶㌴晢搲戶ㅤ攸㉡〰ㄹㅢ㉡㝣〵㈲愸㙢晦戴摣㡡㑦户挵㜷愰攳㥥ㄳ㔶搵㜳㝤搷っ挶ㄶㄱ昴ㅤ攳户㘷㈶㙣㥥㈹昱攵㜶愱㜶〳㜶㘲昰㕤攸㜳㜲ㅥ〲晢愴っ㕥慣㔸㈴㈳ぢ㕢㡢㘴昰㍢愴㤱㐴㜸㠹摡挱扦捣扣愷㘱搴昱改敡㍣㝣㥤〱㡢戶㠵戲ぢ㍤捥敤㌷㌴戸㜵戸愳昵㌶昸㠳㘴㝤〲挱㌱戵㠴㜷扣㡢晢摡扥〷改戶搱摡㝣戶散捤攷㔶㉥㍣〵㥣㙥敤㉤㘹㤲攱㍢昹㐵㜲㔹慦㄰攲搲晥㘱晣摤扡㠳㤶愳㡤㠲捥愳て扡改〸ㅢ慦挳㝤戶㠵攸昷㔹㜴ㄵ㔳〴昸改㐶㤴攱㠳愰㤷㡦慣㈸扥㠰㘵㤱〱㤰捦ㄵ慢〰摤愹晡挹㡤愸㝡㈴ㄶ挸㠲㘷っ㤲㘳㔹㝣づつ戹㕤攱戲挱ㄲ㕣戶㔰㘷〹攴昵戸〷昲㌹挱戳㠴㥡挸㘷搰愱㌹ㄱぢ愵摤㈷昲改㡤㈶㈲㘸〵愸㠵㈶挷ㅦ㠹戵㠸㕥㐷戵㙥ㄳ㌸〴㉥挰㌰挵㈲㘵㑤㌱っ㉤㝣㥦㤸㐱晡㐵昴昷戹挳捦㍥挳昴㤷挳㐲〹㐲㔴愵㈷㑦㐱愸㈶晦戱攴攴㍤㤴㜶㥦晣㐷㌶㥡晣〸㘵㈴㘷愲〷〰㐳㝤愲㠲㍦㙡㌱つ㘴戸㡦晣㠹戳〴昸愵㘶㌱㘲愰㐴昵扤㠰っ晡㜲挳㔵慢㡢挸挴㝤ぢ㕣㝦挶挷㍤捡㍥攲㐵㐸晡㜲㡡愱㌳戶ㄸ㙡挵㤲ㅤ㜹㘱户㠵㙣挰㤲昸戵㙣㔷㤱㕥散㌱挲㉦摥ㅦ㈳收搸戱昸换㈹㉤㡡㌹㠱㌰㐲㡢㤴昴挳㡤ㄴ敦㡢ㅢ㝦昳㍢㉤㤷㈹㉡㤰㐰㍤㘱㘳搲㤹㙡晣㔸摣昸〰扥捡㔲㙤㜲扣㐱挰昴㕣摣㤸昴愸ㅡ㍦ㅡ㌷晥昳㠱扤捤挶㌱ㅤ㠶㈳ㄷ㐸㈴ㄹ戶慥戲晥ㄳ㕦㘸て愳㜹挱愴晥ㅣ㌰挳㘲㑡㑥ㄵ㍡慥㉢つ㍡㠸换㈰ㅥ扥㤱㥥挳摤㈶㕣〱㠱㤰つ晦㔷〹挷㜱攷㘹搶〸っ㝣〲扤㠶㘰戳愷慢㈷㜶㉥㥡昳ㅥち晡捤攳㍥捥㔴戵㙤㐵㈲㌰〷昲攱晥㙥攲㤴捦㌰ㅤ㕢晢ㄱ〷挹㌴摥㈱改㑤㜹愸挰㑡㕥扣㈷挶㙣敥㤱ㄶ捤攸て〳㌹㤰㡥㠰捣攸㡦〰㠶㠱ㄸ摥㔶捥㡤㤰晦ㄵ㜳扦㠷ㄵ敦㈵㜸ㄴ愰㉣挸散愴㠳攲㘳〰挳昱晦愸㘲㙣㑤昹㑢㌴昱㘰晣戲㈴ㄹ改敦㘷㠷て〰昴挱㝤㉢㈲㈲㉣敢ㅦ㐴㐹昲愵ㄴㅣ敡愵ㅦ㘲挵㠷〹㍥〲㔰㉥㜰戲㕢摥㌵慥愹㐷捤昵㔱㜴ㄵ㡦㄰攰愷㝦㉣捡昰愱挰㝤㜸㔳㜷㕢㤹㐷攱昸挳㝥㠴㍡㔳㕦昰摦㠵㉦昲搷戹攸㍥晣て㐹ち捡戰捦㙢㙦散㙤㉣㌲〱㙤㜲昵㕢挵㘶扦㠰㜱戸慥㔶〴㠵㈳㔲愹㤴戴愲㈰扥戹㘰攱攲つ㝣换㈱㔵㈱〴㘹㐰㔵㌸㔱挵㘱ㄴ攸㥦㘰㔳攲㤸㜸搲㍦挹㈷愲㔶㙤攲愷愲っㅦ〴昱慡扡摦ㅦ㜵㡦㕦㐸㕣慢ち慢敤㠵挴扦慡㔸㐹扥昰〹づ愶㤰㠵㑣㕡㉢ㄱ㘹㡡㠶㍥㠷捣㔰摦㌰攷㜶㉦㝥摡㐵㔱㍤㕢㍢㝢昶ㅦ挳昹戱慢昳昷扤㜵昰㠹攷㝥晥晢挷㝦昹捥㐳㝦晡搷㤳㑦晥昲て㡦㍦昳慦愷㤷て晤攴愹愷㝥㝣昷ㄷ㥦昹晤㙥昳㑢摡㜷晥㌱昷愵㠷㈶捦㍦昴㠰㜹晡㤶愳て扤晤晥㝢㈶ㄷ㉥ㅢ敦敢敢敦扦㘹昴愷㔷扤㜶攴㤱〷扥㈷㝥昴敢㉢ㅤ愱㤶㡢ㄷ愴愷挱㘵慢㘹㝣ㅥㄹ㑣㠳㌳㝥㐹愷挱攵慡㡤㕡㡥㌶㙡ㅡ〵㈵昸㌴㌸〱㔵㘱愴㉢〶晥〳愴摤戲愲</t>
  </si>
  <si>
    <t>Decisioneering:7.0.0.0</t>
  </si>
  <si>
    <t>854dd59d-9a29-48b5-892f-f39b391ea265</t>
  </si>
  <si>
    <t>CB_Block_7.0.0.0:1</t>
  </si>
  <si>
    <t>㜸〱敤㕣㕢㙣ㅣ㔷ㄹ摥㌳摥㕤敦慣敤搸㡤搳㑢㑡㘹㑤㑢㕢愸㠳ㅢ愷〹㙤㠱㄰㝣㘹㉥挵㠹摤搸㐹㐱㠰㌶攳摤㌳昱㌴㍢㌳敥捣慣ㄳ㤷㑡慤愰摣㙦㔲戹㠸㐲戹㔵愸ㄲ㉦㐰㐱㉡搷ㄷ㈴㈴㄰ㄴ㠹〷㜸㐰攲愱㈰〴て㈰ㄴ㠹ㄷㅥ㤰攰晢捥捣散捥散㝡挷敥戶〵ㄷ昹愴晢晢捣戹捤㌹攷扦㥥晦㍦搳㥣挸攵㜲晦㐶攲㕦愶㍣㌳搷㉤慥晢㠱戴㈷㘶摣㝡㕤㔶〳换㜵晣㠹㈹捦㌳搶攷㉣㍦攸㐳㠳㘲挵㐲扤㕦愸昸搶㐳戲㔴㔹㤳㥥㡦㐶㠵㕣慥㔴搲㌵搴㜳㄰晥㐶攲〷㥤扤〶昳〰㑢㌳搳昳换て㘰搴挵挰昵攴扥戱戳㘱摦挳㤳㤳ㄳ㤳ㄳ㠷昶ㅦ㝣攳挴晥㝤㘳㌳㡤㝡搰昰攴㘱㐷㌶〲捦愸敦ㅢ㕢㘸㉣搷慤敡摢攵晡㤲㝢㐱㍡㠷攵昲晥㍢㤶㡤㠳㜷㑤ㅥ㍣㜴挸扣晢敥扢〶昱敡摣愹㤹改〵㑦㥡晥㑢㌴㘶㠱㔳㍥㌸㉢慢ㄶ搷㈶愵㘷㌹攷㈷㘶愶昱㕦㘲晥㜸扡㜳㘲㜱㐵捡㠰慦㤶㥥㜴慡搲搷搱㜱挰㥥昲晤㠶扤捡捤搳敤愳㔸㙡搵昰㠳㠲㍤㈳敢㜵摤㡥㐷㉤搹昳搸扢扡戱㍥㘸㉦㑡挷户〲㙢捤ち搶㡢昶ㄲ〶慡つ搹㘷㝣㜹摡㜰捥换㔳㠶㉤ぢ昶戱㠶㔵换㠷㈹搷㜷㙢㍣㐴㜲㘲㙡昹ㄳ㔳扥㍤戳㘲㜸㙡㐶㍥㌷㈶愳敤㔱慦㥡㙥㝢㔳昷㜱㌹㜵昵〶㡥㜹㜳昷㜶愸㌹㙢㜸捤㤶攳摤㕢㐶㡢㑦捦攰昶敥敤ㄳ㝢㤴敥昳晡敥㝤搴㔶愶㕢㡢㠱㠸扥搵㡥㘲㌱㝡㤱愰㥦愰㐴㐰〴敡㘵㠲〱㠲㐱〰㤱晦〷戸㈴搹㤱㔵㕡挵搰㉡换㕡愵慡㔵㙡㕡㐵㙡ㄵ㔳慢㥣搷㉡㉢㕡挵搲㉡て㘸㤵ぢ㘸ㄳ愷㔲㝦扦ㄶ愵㜳㕦晢敥㕦㍦㜸搷㉦攷㥦昹摤挱㤳ㅦ晤㡥戹㍡戸ぢ㡤敥㡢㈶㌵敢ㄹㄷ㐱㙡㉤㉡㍥㌰戱㥦晦㌶攷ち㌰㠵㜹挸扣搳㥣㥣慣ㅤ摡㙦摣㘱ㄴ戸慣っ攴愷〸㘵〴㙤〷捤晢㉤愷收㕥㔴戸扢㙥摡昰㘵㙢攳挶愳扡㘹户攱搴晣㔷㙤㕣戹ㄸㄸ㠱扣戶扤慥㌵㐸㐷户㐵戰㤵昴搵晢慥㙦敦㜶搶愸㌷攴搴㈵㉢慣㝥㜵㕢戵扤攰戹换摤㙢㡦㝡昲挱㘶㙤挷㡣愶㈰搴搶搴搸ㅤ慢っ慢挲㜹㡤捤慣戸扥㜴搴昴挶敤〵慢㝡㐱㝡㡢㤲㈲㔱搶搴㔲慦㘴㔵挴昵攳昳づㄶち㙥慤摤㤸㉣㌵敦戹ㄴ㠰㤹㘵つ昳㕤㤵㕥戰扥㘴㉣搷攵㔵愹㈶攱㍢㔱戱㌷㔵㝣搴慤㌶晣ㄹ搷〹㍣户㥥慥㤹慡慤ㄹ㤰㌴戵㤳㙥㑤收昳㌹㈵ㄴ㈰㜰晢晡㠴挸摤搶㥤ㄷㄴ㈲ㄲ㈸㈶㈳㕦㤳㈶扢㠹搳㔸ㅤ㔶㔱㤷愴㐹敤戵㥢っ挶昹㉡ㄹ㤳挱㠱㠹㌵㔱㝦昰愵慦摢㘴搸㈶收㕥摥挶㥡㌶ㅡ慤晥㥥㌵改〴挷つ愷㔶㤷㕥愶昶ㄳ㥣㤱㍥っ㔰戸っ㠱搰㜵昷愸敡挴㈵戱㕥戸㘸搵㠲㤵攲㡡戴捥慦〴㈸㠳㠶㉣㤵戸戵ㅤ㐹扦〲㐵晡㙥㠲㔱㠰㜲㌹㔷摣挳㐶挵㌲㔲慥㐰改㤴挱换㈹㐱捥㝥㈹㕥ㅥ㌴㡦㕡昵㐰㠶㐲㜹搸〴㐶㐲慤愶搰㌷㐴ㄲ昵㡣㙡愸㌰昶㤸㌳愰㔲挳㜲㠲昵ㄶ摦㜶㜰㐹㐸㐴㍢戲㘰摢挹〲㡡㠲戴㍣挸攰㌵㄰㑤㥢㌴挸㙥㥣㈰㈲戲㐱㠶㘶挷挸㘹㈲㘳晢っㄹ㠱昶㐹㈲㘴敢晤摤㘵〴㠹扤㤳㐸搹愹㉢㍦敥㐸戳㡤㙣昹㔰㥡㕤㠹㡤搳慦㈲戸㥡攰ㅡ㠲扤〰攲捦㤰㜰㤴㜲挸愷㤳晥㉡㍣敢搷ㄱ扣ㅡ〰昲㐹愷捣㠹㐴ㄵ㙤愸慤搸㤱㙣㌷〴㍢㔹ㄹ挵愱㈸愲㘵摣戴㌳㠷㙣㠵攸挸敡摣ㅥ扡㌶慦㜴散㉤摤㘹㌳戹ㅣ㔲㘴㐶搳攴㕡㌷㘹㥡摣〸㌶敤㔱㙦摤㠰慥晡ㄸ挱㙢〰捡晡㡤㠴㔰㉥㌴㜸户㘶搱搳愴㝣㐵㤸㐵愱㌱搴愳㠲㡦〸㤹㐷㠰っ㈱搷㜱㝣搹戱愱㘹づ㡥㥢慦㜸ㅢ㝡㕦㜷晥㡥㤰摥愶㌷㜷昴づ晤㐵㉦搰㡡扥〹散㈵㝥摦㔵挷摣㡣㙡晤ㄶ㠲㕢〱摡㜴っ㑦摦㉦搴㔳愰捣㘲㍢㠱戹摤昴扡㈸㉢㜷㘹㝤㔵㉡つ㌴㘸㉥ㄹ摥㜹ㄹ挰㠳㜱㘲ㄶ戶戰敢㜹戲㡥㐳㙤㑤ㄵ昰晣㜲㜵扡搰㍦敡戹㌶换㜷㙣㘴晦ㄵ愱ㄸ昲㜹慤㉦搷㘶㈳㘷搸㥡〹㥦㔳㠲㜲愸㠳敦攸㉥㈴ㄲ㥤搲攴挵㝥搹攷换ㅤ㐹搲㠳㈴㜹㍤戶㔵扦つ〰㔲㐲晣戶慢㐴搹挷㘶㙦㔰捤搲ㄶ㉢㍤㝣ㄹ愷㤳㌶ㅦ㘲㠷ㅣㄹ〸ㅤ戶搳昰ㅦ昸㐳昶愲㘵㌷㠵挵㠰扤㈰扤㉡㝣ぢ㔶㕤㤶㐳户㉣㐵捤㡥慣㜸㠵挸㡡扥扥㡥昳㜴㠶㝦㑤搱㐹㥢㤴挸攴昶捣捡㡣戳㜸㡢愸攸㠶愴㔰挹㜰つ㌵㈵㄰㈹㡦㙤㜷㐴㑣て㈲收㜶㙣㥣扥㥦㘰㤲攰〰㐰攱㔷㤰㌴㕢摤㜸㠶挳晡搷攸搲慥㔴㜲㈵愲㐱戹〸㥦敢㉡慣づ昱㌵㙦㈴戸ㄳ愰捤晣愱〳㌲㠳㄰ㄵ捡ㄳ㠴愸挲ㄸ收㔹㑢㕥㈴つ散㌲ㄱ㔸㥡㘹昸㠱㙢㌳戲㌴㘴捥扡愷摣㘰搶昲㔷ㄱ㠹ㅡ㌵愳捣晤㉢搲〱㜵㜹戰㝤摡捡摣搵㔵㔹搳捤㐵户〱搱㜶㘲㜶㍢ㅣ捣戱ㅤ戰㈵搵搹㕣ㄳ㐸扤㥤㡦㌱㠴挰㑥㉢㝦㉢扤戱㕢昲㝥昳搰㌷摣摡搱㈵㉢愸换〱㌳㘴㍡收㑢㈶㜶ㄱ㤱㠳㕡扦戹戴攲㐹㌹㍢㘴ㅥ昳慣㕡摤㜲㈴㤱〱ㅢ㤳挱扡㌹㜹ㅥ㔱㠲〵㤷㌱㐰搷ㄹ㌲㤷㍣挳昱㔷つ〶ㄴ搷㜷愷㥥㔴㔸愴㘰㑥㕢㡥㡦搷㈸㉣㌲㍦㙣㉥慥戸ㄷㄱ戱㙤搸捥㌱㘳搵摦ㄶ㔸㈱搱㠷㐹愱㐶㘸㐲搳㐴㐹㉢昵㡡ㅦㅥ挸㜳㌹昲㕥㥥㐰攱㉡㔷愰捦㍣㐳㝢搳慥㡦㘲㌴戴搳㌹愷㐱㐴㡦㥡㠵㝤㤹㔲㤸㥣慡摦捤㍥㙦〲戸昷搸㤹ㄳ慤挸摣㡢㡡㔹ㄷ攸攵捦㤰昱㡡㉣㥡㠱㄰晡攸㜶㠵愴挲㌲㔲づ㌸㄰ㄸ攷㔳㍢昹㤵㑤搵㠶搴户慢㤵㍤㡡㐸搲愰㌹㘷㉣换㍡攲搱戶ㄱ散ちㅦ㘸挶摡㐶摤㡦敡㘶㕣摢㌶㐸㕡㈴换挵慡㐱ち㥥㙡〴敥㐹换搱㑤〰㐵㝦㔱㤱㜱〹㐵挶㈵㔵㌴㘸㥥㘶㘸㔰攵㌹㤶㝢摥昰慣㘰挵戶慡㈵㍥㌰㝣户㉤㘸ㄲ㑣㑥挹ㅢ愷㔸㘶㡣戵㔹昳㘷㘰戲昹ㄳ㐰昷〴攴㈸户㡥攸〷攵㙡愲㠸㝦愲㐷挷ㄲ〴㡣昲㤴敡㙦挱㘸〵㜵㍢〲㈲㐷愵换昱ㅤ㡣换㡦愰㈴ㄴ㐲挴㝡〶㠹挰㉢㤸㄰昲㜴㜱ㄷ捤㌳㡥ㄵ〰㝢挴搸㔱㉢㤸昵㠱㜲〰㘴搵昱昶㕡㠵搵㐴愷昱愶㔶戸愱戳㉡愵㈶慥敦慣㑦敡㡤搷㙥㔰ㅤ㙡㤴㠴㈲搹慣㤱搲㉣ㅢ捣㜱㍢愹ㅡ愱ㄴ㜷慣㙤㐴㤶摢戴戵敦㤴㈲㉦㐲㌱㈹㥡挹改㙦㔵㠴㠲㐰㙦愴愳攸戳捦㈶㡦㐴挴㠶㌶㐰㤹㝡㉡㉣ㅢ㡡㐲㠲㈷㜰敤愴㈶换搱ㄳ昸㝢㔷㤴㥤㙦〴愹ㅡ攳搲㘸㔴㌳㔵慦捦㍢戰ㄲ慡㠶㔷摢㈶㉣㡤戵㠵ㅡ㐶㜱㘷慦摡㍦摣摥〴㈳㐶㙣挸戰㐸㠶ㅦㄸ㙣〸收㑡㐴㔴㘹㥤つ㜱慢㥢挵㈵㍥㥤㤴㠶愳㌰戰ㄸ搴㘶攵㥡㌲挳㕡㤶晣愸敡搰㍣㉤㉡㌹慡㥢㔳换㍥㔴㝡㐰㌹ㅥ攵ㄴ㠳敢收㘹扡愵㜰㠹〱㘲㌷捡㉤㔴〳㠴㜶㥢〳昰㘴戰㝤戰㠳ㅤ〹㐳㈷戴捥㈸㐱㡢ㄹ㠴㥢㕥〴㜹愷㐷㡣㐲㤰㥡㉡晤晤㠸昸挲ㄳ㑣摦㌸㤲㡢㌳ㄱㄳ㌱摣㤵㘱㍤〰戹挹挸㈴戹㘸㌴づ㤸㠷㤲㑤〹慤挱戸㡣㈶挶㄰㑤㍥㉦挰㉤ㅥ挶戲㠶挹㌶㜵摣㜳ぢ㉣㘸搳晡晡㉥昳㠴㔳慤㌷㙡㔲愹攲㔸㔶㉢㡤扣㉤昰愵慥〰㠶摣㤴戱㉦搱愶㥣挰㔱㡡㑢㈶㤲㝡户扢昵㈳攸慥㠴ㅣ挶〸㔵ㅦ〳㤰ㄹ㙥㌹ㄵ㄰敢戸愷㐰晢㜰㜷敢〲㠳扡㍣〷㤱搶㔱㐴㔹㌶㠷晢㜸捤㈸戲攲戶㐴戳㌹㜷捥愵捤㥥㈸㍡㙥㠵㐵摢〲㐷㔸㘷㈸昰㡡㐵ㄸ㈳㍤㜲〷〷挹㕤㡥愲扢㤷ㅦ㔱㡦戹换㐰㠵挲㠰㘰㡣㤷愷愰ㅣ㜶ㄵ㡣㐴㠳㕢㙢㔹摤㠲搱㕦㕡摥晡ㄴ㠰㘰ㄸ㤸〶㉤㕡㠶〶捥っ昲㥢ㅢ㌸㌷愰㔵㐶㠴㌴ㄹ㑣㘵㡣㜲ㄴづ㝢㈰つ摣挴㠳昴㤲ぢ㈵ㄴ散㔱ㄷ挳攲扢㠹攳㌶㡥㐰慥㜷㔵㕢攱㠲ㄱ攰晡㡢戳户慤㜸慡㔶愳戹ぢ晦摣戶挰㉡慥㙥㠴收攸㥥戶㑢㔹㙡㑤戴敦㙥㙡慢㠸㉥ぢㅥ㤸㥤㌸㙥〴搵㤵挵㘰㍤扣戸搵㉢㐹ㄴ㝥っ㝦挴㠶㙦愷捤㥣㜷㜸ㄱ㜵㡤㝢㕦扥攰戸ㄷㅤ㌵慦㠲捦㕢㝦愰㄰㕣愱散攷㈴换戹㝦攳㥦㑡㕡慥昰㈳㡣戸㤵㘹㜳㠰㤶㠳㠴攳愸ㄴ㑡㠳㌱攴㌳攸〴戶㝢昳搶〰改㘴㑦ㅢ㥤㈸㐱戰㐳㈸捥昹㤷㡣㔰挴て㠱㔶ㄲ㑢㜸㈴挷㥥㍦つ搶ㄷ㍦㐰〹ㄱ㡥攷㐸㡣ㄴ㕥㠳㕣〶敡㤴㈰㡦慥㜸昰㐲挸晦て㤶㘲㙥摥㤰㥤晥ぢ捣㉣扥摦㡥愲敢㠹愲敦㜵愰㐸昰ㅡ㠸攲摦㝢㤱㠹㔳㠱攱搹ㄷㄴ〸攷㥡㜶づ愰㉦晢㠵摦晦攱〱㜴㉥㈲づ㘵愳㈱搴㜶㌳㥥㥢㈶㐲㕦㠷㠹挰攰扤㌲ㄱ㑥㈲㈳ㄸ挵て㑤㠴挸〷㌲㡦㠲捤㑤〴挶昶㌲っ挱㐴愸㌵攱搶攰〹散㉡㥢晥戱攳戸㜸㉢㝤挴昳愱戴晣ㄹ㜸愴慥敥㉣㕥㌰㍣挳摥慢捡㡦㜹ㄲ捡捣㕢挲㑤㙥搵㠵㍤慥摤戰㐶㜵摡挰㔷ㄱ㝢搹㜷晣㈹㕢扢扦づ㑣㠵㈹㜴摦㡢㤲㈸扥〸㑦㠹攰戹㈱昷摥㍤摦㍣昶㠷㠷ㅥ㍢挲摢㙡ㄱ慤ㄶ㙥㐳扥㤷㤰㍤敤〹〴㜵ㄳㄷ㐵慥攴㠷㌹㈷昱㠹㤲戵㕡㤷搳㠶愷慣㈰㕦户攳㙣㐸㜸〹挲っ㠹㙦㍢㤸㤸戸昷㄰㥡㤸ㄳ㙤敥㑥昵㘱㤳㜲ㄱ㑥㈴㈶慥㝣㝡㜱搸㔰㜴㔵㘴㍤㕡㥢㠵㙦㐳ㄵ扤挰㠹愴慤㐴㥥㍡㤹㠴昸㔶扢慥㍢㐴㕤ㄷㅥ㘴ㄸ昶㡦愵ㄴ攲て愴㤰攴㐱㠶ㄷ〲㤴㤴㍡㡤㑣攱㜶㠰㡣挸㕡㝢㠸㤷晥㠰ㅤ㈱㈰㥢㤷晥㝡晣㠸〵扢〸㉣挶扥昸㕥㑦戴戴㐵㘳搵挴㔰慤戲㘹ㄶ㤱㔱㠷ㄷㄶ㑣挶愵㈹㑢攷〰㑡户散㡥攲㑢㠶散㌰昰ㄶ㌲㜶挱愶慦慤㙣摦攳㌴㜰昳〳㝡愶愸ㄴ㠶戳㥢挵㌸㤰慡ㄸ㕤搸戴ㅣㄶㄱづ㠷搹㘶愷㠱愸ち㍡换搹㡢㔳㈹㠲㝦晣㔲㠸昵攳慤愱慦㙣慦愱㡥㜳晡戱㐰晥㘰㝦㕤㥦挱搸㜸㉢㌹〶ㄲ㜶㑢慤㑡攱昵昰㌳攸挲㐵攷㠴摥捡慡㘷㜱〸㝦㘲捥敡搳㍡昴㍦愳搷㡡戳捥戲㌷挳搸㈹晤晦づㄴ㙣慡晦〵㘳㙦ち㤱敦㡣㌲㝣㈸㌰㝥戲㘹挸㠶㍢〲捦㌶㠲㌷敡㘰慣慢㉣㐳摥㘱㙥ㄱㅦ慦㠶搵㑡㠲挳敦㤵㙦扦ㅡ搱散㑢摢㜶愰慢〰㘴㙣愸昰㌴㐴㔰搷晥㘹戹ㄵ㥦㙥㡢敦㐲挷㍤㈷慤慡攷晡慥ㄹ㡣㉤㈲攸㍢挶㙦捦㑣搸㍣㔳攲敢敤㐲敤㈶散挴攰㝢搰攷搴㍣〴昶㈹ㄹ扣㔴戱㐸㐶ㄶ戶ㄶ挹攰㜷㐸㈳㠹昰ㄲ戵㠳㝦㠵㜹㕦挳愸攳搳搵㜹昸㍡〳ㄶ㙤ぢ㘵ㄷ㝡㥣摢㙦㘸㜰敢㜰㐷敢敤昰〷挹晡〴㠲㘳㙡〹敦㝡て昷戵㝤て搲㙤愳戵昹㙣搹㥢捦慤㕣㜸ち㌸摤摡㕢搲㈴挳㜷昲㡢攴戲㕥㈱挴愵晤㈳昸扢㜵〷㉤㐷ㅢ〵㥤㐷ㅦ㜴搳ㄱ㌶㕥㠷晢㙣ぢ搱敦㜳攸㉡愶〸昰搳㡤㈸挳〷㐱㉦ㅦ㔹㔱㝣ㄹ换㈲〳㈰㥦㉢㔶〱扡㔳昵㤳ㅢ㔱昵㐸㉣㤰〵捦ㄸ㈴挷戲昸㈲ㅡ㜲扢挲㘵㠳㈵戸㙣愱捥ㄲ挸敢㜱て攴㜳㠲㘷〹㌵㤱捦愳㐳㜳㈲ㄶ㑡扢㑦攴㜳ㅢ㑤㐴搰ち㔰ぢ㑤㡥㍦ㄲ㙢ㄱ扤㡥㙡摤㈶㜰〸㕣㠰㘱㡡㐵捡㥡㘲ㄸ㕡昸〱㌱㠳昴敢攸敦昳㐷㝥昵ㅣ搳摦㡥〸㈵〸㔱㤵㥥㍣〵愱㥡晣愷㤲㤳昷㔰摡㝤昲㥦搸㘸昲㈳㤴㤱㥣㠹ㅥ〰っ昵㠹ち晥愸挵㌴㤰攱㍥昲㈷捥ㄱ攰㤷㥡挵㠸㠱ㄲ搵昷㈲㌲攸换つ㔷慤㉥㈱ㄳ昷㉤㜰晤ㄹㅦ昷㈸晢㠸ㄷ㈱改换㈹㠶捥搸㘲愸ㄵ㑢㜶攴㠵摤ㄶ戲〱㑢攲搷戲㕤㐵㝡戱挷〸扦昸㔰㡣㤸攳挷攳㉦愷戴㈸收〴挲〸㉤㔲搲て㌷㔲㝣㌰㙥晣捣戳㉤㤷㈹㉡㤰㐰㍤㘱㘳搲㤹㙡晣㠱戸昱〱㝣㤵愵摡攴㜸㠳㠰改昹戸㌱改㔱㌵㝥㉣㙥晣搷〳㝢㥢㡤㘳㍡っ㐷㉥㤰㐸㌲㙣㕤㘵晤㈷扥搰ㅥ㐶昳㠲㐹晤㌹㘰㠶挵㤴㥣㉡㜴㕣㔷ㅡ㜴㄰㤷㐱㍣㝣㈳㍤㠷扢㑤戸〲〲㈱ㅢ晥慦ㄲ㑥攰捥搳慣ㄱㄸ昸〴㝡つ挱㘶㑦㔷㑦散㕣㌴攷㍤ㄴ昴㥢㈷㝣㥣愹㙡摢㡡㐴㘰づ攴挳晤摤挴㈹㥦㘱㍡戶昶㈳づ㤲㘹扣㐳搲㥢昲㔰㠱㤵扣㜸㕦㡣搹摣愳㉤㥡搱ㅦ〱㜲㈰ㅤ〱㤹搱ㅦ〵っ〳㌱扣慤㥣ㅢ㈱晦㉢收㝥ㅦ㉢摥㑦昰ㄸ㐰㔹㤰搹㐹〷挵て〰っ挷晦愳㡡戱㌵攵㉦搱挴㐳昱换㤲㘴愴㝦㠸ㅤ㍥っ搰〷昷慤㠸㠸戰慣㝦〴㈵挹㤷㔲㜰愸㤷㝥㡣ㄵㅦ㈷昸〴㐰戹挰挹㙥㜹搷戸愶ㅥ㌵搷㈷搱㔵㍣㑡㠰㥦晥愹㈸挳㠷〲昷攱捤摤㙤㘵ㅥ㠵攳て晢ㄱ敡㑣㝤挱㝦て扥挸㕦攷愲晢昰㍦㈴㈹㈸挳㍥慦扤愹户戱挸〴戴挹搵㙦ㄵ㥢晤㈲挶攱扡㕡ㄱㄴ㡥㐸愵㔲搲㡡㠲昸收㠲㠵㡢㌷昰㉤㠷㔵㠵㄰愴〱㔵攱㐴ㄵ㐷㔰愰㝦㥡㑤㠹㘳攲㐹晦っ㥦㠸㕡戵㠹㥦㡤㌲㝣㄰挴慢敡晥㐰搴㍤㝥㈱㜱慤㉡慣戶ㄷㄲ晦慡㘲㈵昹挲㈷㌸㤸㐲ㄶ㌲㘹慤㐴愴㈹ㅡ晡㈲㌲㐳㝤挳㥣摢晤昸㘹㤷㐴昵㕣敤摣戹㝦づ攷挷慥捤扦攳㙤㠳㑦㍣晦㡢㍦㍥晥㥢㜷ㅦ晥换扦㥥㝣昲㌷㝦㝡晣戹㝦晤㜸昹昰捦㥥㝡敡愷昷㝥攵戹㍦敥㌶扦慡㍤晢捦戹慦㍥㍣㜹攱攱〷捤㌳户ㅤ㝢昸㥤て摣㌷戹㜰挵㜸㕦㕦㝦晦慤愳㍦扦收㜵㈳㡦㍥昸㝤昱㤳摦㕤敤〸戵㕣扣㈰㍤つ㉥㕢㑤攳㑢挸㘰ㅡ㥣昱换㍡つ㉥㔷㙤搴㜲戴㔱搳㈸㈸挱愷挱〹愸ち㈳㕤㌱昰ㅦ〸捡戳搳</t>
  </si>
  <si>
    <t xml:space="preserve">  </t>
  </si>
  <si>
    <t>Bar labels show the test range for each input variable</t>
  </si>
  <si>
    <t>Input</t>
  </si>
  <si>
    <t>Input Variable</t>
  </si>
  <si>
    <t>Downside</t>
  </si>
  <si>
    <t>Upside</t>
  </si>
  <si>
    <t>Range</t>
  </si>
  <si>
    <r>
      <t>Explained Variation</t>
    </r>
    <r>
      <rPr>
        <vertAlign val="superscript"/>
        <sz val="9"/>
        <color theme="1"/>
        <rFont val="Arial"/>
        <family val="2"/>
      </rPr>
      <t>1</t>
    </r>
  </si>
  <si>
    <t>Base Case</t>
  </si>
  <si>
    <t>Kitchen rental price · Value</t>
  </si>
  <si>
    <t>General for all types · Value</t>
  </si>
  <si>
    <t>(year 0) · Value</t>
  </si>
  <si>
    <r>
      <t>1</t>
    </r>
    <r>
      <rPr>
        <sz val="11"/>
        <color theme="1"/>
        <rFont val="Aptos Narrow"/>
        <family val="2"/>
        <scheme val="minor"/>
      </rPr>
      <t xml:space="preserve"> Explained Variation is cumulative</t>
    </r>
  </si>
  <si>
    <t>Run options:</t>
  </si>
  <si>
    <t xml:space="preserve">  Tornado method</t>
  </si>
  <si>
    <t>Percentiles of the variables</t>
  </si>
  <si>
    <t xml:space="preserve">  Test range</t>
  </si>
  <si>
    <t>10% to 90%</t>
  </si>
  <si>
    <t xml:space="preserve">  Test points</t>
  </si>
  <si>
    <t xml:space="preserve">  Customize test ranges by variable</t>
  </si>
  <si>
    <t>Off</t>
  </si>
  <si>
    <t xml:space="preserve">  Show top variables</t>
  </si>
  <si>
    <t xml:space="preserve">  Base case for Crystal Ball variables</t>
  </si>
  <si>
    <t>Median values</t>
  </si>
  <si>
    <r>
      <t>Elasticity</t>
    </r>
    <r>
      <rPr>
        <vertAlign val="superscript"/>
        <sz val="9"/>
        <color theme="1"/>
        <rFont val="Arial"/>
        <family val="2"/>
      </rPr>
      <t>1</t>
    </r>
  </si>
  <si>
    <r>
      <t>1</t>
    </r>
    <r>
      <rPr>
        <sz val="11"/>
        <color theme="1"/>
        <rFont val="Aptos Narrow"/>
        <family val="2"/>
        <scheme val="minor"/>
      </rPr>
      <t>Elasticity is averaged across the entire test range</t>
    </r>
  </si>
  <si>
    <t>㜸〱敤㝤ぢ㤸㕣㐵㤵㝦搷捣㜴捦㔴捦㑣愶㐳〰〱㜹っㄲ㈰㈱㘱㥣㥥昷〰㘱搲㤹㍣挹㙢㤲㤹㠴㈰挴㐹捦昴敤愴㐹㍦㐲㜷㑦㤲㘱愳㠴愷㉦㔴㐰㐰挲㐳㌴愲摦㕦㝣〰〱ㄲㄵ㜰ㄱ㔱㔰〲〸㡢慢㉥昲㄰〱㜵㐵㌷㡢㠲戰㡢戲扦摦戹昷㜶摦敥扥昳㐸㐸扥捤㝥㝦㉦㤹搳㔵愷㑥㥤慡㍡愷ㅥ攷㔴搵扤㜸㤴挷攳㜹ㄷて㝦昹㔴㌰㜰㜴敦㜰㈶㙢㈴ㅡ扡㔳昱戸㌱㤸㡤愵㤲㤹㠶㔰㍡ㅤㅥ㕥ㄴ换㘴换㐱攰敢㡦㈱㍤攳敤捦挴㉥㌴慡晡㌷ㅡ改っ㠸扣ㅥ㑦㔵㤵㉥㐳扡戶晥〲戹〸㜳改ち〲㔰㜹戴㡦愰㤲愰㡡㐰攸晤っ㔵〳搴搴〰昴㜵捦㕡㍡㜰㍥㑡敦捤愶搲挶昴晡㤵㘶ㄹ㌳㠲挱㠶㘰㐳㙢㘳㑢㕢㐳攳昴晡敥愱㜸㜶㈸㙤捣㐸ㅡ㐳搹㜴㌸㍥扤扥㘷㘸㈰ㅥㅢ㕣㘸っ昷愵搶ㅢ挹ㄹ挶㐰㘳昳㐰戸愵㈳搸搲摡ㅡ敤散散愸愹〵攷㈵摤戳㝡搲㐶㌴戳扦㜸㑥㈰捦愵摤戳ㅡ㤶ㄸ搹晤挵戳づ㍣挱㜲㜶㉡ㄱ㡥㈵昷ㄳ㔳㉦㜵搰㍣摢ㄸ㡣㔱㔹㠶㤱㡥㈵搷㌶愰摡〵㠲㐶慣扤㘱㉥㈴㍥ㄸ捥㘴扢㡤㜸㝣戹ㄱ愵㥥㙡ㄲ㤴㤹㤱㌶㤲㠳㐶㘶㐲㘲捥收㐱㈳㙥㈵㘷慡ㄲ㉢挳改㈵攱㠴㔱挱㐰㕤挲搴摢㠲㠸㤱捣挶戲挳戵㠹ㄵㄹ㘳㜹㌸戹搶㈰㠹㌷㌱㙦㈸ㄶ愹愸㔰ㄵㄵ㥥昲㤳摤㉡㈳扡㘹㤸㥢ㅥ散㕥ㄷ㑥㘷㈵㐶慤〵摤㘸ㅤ㍤㐴㉡㕥㔰㉤昶愲晡愲㕣㔴㔳㙦㉣戱搰㐸㈷㡤㌸ぢ愱昲愶ㄵㄱ㠹㑣㑣搱攷㠴㘳户㠶㡡㔱搵搶昸㘰㔳㔸㡡づ㄰㑣〴昰ㅤ〲㔰㌳慢㝢㜹晤㤴㤵㌱㘳㔳㝤㜰慡㥥挴戴㐳〱㔴挵ㅦ㌰搰㥣㜹搹搹换晡挳㘵晤〳㘵晤㠳㘵晤㤱戲㝥愳慣㍦㕡搶扦戶慣㝦㕤㔹㝦慣慣晦晣戲晥昵愰戱㥦慡捡捡㌲敢昹敢挵㝦㈸慢晦㔶搹捣ㅢ扥㌶愵攷㤹挱戲㤷ㄵ挷㤶っ戲挳ㄱ搰敦〳昰ㅤ〱㔰搳搳㌳㘵㑥捦捡愹昵て敤慡て敡㈳㤹㜶ㄴ㠰㔲慦愰㉥慣捦愵摢㍡㙦㝡愸扥㙦摥慤摦晢挵捥㥢㉥晥捤昱㕥㡥捦㔶㌷㠹ㄴぢ㍢㤴挹っ㈵㌶㜰㜶戰㍡㠲っ攵挴散㑣戶㈷㥣㑥㘴昶㙦㡦㐱㝦ㄹ慢换㠴㌲㠹〳摦㘵㔰挸㝥改㌲扥愳㈱收て捣㕥㤱㡣㐵㔳改挴昴挵戱攴㡣㘰㘳㘳㘷㘷戰愳㜳晡攲昰收ㄹ挱戶愶昶昶㤶挶㑥㝤っ㔵㜶㉣㠰敦㌸㠰㠹㔳㠶㡤㜰扡扥㔱昴戹㌲ㅣㅦ㌲㜴㍤〹㡥〷㔰敡㜹㑢愷㈷敤昲晦戵戲昵㘷㡢慥㠹㕤搵㍥昷㥤㈳戲㡡搳慤㜴㡥ㄳ㐸㍣ㄹ挰㜷㈲㠰愳愳㌶㑤搵㈷㌱敤㘴〰愵㝥㘱㌱扡扣敥挳搷扥㌹改㠵㜹㍢捦改㥦昱㠷て捦㍣㑢㜱㉡㘰〷昱㑤〵㈸慣㝥㔳㜳㘳㔳㑢㘳㜳愳㔴扦戹㌱搸摣搶ㅥ㙣搵愷㠰㑥㑦㘳㡥改〰挷㉣㡣㘵〷搷ㄹ挹㝡捣㈳搹㜰扣㝥㐳㍡㌶㘸戰㙢㥡㑤㌹㤵挴つ〰㑡㍤㘵搵攰散ぢ慥㔸搵昸慤扡㐵㍢摦搸戱㙢挲攵㥦晥愴㘲㈷㤳ㅡ㌴㈲搰敥㤴㕦㘳㐳㑢㐷㘷戰㌵搸搹搸搶搴搲搲ち昹戵㐹㕤ㅡㅢ㍡ㅡ㕢摢摡㥢㕡㍡㍢㥢㍡㕢㠳㙤捤㉤㥤㍡挸㤲㥡〰㝣捤〰挷捥㌳㤲〶搶㡦㝡攸愲㍥ㅣ㡦搷㘷㠷㌷ㄸ㤹㝣扤㕡㐸摤ち愰搴㑦慣㝡㌵㕥㝣晡昷愷敦㝡㜲改㜷ㅢ㍦攴改㍡晥㙦㔷㉢㉥㘱㈲攲㜶ㄲ㜷〰昸㍡〱㈶昴昴搴㑦改㕢㤰ㅢ㠱愷㌱昵㜴〰愵ㅥ戶㔸㥤㌵攱敦慦ㅦ搵㕥㌹晢ㅢ摢ㅦ㕢㜸敡㐹㑦㌶㈸㉥㠴挲㙡〶㠹捦〴昰㜵〱昸㤷昴慣戴㜸改㤹㑣〹〱㈸昵㍤㡢捤挵㝢㙡〷㥥㝥㐶捦扣改慣扥〷〷戶㝦㝤㤷攲散㈲㙣扡㐹㍣ㅢ挰㌷㠷㈱㘱挳㌹㐱捦㘵㜴ㅥ㠰㔲摦戶戸っ㐵㉦㝥愵㝡慤㜷挹㔵㈷㕣昸晡㔳扦晦挹㑤㌵ぢ㤰扣捣㥡敦㘶愷挳㥢戰㘸攴搷愳愶㠶㐶晥㌷昶㐲㡣㜵㌸摡ㅡ㙤㡦〶㠳㤱搶挶㜰㜳搸换ㄹ㜳扣搳㍦㈷捦㥡攸搹戱㘴㈴戵㐹搶㠳㥡攸摣㔸㍣㙢愴㈵㔲ㄷ挵㡦戹愶㤹㡢㐵㜴捥㘶ㄸ〳㠳收搲㜱㘸戴摢㐸㘷戱㠸㘶㠷昳㤳挳搱戳挲ㄹ㈳ㅦ㥤㘶昱㥥㤵ㅡ㑡㐶㌲敦㜷㑦散捤㠶戳挶㔱挵㘹㜹㈶㈵搹㝡戱挰ㅡㄹ愹搲戱挵搹愴扢㠷㌶挷捣攴㘳㡡㤲戱搴愶〶㐶㑥㥤㥢㌶㉥挸愵㤶搴㈸〴㝢㙤愳挱昴㤲㔶㥡㐹㘶扤敡扢搷愵㌲㐶㔲慡㌷㉤搱ㄳㅢ㕣㙦愴㝢つ㕡㝢㐶㐴㥡㝡ㄸ㤳慣昵㝥摡搲㈴ㅡ㡡ㄵ㍣昲〱㈷㤶㠲㌶㤲ㄱ㈳㠲晡㙥㠰㤴㠷晢挲〳㜱攳昰〲ㄲ戳㑣㈴ㅣ㔹㠰㥥㥢ㅡㅣ捡㜴愷㤲搹㜴㉡㕥㤸ㄲ㡡㙣っ挳挶㠸㉣㑥㐵㡣ち㜹㍣㈶㔴㥥昲㜲愵㍣㔳摣㤶㈶昲捥㜰㌹㜷㜴ㄲㅡつ愳ㄳ㍢㍡ㄱ㠹㕤捤㠰ㅣ㘷〴㥣㥤っ昴㔳㐷慤㠹戳ㄳ㤲㝢攳愸搴㉥㥤㤴㤹㡥㈸ㅣ㜸つ换愱ㅦ攸㈱㙥㜰㔴㤶㑤ㅥ㤹㘵扥㕦㤲捤㈸㌵㜵㘸㠵挶㍤愹㐷ㄱ㥡戰捤昵扤〳㑢㕣㔶㌶挹㙡晤㥣㡤㔸㉤收㠷㤳㤱戸㤱ㅥ搵㌵㔱慣㤱㍥㡢㘰㈱挱㈲㠲挵〴㑢〰扣㜷㘱㡥ㅢ㔱愲戴㥦搴㘶㌵散摤ㄴ㡢㘴搷昹搶ㄹ戱戵敢戲挰挱愵愹慡愲戸慦挵㕣㍡ㅦ扦て挳愷㜹㤹㕥㤲敥㈱㔸㐶戰ㅣ挰敦昷昸㝡昱敢昱昹㜵ㅦ㝦㔶〰搴搹愶㜴扤搹㌳晤ㅥ㉦捤挴扤㌷㘶挵㤱ㄲ摢ㄹ捥㑤挶㥢〰摦㑣㜹戹㥢㌴收㠷㌳敢戲ㅣ㠸愳㈶㡡搹扡ㄲ㔵搱㘷〳搴慣〲㔸㌲摦㠸㘳ㄸ敦㉦扦挸㑢挳㜷㑣晢㥢昶昲攱㠹摥攱攴攰扡㜴㉡〹㙦㜲㜶㌸ㅢづつ挲挹挸愸戰㉦戱㈸搵㍤㤴昵㈵收挷昰㔳㤳㔸㙥㙣㌰挲搹㙥㑣搳搹摡挴㈲㌸㈸㌲㡦㉥㠸㙣昶㈶㑣摦㘲戶㤱ㄹ搴㜴㐲ㄶ㘰㕡摡散㐳〸ㄶ㔲㑤㠲ㄳ㡤戱㌹㑢搶㤵〹ㄸ愷攸㑥ㅡ㐴搳㈴㤷ㄹ㘲捥㕡挱搹戹晤㔶っㅣ〲ㄲ㜴㜰愹ㄶ㠴挹挹挳㥥㠳ㄵㄴ㡢㙤㠵〵㡢㐷搰㡡㙣㉣㥥㘹戰挴摢㌰㍢〵㈷搵㄰㝦㥡㘲昷昹搰挱㝣愳㉡慢㜸愰搳㡢㔹㍡㌸㘰戲㐵㔵收愵㔳㐳ㅢ㘸㤶敥㉦㍥攴攵搱攷〰摣晡㥦户㥦㝥攲㉤㜷扣㙢晤㕥㠴㈱㈴㡦愶攲㌴晢㍢㝢愶晤攸昳㄰昲㡦㤶收攵㘲敥㍡搳㡥攰㜰搱搶慢㐹愰戵㝤㘹㐳㍣挸㉡㠹挰㐰慢㑤㥣㥤㑡慦ㅦ㐸愵搶㔳昹ㄳ㈴㤶㔹㘷ㄸ㔹扡㘵搵㤶ㄷ捡戰㔲慡扣扣挰敦㜲昸㙦㜴攸㝣㙢〰㙡㐳㌰晣㙣㡥ㄹ㕦ㄸ愸㜲慣㈸扥〱〴㉡㝢㐲つ㥢攳㤹捤敡ㄶ㌴㥥㕥搳㉤㍦㕢㝣昹搴ㅢ敦㥤晦㠹て晥昹愶捥㘳户ㅢ敡㘶㉢愱挴㉦愳㍢㈶敥愱㠱㠰㡥ㄲ慣㈵㔸㐷㄰〳㔰搷㈳㉢愷愶㤳㈰挹㉦愲ㅢ攵㈷㤸昵愴㠹ㄳ㈴〰㌰挱㠸挰㌱扦愴㠸攳晣攲昷㈸扡㝡㥣㔳昴〵〴㘹〰㐵㌷㡦愳捦愳㌳〰㈳慡㤰晥愱㜰愴㡣敤㐷㙦㐴挸慦㐷㐹㔳㜴㈰愹㐶扤㠶㠰㠲搲ㄴ㤲扡搴㤲㐱㠹㜰㉥戱ㄲ㑡㝣㑤㍡㌷愳㔸㠱〵ㅥㅤ㠵㔸㘰〵㤶搸㌷收ㄴ晢て㉢敥愰戳攲ち㉤戸㔳挶㌰㕢㡡㙣戸ㄱ㔷散㝦搸㐰㙥摢戳愶つ㜴ㄱ挷攳㔶㙢㘲㐱戸昰搱ㄷ㈳慥㉦㈱戸ㄴ挰㌱戱㕣㙥㐶ㄵ㌷ㅣ㘴㔲戹㠲㐴ㅦ〳昰搶〳㡣扥㥣㘳戸㜲㌶慤攰ㄶ㔰㙤㘲戶ㄱつ㘳㝢㔶㤶㘰ㄵ晥摦㕣愱㉢戰慢㡤㜹搵㕥㥥㐷㙦〴敡捥搵捦㔷㙣㌳ㄷ敥ㅣ㘲㍦㌳㠲㑤㠳㍥敥ㄳ散捦㠵㜷㝦㉥攰晡攳㘸㠷晤㜸㌷愱㌳㡣扦㑤㄰㤷愷㜲㈳慤愷晥㝥㑦ㄵ㕢㐸㡣收ㄶ㤴慣ㄸ㡣搹㡦扥ㄲ㈱晦㘸㘹敡㜸㔰攴㔶っ摦搵㠸㤵愳戳㤸慢㐶㘲愴㔵㈳㙥㈵㤴散㘶㥤㠰晣戲愴㕥㠷㠰扥㥥攰昳〴㌷㄰㙣〳㔰㔱慢攷㙦㠳捤摥㠰㘵㌵扦愴摥㐴㥡㥢〹㙥〱㜰昴晣㕢㠹戳㤶搴挹〸㑢敦晦ㄲ㤱摢〱ㄴ㌷挷捣㈵昵换〸㡤戸愴㥥挸っ戴㡡㔰㜰敥搱㕦㐵搰慦㐷㐹㔳㈷㠳㈲㈷㈰挷㤲摡㍢㤲㜰㤶㕢〹㈵㍢㜴摣㜰㤳㍤挳㍢㄰㔰㍤㤶㈰㄰㉥㝣昴㕤㠸敢ㅤ〴㜷〳㌸〴㜱慦ㄹ㔵搳昰㉢㐲搸㐹愲㕤〰敡㔴㠰㝡挶扥つ㘰㍦㙡ㅥ捡㘰敦㘲㥦搰搳〹㈸〰攷愳敦㐷捣㍦㕡㥡㙡〰㐵㕥〰散㈱㘶敦㤸㘱戵戳挴愶㌸挳㑡㈸搹㈰っ㈲慦〸攰㠷〸愸搳㐰㐶攳ち攱挲㐷㍦㠲戸㝥㤴攰挷〰づ〱㍣㘶㐶㔵ㄳ㝥㐵〰扢㐹昴㌸㠰㙡〱愸㘷散〹〰晢㔱㐱昰捦〹愰ㄹ㘸ㄱ〰扡㕤敥搱㑦㈳攸搷愳愴愹㔶㔰戸〹攰㘴慢㥤㈵〲㌸挹㑡㈸搹㠹㙣〷㈷ㄹㅥ捦㈲愰㝦㐵昰ㅣ挱昳〴㉦〰愸㝡㘴愵㔰㍥㠵挸昱搶昰搸〳昵㈹晤㙢搲扣㐴昰ㅢ〰㠷㔰㕥㈱捥ㅡㅥㅤ〸㡢㘰㝥㑢攴敦〰ㄴ户㌵㈷攱捦愳㝦て㌰攲昰攰㡥愸〸㐷㝣㈶搲攳搱慦〱昸昵㈸㘹㡡ㅢ愶㜹攱㠴㤹㘹〰㐰搵㡥㈴㥣ㅡ㉢愱㘴㙦㜵〶戲㠹㜰摥㈰㤳㌷〹晥㑡昰ㄶ挱摢〰捡㘷〹㠷㡢ㅥ愹敤戹㐳改晦㈶捤㍢〴㝦〳㜰〸㠷扤换ㄶづ户㙢㐵㌸㕣㜲㜴ㄹ愵㍡ㄳ㈸㔳㌸攵㠸㡥㈸㥣㉥㜲改〵㜰㍥摡㠷㉣㝥㍤㑡㥡ち㠱摥㑤㌸㝦晥晢〸扥捡敢㔶㐲挹㡥㜱㌷㌸㠹㜰敡㔰愸づ㄰㑣㈴㌸㠴㘰ㄲ㠰㝡つ㔹搹㜳㉥㐷慦愹戵㝡㡥戹ㄹ㜲ㄸ㘹づ㈷㜸ㅦ㠰㐳㌸㐷ㄲ㘷昵㥣搹㈸㐰㠴昳㝥㈲㡦〶㔰㜳㠱㌲㠵㜳っ愲㈳ち㘷づ挸㐴㌸㈰捡㍤扡ㅥ㌱扦ㅥ㈵㑤捤〳戱㥢㜰㝥㌹㤲㜰㝥㘱㈵ㄴ㙦㠴㝢戹慤㔴散搸换㐹㘱㙥㡢搰㘱戸㜲挵昴㐵㜱㍡㤱捤㔴㐷㐳㐳搹搴摣㔸ㄶ㤶㐵㑤ㄴ〰㐱挹㜲㤴散愶㌹㌲㑤㡢昲捣㤰㌶挵㜱愵㐹㌸㐴敤ㅥ捡㘴㔳戲㘷㜱㙣㘹晡散搴㤲㔴㜶㜶㉣戳㈱ㅥㅥ㥥散㤲㙣愶㥣㡤挳ㄷ㙣敦愶戱换㍢ㄶ㔱㙡挳〶㈳攲㔲挷摥搴㔰㝡搰㔸㌰晢㘰搸㈰㔶收收㡢〷晥㍤㠶㥢㍡㜱㘴捦挲㈱昷㕡攸愶っ㝢〲㙡摦昶ㄷ㝤㔳搱改〲挱㠶挶收㘰㔳㐷㘷㘳㝢㝢㐷㘷㙢㘷愷㐷㥦挲㥥㠹㑡愰敦敢㘹散㤷搸敢㕢㌸㘶㥦㜱散㐱㔷㠳搸ㅦ㠵㥥㑤㕣慤㜵挸戱㈰㤹㠹㐵っ扦ㄵ挳㐱攱〴㉢戸㜴㈸㕢㤰ㄲ摥㍣挹㑡挱㑥挶搲㈴晡挲㘰㌸ㅤ㌹ㄸ搴㠴㠶攱㌱㜵愴㝣昸㙦摦㈴㙦戲昱㜸昶搸户㔵昶㕣㠴搱㍦摤㤲昵㈲㈴扢㙥㉣攵挶㈷〲㡥㉤㝣扡㉡戵ㄴ㜷づ㕤挵搸㘲㈳㥣ㄴ㉤昴㘶㈳戳㡤㡤ㄳ㠴挲㐰㡦挷㘵㠶戸㌱愹㌰㉡捥㡤㡥㠶〶㌲愹昸㔰搶㤸㤰ぢ挹挸搷搱攵㐶㍣捣攳㤸㥡㕣愸㘷㌰㡢〳慢ㅣ㍦ㅥ戵ㅣ㍣ㅡ㠲㐴㉡㉣㉤㈹搱㤳㙦㤴〹慦戰ㄱㅣ㔴晢愸㔵攸㉦㉡捦㥦扡搴㡤摢昸㝣慤换㘳〷晣㝣㍣摥挵㘰㕦散扤ㄴ㑥扥捥昳ㄶ㡥愴㐹昶㌱愰㌹攵挹㙣㔶㘳攳攴愸㈳㉡ㄳ㈱捥㌳㜹㝤愱㡥㐳㈷㡥㑢㐶搹搸㈰㑥㠰㠷㈷㐴ㄷ㈴〷攳㐳ㄱ㘳㔱㜸挰㠸摢㤳㌸㡥敡てㄲ㝤挹㍤㉤㔳㔷愳挸挵ㄲ捡〲㕣搶戲㑦㜷昶㜹摥昳攸㔳愱㈹㜳つ㔶捡慦㍦㘸㡤扢㈵㄰昶㕥ㅦ㙥昹㤱改㤰晣搱慣㕣て挲搴㔶㠲攲㥣挶㡤晥摣昹㤸㡣㌸〷搹愲搴愲ㄴ捥㉥㈳づ搴晣㤸㠹㍡㘸挶㤵愸挹攷昳敤敢㡡〳㔹攱搹搳昵昸㙥㍥㝢扡扥戲敡㡦ㄷ㑥㕣昹㙡ㄷ戴㈰㠳愳〷愹挵㐷〴㡥挱㈱挶㠰㑣㠲戴敤敡㌸㠳㤹㤶㐴㕦㉣ㅢ㌷慡愳㤲㉥攱㉡づ〹㑡戳㌲摡户づ摢敤戳㙢愳昳搲戱㐸㍣㤶㌴㘸㤵攰㉣㥤㔷戲ㄶㄹ㙢㜱敡摢㤳捡挴㜸昷愷㌶摡㤷づ㈷㌳ㅢ㜸慡㌲㌸㝣㐸㐱㑣㤴攵㡤捥㡡㈵㌱㠰捣㌲ㄹ慥㡢昶慥㑢㙤挲攵挲愱㐴㜲㕥㜸㐳收愰㔰ㄴ㝡戳昵㤸愳慡㑣㤵㤵愹慡戲慡㝤㕤慢攴㄰㠴〶㠱㠷㝥㘴ㄹ〱㑣〲捥㘵换㄰ㅡ㘵捣㔲㔳搶戹㍢挷㉣敢㔵㜰㤵捡昵搰㉦㜷㍢㤳昳戰づ㈲㔳㑤ㄳ挰㔹昳㔶㉣挸摦搶㜸㑦㔷㈷扤换挱㜹㤴攵㐰扡㐶敥㘸昸㌰㄰㑦㌰扢ぢ㜱散㍤㕡戴捥㔸㜱ㄷ昴㐷㠵㠶扤ㄱ㉢㈸挹ㄹ㥣㡢㐳扢ㅡっ㝥㑣扦㌸散挴扣㍢挱㡣搰挶㑢㠴攳ㄹ㉢慤㍢㤵㐸㠴搹扤搸㌵㝢㌱㜷ㅢ㔵㘲㜰㘳㌶搱㔱〰改㠳ㄶ㉡扣ㄹ愸昰㘶㐱㘱㐹收㜵て〹㤳㔷㙡㙤㌸ㅤ换慥㑢挴〶慢ㄸ攱㤵㡣㠳愲㕦愲ぢ㌹㥤㘵改㥣戰㕥㡢㌷㌱捤戳㐰愸扢〱づ〵㐵㐷昵愳昷㤶挹㍡慥昶昱㉣ㅤ摤㔷搳摣搵㉤〰㕥昸㝢㌸攷㐴㠸㡦挳〸〳㐶㝡戶敡〳㥥挹扡ㄵ㤰〱晥㔵慣〴ㄸ昵㜸戳ㄲ〴晥㐵愹㜰㘴㉥㙥敤愴搲㤵搶㔵摦㉡愸㤶搳㑡㍡挰㈳敤㙥摣〷挱㍤㤳㡤戰㠵搳㔵㐴昴攲戰戸㠲㠷攱㍥㔳㠷㌴㌰㍤㕥㙦㜵㤵㕢㔹ぢ㙣㕥㤳慤愳㍦攷搵收〵㈵晣㕦㕢搶搱挵扡晢晤摣挷搳㙤〸敢㜶〰㜵㌶愲㙣㑦ㄱ㐱〷〹㍡〱扣攷㈰戱㜸㤴㡣㜸晣㑢收摥〴㡦愵慢ㄲ㙣づ㑣づㅦづ慢㜱扣つ㤱昸慡慢㔶㈱㕤㥦〶戶㤸昹戹ㄵ攱㔱攷〱搸攵㝢ㄱ昶晢㈹㍣㝤㍡换㍦〳㐰ㄹ㠸搲㔳昵捤㐰㉣搰摣搰摥搱搱搶摣摣搲摣搹搴摥搱摡㡡摢㘴㐰㐳㉤攲愵戰㠹㤸㤰㔴ㄴ㈸㝡㉡昶攳㔰㉤散敢㤹ㄶ搵㕡㈴搳挶愶㔲挷戲搷ㄴ㑦㌷㘹戳㜹㜴〸攴㜹愳愱摢㘲挶㠳㑦ㅡづ收戳㠷ㅢ㈸㜸㘰捦㥢扦搸敥㌰㝢搴㝡挴戹扣㜹攴㐰㔲捡㉥㥡㑥㔵ㅣ愹㥣㔲昵ㅣ昰㔶〹㠴㌸㔳愱㤶㥡㈲搰昳〰挶敥戹㍣㔰〵愱㐷捦㈷ㄳ㉢愲㉥㐰挰㤶㌶㤱㔶㜷㔸㠰戰㍥㡢㠴㘹㜷㠲㠵㈴㔸㐴㠲っ〸搸㈵昴㘲挴㜲㕡摣攸挸收搰攲ㄲ㘶㕢ち攰愵ㅣ昶攲㤸㡣昶慥捥㙤ㅥ㠸换㤲摦㉢愸㡤㍡户〶㈶㐵慤㍤〲挷㑥㐰ㄱ㑥㑣㘵捣搶〷㤱㥦㡦昶㐱㤸昶摣户捦㜶ㄴ㈷㉦昶㉢昴昹㡢挱㔰㍡㤶慦〷〲㍦㠶捥㜲摡挸ㅡ昵搶㠵搲㝡㈰戲改搸挰㄰㑤ㅣ㈹㥤摤慥㠲挰敡㤹㤷㈰㈴摤㙥ㄹ昲慢㑢ㄱ㌳扢㥤㤲捥慥㝢愹挶㌱㈷捣换㤱つ㠴ㅥ摤㐷㈶㔶㐴㕤㠱㠰摤敤㄰戴扢摤ち㄰攸㤵㈴晣㤸㍢挱搹㈴㔸〵攰攵挹㑦昱ち㔱㜸㠰㠵晤㄰つ愲ち戹戶捦换㉦㔵戸㐷㈲户㘶扣㌲㥤㔶㍢㙥扢昸捣㡢㉥㔵挸㠳㔰㈲攳敢挵㕡㙢㐴晣㘶ㅦ攳昴挵㐵愱慣慣〲ぢ㡥慦昸㌸扦愴㔸戲攸㌵攴㤰㑤挹㌶搹㌹挸㝣㈴昷挸挰扦扦昴㝥㌳㜷㐴戱攳㘸㑤ㄱ㤴㠶㍥ㄷ㌹㍣㝥㜵㈵愰㉤愷㉡㘲捣挹昰㍣愴敡搵〰敡㍡㈰㘵㌲晣㌰㘲搸戲挱慤攴搶收昶昶㘰㘳㝢㕢㙢戰搹愳晢挹挷㥡っ搷㈰捣㡥㜱㍤㔰㈳㑦㠶㘱㡢敡昳愰ㅡ昷㘴㜸〳㠸捤挹㜰〰搹昳㤳㘱挴㘲戶つ改㥣っ㥢攵昹㜳㤷改晢扥摤㜵㐱㘳挵敥晢晡㝦㙤摢昹㡡㘷㔷收㘴㜸㈲㐲搲㘱搸㈱ㅤ戶愵扡ㄹ㜱改㤵㔱昰㔶户㈰㘶昶㑡㡦愶〸昴㍡㠰戱㝢攵慤㈶㙦㡦㡥㤱㠹ㄵ㔱㕦㐲挰㤶㌶㤱搶㘴㜸㍥挲㝡㍤㠰摡敥㑥㄰㈷㐱㠲〴㕦〶㠱㑣㠶㐹挴㜲㤳㈱て挷㙣扥㡥挹㌰挵㙣ㅢ㤸㡤〷㔹㥣㄰挵昶戰㠶敦㕤㠸㥡挳昷〲㤰散挳昰摤〱〶㈲愸㌴㡢戸ㅢ戱㠲攱㑢戳㝢㙣㐱摤换㑡攱㑦て㤱㠹ㄵ㔱㍢ㄱ戰ㅢ㠴愰㉤愸㡤㈰搰㥢㐸戸换㥤㘰㌳〹㠶㐹昰㙤㄰㜰〸晢㉥㐴散㐴㝢㘸㡣㝥㜷摥㘵㤸㙣㐱㙥っ㤳晢ㅤ挵昹㠸㌱㠷挹㐷㔸摣㐷㔹摣て㠱㉣ㄶ昰㈳挰㤹〲扥〸㈴㠷㡥㝢㕡㝣ㄴ昹㐴慥㕢挹㤹㈷㙢〵㜲扤〴搸戱攵晡ㄸ戲㠱㄰户ㄳ挸挴㡡愸摤〸戸挸昵㌲㄰攸换㐹昸戸㍢挱ㄵ㈴昸ㄸ〹㥥〰㠱挸昵攳㠸㥤㘴换㜵㡣换晦㉥㠲晤㈴戲㐳戰㑦㍢捡㜳捣㍦㥦㘲㜹㔷戲㍣ㅥ挰挹晣昳㘹挴㘰㡣〵㥢摢㕢㥡摡㠲㙤㜸捦愳戱戹捤愳㍦㐳㍥搶晣昳㔹㠴㌹晦晣ち愸㤱攷㥦慢㉣慡攷㐰㌵敥昹㠷〷㝦收晣㜳㌵戲攷攷㥦捦㔹捣㕥㐰㍡攷ㅦ搳慡昳捤㐴㄰㑦捤捣挳晥慢昹户㉦㍤㥥摢㘷㔰扦〶搶㥣㝦㍡㠵〲搹㥢㄰㜰捥㍦㉦㈱㉥敡扦づ㠹敡㌷㠸㤹敡昷㘸㡡㐰㝦ㅥ㘰㙣昵扦㠲㙣㈰挴㠱㍥㤹㔸ㄱ昵㕢〴㙣昵ㄳ㘹捤㍦摢㄰搶㌷㤲昰㜷敥〴㌷㤱攰㘶ㄲ昰㘸㔲收㥦㕢㄰换捤㍦慦㌹戲㌹收㥦㉦㌰摢慤捣昶〶〸㐴㡢㕦㐴㉣搰搶摣搴搲搱摡搱摡搶搰㠹㌷㑤摡㕢㍣晡㑢㐰摢㕡摣㡥㌰戵昸㈶㔰㈳㙢昱换ㄶㄵ㑦ㅥ挷慤㐵㥥㔰㥡㕡扣つ搹昳㕡晣慡挵散㙤愴㔳㡢㝣㉥晢昹慥㄰㝦㡤挷ㅦて㕤㍦昹昲扢㘶っ㍦㥢㕢㐵㜸㡡㘹㙡戱㡢㈴ㄴ㜰戱ㄶ摦〱㕡戴昸晦㤰愸㜸搸㘹㙢㤱㈲搰户〳㡣慤挵㜷㑤摥ㅥ晤㜵㌲戱㈲攲㍥扡㘸昱ㅢ攴晢㑤ㄲ昲挴搴㠵攰㕢㈴戸㠳〴攵〰愲挵㍢ㄱ挸㘹搱㠷㠸㥤捤㌱挹摤〵戴摥〱愰敡〰㐴㡢㜷㈳㄰㘸ぢ㌶户攰㙤㈵扣㐵摡ㄴ㙣㙣敥挴㔸扣〷㘸㕢㡢昷㈲㑣㉤〶昰㍢戲ㄶ㜷㕡㔴ㄳ昱㍢㙥㉤ㅥ〲㘲㔳㡢扢㄰捡㙢昱㍢ㄶ㌳㥥戲摡㕡愴㤳㡤㑡攱㈹㜵㡣づ〳㥤愹挵㌹㐲㠱㘸戱ㄶて〷㑥戴㜸ㅦ〲敡㝤〰戶ㄶ㈹〲晤〰挰搸㕡㍣㤲㜹㔱㠲晥㥥ㄵ㘰㐴扤ㅦ搰㤶㌶ㄱ搶㔸晣㘷㠴昵㠳〰敡㘸㜷㠲敦㤳攰㈱ㄲㅣ〳㈰㕡晣〱〲㌹㉤搶㈳㘲昳㜵㡣挵㠷㠱搶㍦〴昰㥥〲㌰扥㔳扥㑡㔴㉢攰㌸㝡㤵慢㕡ㄳ愳换㠶挲㜱扣㤴扡ㄴ摢晤㔹愲づ㠶㍤㥥ち昳搰㘵㑣换㔹㥡㜰敥敡〹㘸㔹戱っち慤㙣慢㙤㜲㌳㙤摦づ㘵晣摥搳㜰づ㍥扥㔲愰㤲愲扢㘲摣搷昰敢㐷㤰挰㔱㌴つ扦愴搱㡦ㄲ㕡㡦㥡敥㠶昵㥥ち散㈸㝢愳㐵攷ㄹ攴㌷㈹扦㤳挳㍤扢㘹㜱扥愲敥戶〵㔴戸㐵晡㘳ㄶ晦㐱户㍡愸愰㡤㝤捣ち戰㌹㕥敥㠰ㄵ扢㔴㈵㥢㙥摣愹挳㐹㉤戶摦㝡戳挳㜱㙣㜹㌲㐸ㄷ换っ㜱㡦挷㑣㐶愵㔳改ちㅣ㕦ㄷ摦㙥捤攵㕤〰㔶搵㠷ㄶ扤晦㈳搹㤸挲摤㍤㙦ぢ㔴㌴㘲㝥㄰㌸戴挲㍣㝣㝣㡦〳㝦攸攲搸㘰㍡㤵㐹㐵戳昵扤搸扡慦攷ㅢ㘱㔱ㅣ攲㠴扣㑤攰攸㕡㈶ㅢ㔶㤱攴晢摢ㅢ㜹㈹搰扦㍥㤹摡㤴㤴摡㜸㌳㝣㌱㡥愵改捡㑡ㄶ攳挷㥦㍣㈷㐰敢㠱㔶愴㌰戳㝥ㄲ㠱摡昲㐰ㅢ㝥㐸散晢㈹攰㠹摤戳扡㤷昷㠷㕢㈳㑤〳㤱戶㘰㔳搴㠰㜹搴ㅣ改㡣戶っ㜴戶㠴摢㕡〶ㅢ〷摡㍡㠲㑤㠱㜶㉢㡦㝥ち㠱〰昷摡昰捦愳㥦㘶慣搳㡥㌱慤㡥㝢㘵㉣㥦㉢挰㝥㝤〲愷㠳㌳晢㠱敦ㄹ〴㙡扡㘷昵㡢㤷扣ㅣ慦㥤昹㝥〶捣㐴㘰ち㕦㝢昷晤㉢搰ㄳ㠰㜶散攷〷捥戰戸挸扢攲晡ㄷ㠸挹慢攳敡㑣㠴㌸戵昹搵㐹搰〰㠷㥥㌹㠴㥥㈵づ㐳愸ぢ扦昸㔷㌴㠴㘶扡㘲㐳挰㜲ㄸ改攷㤸摣敤㑡㌳挷挶扥㘰〵㔸㥣攲㔶ㄹ扢戹慡㐷〵搸戹㠰挴挵㌷㘰搸㌹搴戱挰戰㠳ㄴ㉡㜸㍥㤲㐵挱扦㐱〰ち收收ㄸ㜳昸㕥〶㌴ㄵㅣ㙣㙢㙢㙢㌵愲敤ㅤ㠳㑤攱㤶㜰㙢㔳㐷㝢戸㍤ㅣ〴㌶㍡搰摣㍣搰㍣㄰㌸换捡愳㕦㐱㈰戰搰㡥扤捡搸㈲㍢挶戴扡挵〰〷㐶挱摣㝣愳ㄴ㌴ㄵ慣愹㔳㑤つ〶㤶摡昸昷㌱昱㌵攲て㐷㐸㉤㐳〸晦㍣晡㑦㔶㐰㐴搸㡢㠸㠸㜰愲㐳㠴扥㍤挰㡥㌸攸㔴㥤慢㕣晢㤰㐷攴晡㍡〲㤰敢ち晣昰〹慣戴〳㘷摢㠱㔵㔶挰㝢㉥〲㘳慥㈲搶晥ぢ㜹慢〱㌵愸㈲捡愸愸慣㉣戹㍢㔳戸愲㘰㙢㐶㔶ㅦ慥㍤㍥ㅦ愱户ㄶ搵ㅥ㝤㠱戰㌳戱㝡㠵㤷㠹㈷〲愳晦〲扣㝥〳挰ㅦ㌸て㤰ㄵ昲扤㠹挰㈱ㄸ㌴戸ㅤ㙣扦㡡㈳搳㘷㤱㔲㔶㕢昴㜲ぢ㔰摥㡥搷敦〰㈵㉦换慢㝥㠴捣挱㔴㠶㉡收〷搳扢挰㜳㌰慤挱㉦晥ㄵつ㈶敥散㤴㘲〷㠰㤲挱愴戰㤷〷㔱戹搱㐴㙤㙣㌹㘹挰㔸㝡挲㍡㠴愴㈷扣昳㌷户挱昴㕦挰㤶づ㈶㙥戸㠸搲㉢挱ち㑡㍦摦㘲敤慢㐲摣ㅣ㑣搱㤶昶收㐶愳扤㈹摡搴㠱㤷摣㍢愲〳搱㘸戰㍤ㅣつ〷㍢〶摡愲捤〳〳㠱昵㔶ㅥ捤㉦戱〴攲㜶捣捦㔸挲㡥㌱慤㉥㠹搸㠱ㄹ㑣㈹㜰㜶ㅢ㑣ㅢ㙣晣㘴捡㥦㕦㠷搱㈷㈰愴搲㜶扤づ〱ち㘱㔳㠴㔹㠴㐴㠴㝦㜴㡡㤰㠳㐹收愳㍦戸㡡㜰〸挹㈲挲挳挱ち㈲摣㈸攴㘸晢㈶㍢戰搹づっ㕢〱戵〵〱㡥ㅤ昵㝢戰㘴扦㤶晥㜹〴慢㜷㈴㠰㍦昰ㄱ㈴ち㔳昶捦攲ㄹ㠲㝢㈸㤲㌸㠰㝡挹户づ㜴㍤戳㥥㠲愸摡㑡戶挴㝦〰㈸〶愴㜳㕣㠲㤰戴散㌹搷㤶㍤敢摡戲㑢㤱㐹捡攱㡢㘲㘸搹㘵㘴㠷㈷㜰戹ㅤ戸挲づ㜰户㠳㡦晡㈴〲搲戲㕦㕡㉤㘳㠲㥥挲敡㑤〵昰〷㍥〵挴㠸㉤扢搲㑥ㅣ㘰㉥晡ㄷ扡㤱㔹㠳㘴晤ㄹ㈴㥡挳散〹昰捥て戳㘶昲挵㌰晢㉣搲昱慦㘸㤸㕤攵㡡扤ㅡ㔸ㄹ㘶慤挸慣㍥攷㑡㜳㥤㡤㙤㈷つㄸ㡢㈴㍦㡦㤰㐸昲㔱愷㈴ㅦ㘷㍡搷慣ㅦ戹㑡昲〶㈴㑢愳㑦〷㉢㐸㜲ㅢ攲捣攱㍢〳㜱㜳㤸戵㌴㜷戴㜴ㄸ敤ㅤ搱收㘸㜳㑢㘳愴愵愳慤つ摦攷㌰㥡〶〷摢〷㍢㕢愳捤〱搹㜲㐰ㅥ㍤〳㜹〲㌷㔹ㅣ昴㤹㡣摤㙣挷㤸㔶㜷ぢ㘲〷㘶㤸㜱㡦挲㙤㤸摤㙡攳㍢㔸挱搹愸㠴㙥㐷㐸㜱愷挲㔴搹㜷ぢ㔴㌶てㄴ㔴搹㜶愴攳㕦㤱捡扥散㡡扤つ㔸㔱搹〲㘴㔶㕦㜵愵㤱敤〳昲㕢㐸ㅡ〴㐴㘵户㈳㈴㉡扢挷㔵㘵㍢㕣㔵昶㜵㘴ㄲ㤵㉤〵㉢愸散ㅢ㔶㠱扥ㅥ挴㑤㤵㐵〶〷愳戰ㅦ愳慤㐶㄰㤳㘴㔳戴戳㍤㠲ㄹㄱ㕡挴ㅣ〹㥤戵〶扥㘹攵搱换㤰㈷昰㉤㍢戶㥣戱㍢散ㄸ搳敡敥㐴散挰愸散㉥㜰㘶㍢㝣㝤㈸攷搰晥扥㔴㍡ㄹ㡥愴晡㤷ㅢㄹ扣㉢㤵改挷挱㐸昱昴戲挳捡愱㔷㈱㠷㝣つ㐴㝦㠸㈱ㅥ〸慢㝢㤰㘸㙡昴戶〲㡤慥〶〵㌵㝡㉦搲昱慦㐸愳㍢㕤戱扢㠰ㄵ㡤昶㈳戳晡㡥㉢捤㝤㌶㌶㑣ㅡ㕢愳て㈰㈴ㅡ晤㠲慢㐶㙦㜶搵㈸㌷ㄴ㐴愳〶㔸㐱愳晦㙣戱昶㐵ㄱ㌷㌵摡㡥㠵㉥㡣ㅢ戶㙤㉤敤㡤㉤〳昸㙣㐸㌴㘲㌴㌵戶㜷戴㜵㠶挳昸㥣㔷㌰昰愰㤵㐷慦㐵㥥〰㜷ㄷ昰て挷ㅣ㡣挹㌶〳㘳㑣慢晢〱ㄲづ㡣㐶ㅦ〶㘷户㐱昸㐳ㅢ㍦㥢㤵㐸愲ㄲ扡ㅢ㈱㐵户ㄸ晦㍣㝡〳㔰捣挸扦㠰敤ㅢ㉢㜱㑣㤹㥣挳㌰昹㌱攴㄰㘱愵㤱愹戶摣晢㈴攲愷㡦㝣摢搹攱㜳㑣㠳捦㕣昰㤱㡥㌹昸攸挶㌰戸㜸捡㜱㜹挲㍣散慢㈸㍢㙤摦㜸搱㈶慣〵㉢晥㜹㍦捤ㅥ戸敦㝣㈸㤳扣㤵㐸㡥挷攱㑦㘷㔱㔵㉦㥤㍢搷㍢㠶挵摦愴㜲㝥〰㡣㑥攰㘱㠹〵ㄹ㌸㘹昸慡㐱㕦㉡㤴晢〸搹㐴摢㜹㥢㘶㝦㔱攱挴㍣挶扥捣㙢㘷㕢㥡捥攵挳〷〲攰晣㈲㘱ㅡ扦扦㜰㔸㍥收㌸㉣㝤㝦ㅥ㡢㥢摢戸㑦㙡㐴㙣㡥ㄹ㥣㘰㔵㤴㤵㉢搷㤳㝤敢昵㜷扣㜱㙥㌳㤸㤳ㅣ㤲昷㈹摦敦㜲㘵㘵㔶㉣㉢晢ㄹ㌵㘸愳搲㍦㠵㜸㝣ㅢ㈱愸捡ㄹ㤳㔷㑥づ戶㜶㝡㍦〱㕤散㐵㌱㠵戲攷捤㘸㘲晣㝡㌳㜸㉡晡搹攴㐷㤴愲捦敡昶㍥挵㘵㈰㜰㝤㌱晥㔲㉢愱攴挵昸㘷挱㠹㉣昵㐷㔱㠸㍤づ搴㜳㌶戶愰晢扦〰慣㜴晦慤愰慤㉤㔷昴㌵㌹〴搴㐵攰捥㝥㈷㕤攵ㄲ搶㤶㙥㈲扢㡢搲㉦〳晡㉥〳捥㤴㑡㝢戳晡㈷㔰摡㉤昱敢㉢㐸㑥ㅦ搳㐶㈹㝡㜷㙥㡤摢㘸戵愱攴ㅤ慣㈱㉢愱昸挵昶〰㥤㐲愹昰㤵㘶㠵改挴㐹㠵㌳挸㤱慢昰㘷㤰㔸昷ㄷ㈴㜱慦戳㘸捦㘲㑦ㄷ㜰㝣㘶ち昴㔴㔹扦㠱㤹㜵昴㤹ち㜲ㄴ扦㌵㠳ㅣ㕦㍣戳㝢㌰㠴摦晡扦㔴愷㐲㡡捥㔱扥㘱㔷〳㙦扥㍦㤵ㅣ愹㘱〹㉢愱攴摤㑢昶〲晣昳攸㙢㔱昷㥣搶挴㍢㈲戶㐰㙢昴㠷㐴〸搷㈳〰慤搱愹ㄱ㈱挴㥣㐲戸〱㔸㐵㝦挴搴ㅡ㍤ㅤ摦㡤〰愶搶摡ㅡ㤵〱㙡㕢㐵㝥㝤㌳挹改捣搸㈸㐵㌷㈲摦戸㜰慥㜱㙢㐶㙡㕣扦㤵㔰晣敥㘴㠰摥㠷㔴㜸㍢〲愸㌰㕤〸愹昰㙡㘷㠵㙦〳戶㡥捥㐱㠱づ㔰㉣㥥㔱戴㐶㑦愲㈰㠷㡢搶㕥㍣昲㡤愱㄰搸摣㜹挳〳㕢㐲㡡㕥㐴扥㘱㜹慤慤ㅡ愹㘱㘷㕢〹挵敦㐴〶攸㝣㐸挳㙥㐷〰つ愳〷㈱つ㕢攱㙣搸㌷㠰慤愳㙦㔰㔰㑤㘹搷㘸つ愳㈳㔱㤰愳戸㘱扦㥡敡摢摤扤攴㠵慥㌹㡢㌶摦㌵昱搱摦㜷㈹㍡ㄱ㙥つ敢ㄹ愹㘱㑢慤㠴㤲㜷ㅤ改㙣㐸㜷摣㠱㐰慥㍢㡡ㄷ㠱㝡ㄷ㜶㐷晡つ㈲㠴㝢㄰㠰㄰㘸晣㡢㄰ㄶ㍡㠵戰ㄳ㔸㐵扢摤散㡥昴〸㝣摦〶戰㈶㤱㈶㌵て搴㜶摦昳敢敦㤲㥣㐶扦㡤㔲㌴户昳㡤换㜷挷㔹㈳㌵㉥㘴㈵㤴扣慢㐸戳㕣ㅡ昷㈰〲戹挶㠹扤㕤搲㌸㕡搸搲戸㠷㄰㐰攳㘸㈶㑢攳㘶㌸ㅢ昷㌰戰㡡ㄶ慥搹㌸摡捥扥ㅦ〱㔸敢㐶㡢敡㉣㘸摣愳㈴愷㜹㙣㌷捥扢ち㤱改㐵㙢㍣㜷㡡昰㝤㤶挵攱㘴㜸慤㤱㙥戰㑣㕡换愲愵捤愵搶㉡㐳㐵搵㍡ㄵ㔳攷慢昵㉡慥ㄲ〵㥦攴挱㜷ㅤ㜱㜳㤳㙦㥥㝣㜰㝣㥣昹㈵戲摣㙥㔴昱㉢㍦㐵戵挱攱扥慣愷㌹㝡户愳㠱昱㝤㌲愹慡慡㜸㐵㉤㉡换㙡戹摣㤱攲ㄶ搹昵㘵㉥㉢户摣㌶㠸つ㌶捣㡥挹㠷㜵挳改攱㌵㑤攷㥥㙢ㄱ昶攲捥ㄹ扦慦㤷挸っ愶搲昱搸㐰晥敥昶昸扦戴搷摥ㅥ㙥ㅤ㙣㙤ぢ㜶㌶户ㄸ㡤ㅤ㥤慢愷㥦㍢㍥愹㥡ㅥ挸戴〵挹つ㐳昸㘸㐳摡搴ㅦ晣㤱改昵㙣收晥晢戶敤敡搵愳慡㠰㠲㤳㘳㔱㙦ㅢ晡攲摥昶〸づ㤷扣ㄱ㐹㕥㝣扣慤㘰戵㌷ㅤ愵㤴つ晡扤㐷敦〶搴㡦〳昰㍥ㅡㅦ晤〴㌱㑦〲昸ㄵ㥤㌲户㜱㝦㉡捡㜶戵㡣愶㕢〹㈵慦攱搲㜹㤳㜱晦㌳〴㜲攳㕥扣㌲搶愲㘰㡤愵ㅦ㈶攳晥攷〸㘰摣搳㤹㤲㜱㍦〵摣㜳㠶挶㉦㠱㔵昴㠳捣㜱㑦て换昷㉣㠰㌵敥㕢搵㘴㔰摢㠳摣慦㥦㈳㌹㥤㈸ㅢ愵攸扥戸㌵敥戸㤱ㅡ㜷慣㤵㔰晣ㅡ㙤㠰㕥㡦㔴昸㌷〸攸㤷〹㕥〱昰㝢改搹ㄴて戰攲户㔸ㅣ摦㔴愴㤱敡㡤㜲㜳戸㍡㙡愲㌹挴攵㌵挹戸ㅣ㑣搵攰慡㝦ㅡ㕦㌵㕣㠴户㔷㜰挱ㅦ㕦晤戵づ㘸昰㔶ぢ敦㉣摡㤷挹戵挴㤸搹ㄷ㕤㥡挶敤昲捡攸㠲っ摥㤱㠹㔴攱㔳㘱㔹㝣㘵㌲㜹㌰㥣ㄱ攳愸戰〲〲挲㘳摥㠲㜵㍤愵攳昱㕢昱攵㜳㠷〸昳昲戰㕦〶㉢攳ㅢ〲晢㜶㐲散㝢ㄵ搵挹㝦摥㙥㈳㍤愳㑣㤹㍡ㄲ㝡㤷㝤敤㍦㌴ㅤ㈹攷㐷戸ㅦ㠴㙦〴㠰㔶㠷㔱㍢ㅡ㡡散摣㝥晤敦㐴昱㙥㤵〰㡦㤷㝥㕥㜱愳㜸㕥㍡㤷㌹㡡㍥捡㔷㕤捤㤶昶㙥晢敥捣扦㌵慦づ㔵㙣〶挹㘸㑥ㄲ㠷㔰㘵愲㍦捣㉦㤸㔷㈵晡攳㐶㜲㙤㜶㕤敥慢攵戸㈸㠰て戰改搷挰㠴㐵昱㉦㐰㤷㐴㍡改ㅦㄱ搰㝦㈲昸て〰扦摡ち挸㡥慡搹晡㌲㔵攷摡摡搷㐹㔰搸摡扦㄰㤵㙦慤愲慢挲ㄶ摢㙤㔰㔷㈰挲㜶攸㌷〱昰㑦晥ㄴ扤〷ㄶ攷晢㉢㐰改㉤挷㠸攳㤲㌲㕥㔶戲㉢攳搹敡挹㡢晥㙤攴搴戴ㅤ㘵㑡ㄱ搱晦㌷㔱㡥捡搰つ㘱㘵散㈷㜰㉤㈲搲晣扦㤱昲敦〴敦〲昸ㄵつ㜹㐷昳摦㝤挷㑤搹㘵㤰㜷㔱昳㉢㠸㜲㤴㜸〳昸ㄴ㌴㥦㔶扤㌴摦〷㑡㠴捤收搳っ㤷收㔷〲㍢㔶昳摦戲㉢㔳搰㝣捤㤲ぢ㥢㕦㕤㔴㤹摢慣捡搸捤㔷㌴㤲愵搸㕡㔰收慥㍥㍡㠵㕤愱㕥㜷㉤慤慥戴戴㠹㐵愵搱挸㉥㄰昶づ㈰㐴搸㤳㐸㜹㈸挱㘱〰㝥㜵㡦㔵つ慢慦晤摥㉥戱㘰㘴ㅤ㐱晡挲扥㜶ㄴ㔱づ㘱搳愲㉤㄰㌶㙤㔶ㄱ昶搱愰㐴㔸晥〲て㈲㈴昵㌸㠶昹㡦㈵㌸づ挰慦㘸㔱㍡㤴晥㠲㙢㍤㍥㐰晡挲㝡㑣㈶捡㔱てㅡ㥦〵昵愰㜹㈹昵㌸〹㤴〸换㥦攲㈲㙢摦〱愲㑡慣扢㐵㈷㤳摢ㄴ〰挵〵搸㠵㘰㉡〹㑥〱昰㜲㔱㉥㕥㐹㐶㌱搵慡㔱㠸ち㡢㜹㡡戳㔰ㄸ慡㙢㘱愶づ慡㠱㐲㈳戵扣㥣挲愱㤵敡㘶扥攴㉥㤷㡣㥡戸㌷㈶〸㙤㤷㉡扣㌴扡户ㄶ㄰昳摤愱㐶㌱㍣㌹昷慦〹㥥㍢㍥慢㔰㙣搹㘹㤶㘱㙢㥢㠶晦ぢㄶ愱㙦ㅡㄴ㝢捡㤶攵愹㔴㜶㡢晤㐹搵捣ㄶ敢慢㡣㕢扡㔳㤹㉣散收㉤㡥て㘴㑦㘷㙦㌸ㄵ㐰㍤㡤晥㑡晢㡦ㅤ㡣㙥慡㜹扢晥㍢搶摢戴慦搹摢㉣ㅥ昵ㄴ〸㘹㜳㠲〶攷㕣挸敡慦愰㘵昷て㉢摥敤晦愴戱㝡㌵㠷㐳挹慢㝡戹㌷昳㙡戱戹㉣㡥㔷㑦㌸㤶捥挰㡡㉤慦扡㘶戴㕥㘹戹㐵㜳㉥㌰敦攷搹慦敢戱愳ㅥ㐰摦㘸㜵搵㡤愳昹㘸捥㌶晣㝦攷愵㥤扢ㅡ㐳〰㘷扤㠰ㄲ㘸〲っ搰㈳㤱㐵愲ㄹ㌱摤㐲搰ち攰㔷㜴㍦ㅣ㡢挴㡦㕤ㄷ㠹づ搲ㄷ㉥ㄲ愷ㄱ攵㔸㈴攸愹ㄴ㉣ㄲ昴㐵㘴㤱㌸〳㤴〸㥢㡢〴㥤〷㜱㜳㝥㠰㠲攸收㥣㠱㤴慡㌲㥦愲㐳㈱〹て㔹〹㍣㈶慢挲ぢ戳㜴㌲㈴攱晢㔶〲〷扥㥥〹愶㕥㕡愷攳㌶㥢ㄵ戲敤攳㥤挳㄰ち㔳戴㝢挹㐳捦㘲っ〱晥搵搱晡㘴愰ち㐸㡦愲搵㈹㜵㝤愰愸㜵戴㐴㈵攱晥愲搶搱㍡㤵㠴晢㥣慤㥢换㈲㕥㐷㤲搸摦昳ㄸ晢ぢ㘲㔲晣㝣㘷昱㌴㍡昳挵搳㘴㤴ㅣぢ㐸㐳㙢㔱㜲㥣攵挸愱㘸ㄹ㑡㠱昷ㄶ㔵㤱搶愲㈴摣㔳㔴㐵㑥挰㤲㜰户戳㡡㑢挸㤴ㄶ愳ㄴ戸㤴㌱ㅡ㡢㔲㘰㡦ㄵ㘰愴㡥㠶㘱扥㡡㌴敢㈴挷㌲愲㘹搱㐹㡥攵㔶㠰ㄱ㐵㘳㑣㘸㝡㠹愵ㅤ㈶㌴㝤㑥ㅡ摡㕣㔲愹慦ㄷ㌵㠳㜶㤸㈴摣㕥搴っ摡㘶㤲昰㌵㘷㌳㔶㤱㈹㙤㌱㈹昰ㅣ挶㘸㠶㐹㠱ㅦ戲〲㡣搴搱攴㘲挰㔴㌴㑤㉤㘱昶㤵愲攲㘹㝥㐹挲㙤㐵挵搳㈴㤳㠴㉦㍢㡢晦㌰戹搲〴㤳攲晢ㄹ愳昵㈵挵慦戱〲㔲㍣㉤慤㕣昱〱摡㔴㝣〲戴慢㈴㐰㈳㑡〲㌴愴昸㈸㉥愴挲挷摥㜶㄰慣慣慣〸攵㌶㈳㠸慤攰愲昹㝦捥昶㘰㐳摤晦㝦㔶㤸攸捥ㄸ搷摥㤹慢㤵㘴㕥搴㠶㘷㌹㠰ㄲ㔸〸晦㉡㌸㥤ㅥ㡣ぢ㈱敡收愹攴ㄴ㉦捡㤶敡摥昰㡦愵搱昵㝦㈲〶搳攷ㄶっ扥㝦㠸挷晤晦戱戶㝡㌵㈶㝡㑦昹㝡㕣㉥㤰㑤㈱㔵㜱收戸〶㤱㜵㘰㔰扡〱㑤㡦挶ㄷ㐱㤷㥣扦愵攰ㄳ敤㕢昲晦〳慡㔲㔷㘰昴㤷㈵つ㜰㔳㌷㐲㠹㔴愴㙦㉤㘲㘷散〵敦搲㜷㤴搷㤱摦攷㙤㝥攷㈳戶㘰㉦昸㡤昱〲攲㝡㌲愷扤㈵昳晥戵㈸挵㘹昰搰〶㤳㠴捦㔹〹戶挱㐳扢㑣ㄲ慥戱ㄲ挴攰㐹㤱ㄹ敤㌰㔹㈹㌶㌰㐶ㄳ㑣㘶昸ぢ慣㠰慣ㄴ㌴户㜲㉢㐵ㅤ敤愴戳愱㠷戲捤㙡㜰㑤㘴捤㥡户敡㉡敡㡦慡㔸㌵戳㘶摢㡢㍦㜹改㥡㘷捥㥢昱摢㜷㙥扥昹㤹㤷慦搹晤捥晤〳㌳ㅥ搹扥晤攱戳㙥摤晤搲㈱搱㉦㤶敤㝣㙢搱ㄷ户〴搷㙦戹㈰扡攲㤴㜹㕢捥㌹㝦㔹戰㘷攲戴昲昲捡捡㤳㈷㍤㝡挴㤴挰搶ぢ扥慤扥晦换昷㈵㤵搸㐶㈸愰㘰㐱〹搰㐶ㄲ㜳㌳㠳㐰㙤㜹ㅤつ㥡〳㕡つ戱㤱㑡慡㐱㕢㐹慡㌱㈴搵㔰㘲ㄷ㤵㔰搱㍥ㄲ慡㑤㐲㔵㐷搳收㠰㔶㔶慣愵㤲㙡搰㙡㤲㙡っ㑢㌵搴㌲晣㤴㉣攰〱㕡㑡㐲昵㑦㈶㤵搸㐸㈵扣㘸㉢〹搵㐷㠴慡㡥㘶捥〱㙤㤲㔸㑥㈵搵愰〵㈵搵戸挸慣〶捤㥤〳㕡つ戱愰㔸㡤慤㈸㠹て㡦㌱〳㙢散㙡㕣㉣搵愸攴挲㉥愲㘵摤㉡㡡慦㍥㡤戲攳㔴扣愱挲ㄹ㑥㕦〲㙥晡㔲㠲换〰晣㕥捥㔱敦㜱收㍣㠴昵ぢ㘳㉦换挰搵㜵ㅥ挰慥攵攱慢㑡慡ㄴ㙥晥㥢㠷戱ㅢ慡ㄳ㜳攲昸挰㕡㙣㄰㙦挵ㄵ散㜸攱晦户㠷散㝣㘴攷ぢㅥ晣㕥ㅤ晣戲㑤攳摢扢㤲㙤愵摣昹慣挲㥥ㄷ㥥㔱昷搱㍡挶戵愰ㄴ㔸㘵㜸愱〰㠷㥡戲㤴昸㝣㜷㡥戶ㄳ戱㔷晢㘳昶愲搵㘷攰摢ㄸ㈹晣㕦挶㘴捦㘳晦㙦㤰戹捡㈳㜷㙣㉤晤㘷ㄵ㤶㕤昱愴扤挳㤸昰昷㔶昴㥣㈱ちて㑥㠹㔱㙢㥥慥㝣晢扡搷慦〹㕤昶愹昳扥㜰挴慡愷㐲ㅦ㥥戰晢捣晦㤸昲搳㄰搲敡ㅦ摣扥㤱扦ㅢ㕥慦摢挲㕦㜹昴挷搹㠱㍦〱㠰愷㤸㘲收㡦敦㔹ㄱ搲㥦㐴攲ㄹ摢㕥㝣昱㑦敦㥥㌸搳慦戸㜲戲愷㥢户㕢戹ㄱ愰㌲愸㍥㥢㈰ㄵ㤸昲戵㘵戵慦敥戸㉦㔴㔳昶敡㜵㠱搶㐷㐲㝢㍥㜴攱戱愷敦摡挱〲搷晣晢㠶㠸晣捥㝦㍥㤱慦挰㘷挸散戳〰㙥ㄴ昷晦摢昲㤰扥ち㠹㙦㐶慦㌸㘶搱㌷摦攸昲㉢慥慥㐵ㄵ㐸㌸㉢戰㜵攱搳戱㡦摥扢㈳昴慢㍢扦戲昶攱扢ㅦぢㅤ晤愹晢㥢扣攷㍣ㄴち戴扣㌱㈹㜱晢㡢㕤㈷㥣㝡挵愵㍦㝡昸㜷戹㙤㐴㝤㉤㉢㜰ㅤ㐰㌱挵㐹慦ㅦ晦挲㡥㤶㥦㜶改敢㤱戸攱愸户て摦摡攷㥤改慦攳㡡㝣㐰㈷㌳㔹攴㈱㡤挲愵㤵㡢扤捣愹㌷㈰㠰㠳㘳慥戰㘲㉥慣㐵敢㘹㘰捣㐲㤶㉡㝣㥣㠰㙢㥥㈴㐴㡢ㄲ戸捣㐹㠲㔱㤴挰㠵㐷ㄲ㈲㐵〹㕣㙢㈴㘱戰㈸㠱换㡢㈴っㄴ㈵㜰挲㤷㠴㜰㘱㐲㠰ㄳ㌳慢㕦㕢愱㌸ㅢぢ捤㥡㐲ㅡ㉦㘷搴㝤㥥㉡㜸戳戲㘰㍥㥣㔸戴ぢ㍥㉤㕣㠲㠹㤴㘰㡣ㄲ捣㘰〹㘶㕤〹㈶㔶㠲㌹扦〴戳扥〴ㄳ㉤挱慣㍤扡戸捥捥晦ㄵㄶ晥㝦ㄸ收っ㡦晢㌷㙥搳㙤㙥㝡搹㡢戳㤴㝤㥤昵㘵捥ㅦ摦㥣㈵户㜱㜳换挵㝢㕣㈱㔹摦㔱摢㑥〲扦晥ㄲ㝡㤲㙦㍢㐰㤷㜹〴戱捦㥥㠷㕡㡤㍥㙡㑦㙥㘰㍤昳㥣㜳㠶㐳敥㈷ㄲ㙦挹㐱㠴挷昳搶扢敡㍣㘴戲㑦㈶晣㝥㐵㈳㠱㝤摢慡搷㔷ㄱ㙣ㅥ扢㕥㈵㕥㡢㍡愷戰㉥㙢戶㥤ㅣㅢ扢㉥慢ち敢㐲㕢挵㔱㤷摢ㄱ㥤㌹㜶㕤㐶昷㜸搴ち㐷挵㙥扣昳㠱挷戶敤㝡搹晡㈸㔲昱戱㡤㐳㐸㝤㠵ㄵ攳㐲挴ㄵ愴㘰搶㔳㕣㤹ㅣ搵扤〳搱昷慣搲ㅥ㐷㙤挷慤搲愵㡥摡㙡慥㍦晥ち㉥㡣晦昷㉣ㄳ㔴㝡攴敤戳ㄹ攳㌲搴摣㡤愸摣晥搹摤㈸㠲〷㜷晣㔳㕣摥㑢搵捡昵摥愱搶㥤㠸敥搳㠸㔸㔰愸捡昱㡤㠸昹㑥㔵搲㥥昱㉢㥡ㄸ㔴愷晥㉥㐰慥敥戴っ㑡敢㑥㔳挱㔱昷〷㄰㝤敦㈳㘸㤶愳㈱攳ㅥ㐱㈱㘷㐳㘸ㄷ攱挲〷愰㌴攴晢〸攴ㅡ㐲㤳㐱㔶摣㌳㤱挳㘹㉢㜰㥥攴改扢㥥㠶㠰捥㥦挱㥥〶扡㜱㥤挱㜶㍡慢昰㈸㤸昸㉢愹㝥ㄱㅢ㍦戱㔴㔱晣搲㡢扢㤷攵摥愳挴㑣晥㌱㙢昶ㄳ㠲挷〸㜶ㄳ㍣づ㔰㕢㕥㐹㘵敤挷㤲㥥㈰敢㈷〹㝥㑡昰ㄴ挱搳〰㈸㠹搲摣㡦㈵晤ぢ㔹㍦㐳昰㌳㠲㝦㈵昸㌹〰捣㍡捡戰㤱昱㕦〰攰㥦㠷㐲昰㔲〸敦㐵㤲㘴㔴㥤戰敥〳攰攲㔷㑤愲㉦㥣㕥㙢㤸摥㑦㜵㐲㤶㘸昱㠴㐰㠷愵㥤㘵攲ㄱ㝦挰昶㈸散㐵㑦㔱ㄷ慣て㥥㍢㙢晥扥㈹㜴㤵戱敥搳搷扥㜲㑦挸晣ㅡ摥扦㜴㈹敡挹㈲㤰攵戲㘷晤扣㈷㐲ㅦ㝢挸㌲昹㕦散㔲搴愱㐵昰攲㔷敥戹㌰戴昵昹ㄳ敦晤捥㑤㍦〹㤹摦戳挲昷慢愸㕦㡢㐰扣ㄵ摢㥢挱㜷㘷昰扣搶愵愸㉡㡢㐰扣ち摢敢挸㔵㤲㙡戴㡢〸敤㡥㠶昶ㅣ户昹晣て㌵㍥㤸慦㈴㔵㙣㜳攰㍡㕡㔲㐹慡摦收戰攷㤲昵愱㙦散㍣扣㘹敡昳て攷㉢挹慥㘱㜳愰㐷㘳㝢㍣戹㑡㔲换㈴戰晤ち摢㌳挹㔵㤲㍤㠰〴㉢搲扦㑣㤵摦昵㔲㤷攷敡挶㜲昵搲㝤昹㑡戲㜷㤰挰㥥ㄱ㑡㉡挹㥥㐳㠲攷晦昴愵㤳ㅢ扦昷㙡㔷攰㌳㙦ㅥ㜵改㌱㡦攴㉢挹㕥㐵〲摢敢戱扤㈲扢㤲㤵散㘶昹㥥晤㕥昷㐴㍥〱㙥攲捣㠹㐳㔵敢慤晥ㅦ搹㉦㝢㈷</t>
  </si>
  <si>
    <t>㜸〱捤㔹㙢㙣ㅣ㔷ㄵ摥㍢扢戳扢攳㐷㘲㤲㌴㙥搲㌴搹愴㘹㜱敡㘴敢㐷摣㈴慤㐲㙣敦挶㡥搳挴摥㘴㌷㡥㕡㐴㌶戳扢㜷敤㠹㜷㘶捣捣慣ㅦ㐱〲㑡ㄳ愰㐰愵ㄶ㄰昴ㄵ㈴㐲㉢戵㉡㡡㉡㤴㔰㕥㐲㠰昸㐵㈰ㄵ愸㤵㄰㝦慡ち㈴㄰㐱㐰愹愰扦愰㥣敦捥慣扤㡦戱㥢㠴㈰㘵㤲㌹㝢敦㌹昷㥥㝢敥戹攷㜵挷〱ㄶ〸〴摥愷〷扦㜸㐲㘸㙣㐸捦摢づ搷攳〹戳㔴攲㜹㐷㌳つ㍢㍥㘰㔹敡晣㈱捤㜶㠲㌴㈰㥣搵㠸㙥换㔹㕢㍢捤愳搹ㄹ㙥搹㌴㐸づ〴愲㔱㐵〲ㄷ敦㙤慢㜴ㄴ捣㔲㠰㔶㘸㔴㐰〹ㄳ㘸㠹㄰挸㈴〶挷㜲愷㘸㤱戴㘳㕡㝣㝢㙣摣㘵戵户扢㍢摥ㅤ敦敢摡㜹㝦扣㙢㝢㉣㔱㉥㌹㘵㡢敦㌵㜸搹戱搴搲昶㔸慡㥣㉢㘹昹㠷昸㝣挶㥣攲挶㕥㥥敢敡捤愹㍢㜷㜷敦散敢㉢敥搹戳扢㈵㑡㥣㔳㠹挱〳扣㌴㑤晣㙥ㄶ㔷㠵戸㡥㈶〶㔳ㄶ㉦摥㉣㥥㌲昴搲㥤攴㜹つち攴摣搲㡣㠹㜸㘲㤰晥㔷㘹㠵㝡扢攲㘳改㌴㌷㙣捤搱㘶㌴㘷㕥攸㔰ㅦ换攷挶搵㔲㤹㠷㜵㈱㔲㔴ㅦ㔷慤㔱㔵攷慤晡㌱㥢ㅦ㔵㡤〹㡥㥥慣て㤷戵㐲㠸づ㌶戸捤㙦㈱㑦㐹昱戱挴㘰㘲㔲戵ㅣ挱ㄲち扣捦㙦戴㔸㈹㕥㈵㡡㤸㈳戰㔰て㙢昶㑣〷㙢攲㝣㤵㈶㠰㘶〲攱ㄶ〲慢慢㘶挶挴搴㔸てぢ扤㑢〶㔸㍤ㄱ挳愵慣㉡㘵㜳㔲㌶㉦㘵ぢ㔲㤶㑢搹愲㤴㥤㤰戲㤳㔲㔶㤳戲愷愴散ㄴ㡤愹㍣搱㐸㐴昲㥥捣㠶㝦摥㜹昰搵㕤愳㘷㌷扦㤵敢扦昴愷㥦㌲搸㥣㌰扥ㄵ搴㔰㔶ㄲ〸户ㄱ昰ㄱ愴㥢戱扦㤱㈰㄰㐶㝡慦晤㥤㉢㔷扥㤹㜸攱㥤搶敦㍣㜵㜹搳づ〶㠵ぢ㉥慢挰㘵㌵戸慣昱攷搲换搸㔵㡦换愹㥥户户晤㌶昹攲搰㡢㥦敦晥搵㈷㍦㌲昶ち㠳搵ぢ㉥㙢挱愵ㅤ㕣㙥昷攷戲㤳戱㍦㝡㕣㜶㙥㝣昶捦攳㝦㝤愲晦㑣㝢捦㔰慡攳搲㥢㉤敢㘹捡㈸㥤㔶㝣㤴㍢㌷挹戴㘵㥣搲戵㕢〷㑥㔲搶㕤攳㑡㜲㍢慦挰昲㐶㡣〲㥦ぢ㔳㡢㉣戲㐵㑦㤸㠶挳攷㥣愴敡愸ㄱ㍤愵㕡摣㜰ㄴㅡ搴㈹㘶戹㉤捣㙣ㄵ戸捡散㈶慦㐷ㅣ摡㐴戳㡡㑢戳㐰戸㥣ㄸ〵愹㘰挸㠵搱戰㕦戴㍡愰摡㤳㡥㥡㉢昱慤㜵㐶っ扤㤱摦ㅣ㜳戴㤲ㅤ㈷㤶挳㤶㔹㥥㠶㐶㙦ㅡㅦ攲愵㐰㐱攱つ〴㐴㙣挵㉦㉤搰慦摣㐹㍦㑤㠲愸㠰㐸〷晣㍥㈸㡢戴㤶捤搴㈱ㄱ㤳愶慥㙡挶㑤㍡摣㤶㉤挴昴㠸攷㤷㐹㑢㥤愵ㄸ戳挸扡㈷摥㠵㝦ㅦㅣ㘴㈹挶ㄶ晢㡡扢㡡摤摤㠵扥㉥戵㔷㤵攱愵搷ㅢ㈳攰㌴㉤晡㜱捤㈸㤸戳㈲㘸慣搲㈹㈲㠸㐰㤰㤹㥦收〲搵㔲捣愸搶〴愷㐰㘴㡤㈴搷ㄴㄳ愶㘵昱㤲敡昰㠲㐰㈰〵戵搷㈲敤㈱换搴㠱摦㌰愸摡㝣㌱㈰㜵ㄶ摤㠵〶捤戲㔱戰敦昰㈷愶ㅤ㘲扤扥㥥戶挸愴㘱㕡㥡㠲㌴户㠵愴ㅢ敢愷〹攳ㅦ㤸搳㕣昲㥤㜵㘴ち搳㘶㙥㘹敡㤰挵㍦扥㐰㙤㤰㘸㠰昲昰っ〷扤㘱㤷㉥挹㤵㡢㠲慡㘹㜳㐳㠸搷愹愷戴晣ㄴ户搲ㅣ㔹㥣ㄷ挴㔶㙦〳㠹㤳㍦收戹摤㌹〶搵㔳㥥㈸㙣愹挶ㄶ昷捦㌹㥣扣戹㐰昲㔲晥㜴收㌳昰愴戵㌵㐳摣㌵㠹戰慥〶㍤㘴收换㌶扣搶㌲㑢戵㤴㠱挲㡣㑡㙢ㄶづ㥢〵ㅥち㐹㐱慡ㄱ㐲㜸〲㤴㤷㠲攴捡㕤㜵㡥㉡㤲㈰㜸摢搵搹愶捡㜲㤰㙥㝡慦㘹㔲慤㜹㘱㥥㕦挸㔸㈸㜰搸敤戵扥ㄲ㍦㑡摡㈳㉤㤵㌸ㅣ㐹慡㡦㈸㔵㠲㉥㕡つㄶ昱㡤愷敥㡥慡㜴〶扢挵攸㡥愵户㈲搸㉥㔸挶晦㜷戰㈴慤昶㜶扦㝦㠶㘲昶〱搵㈸㤴戸戵扣扥㈰㤱㜲ㄷ挰㔶㠰扢〹㌴〵攴摦㔱㜴㕢㔲㤳挸捡㙣㡥捤换戳㕡挱㤹っ㑦㜲㙤㘲搲㈱ㅣㄵ㤰搱㈸搴扣㡦昲愴㐵扦扦愰㔰晦㐳搴愴捡㠷〱㍡〸㌴㌵㌵〵㐴晣っ㌷㈹昷㡡㝥㠰㈱戹㡢㑡〳戹扤㌱戸敥〰㔹㔹㠶挶㔰ㄸ㈰愰㈹摤〰㍤〰扤〴㥡〲散㤷戴て散攵㌱㤲㘲㥡㔰㤷改昷㐷㐲愲㍥㡣扡ㅦ愳慡㈴摡㉤晡〱㠶㐲㐱㐸㠴㤰搷㈸搱㠳㈰㉢换搰ㄸ㡡っ㈱搱㍥㌰攸〷ㄸ㈰㐰ㄲ晤戸㑡愲扢愹挲㠶㡥㝥㉤㈴㑡㘰㔴ㄲ愳慡㈴ㅡㄲ晤〰㐳搱㈱㈴㐲捤搱㈸搱〸挸捡㌲㌴㠶㠲㐵㐸㜴ㄸっ㐶〱挶㌰㈹挰㕥昵㈴挲愹搵㑡㜴〴愳㡥㘲㔴㤵㐴ㄹ搱て㠴㤰て晤㑣㙢㈱㝢愳㠲㙣㍡㘴慡㠵㈱㌵㑦昷㠳㠸㜷㍢㠸㈶㑣㝤㥡㙡ち慢つ㈳ㄳㄴ㔱㈸㔲捤㘸〵㙥㐵㠱㐸搳愵㈴㐴㤷〳㍢㉣攲戱㑤挵㐲㌰㈰换捤㔱扦戵㐶㉡扣戶㝡㜶㕦㝤改ㄹ㘹攰晦㤷㈳扢昷㤱捡㘹㍢戴搵㠰㜲っ㘰㥣㠰㝣ㄷ㠱敢㡥㘱戰扡戵㝡㝡搲㥣㍤㐰づ挰㙤户昸戶ㄳ㤶收戴㌷愲愹昸㔱昵㜵〲㍦㙣㜱㑡㕢㔶㠶愲户搸㈳㘶慣昷愵㠸㐹敢㐵〸愹ち㥥㥤挵㜱㡤捦㈲攵㙥㙡㈴搱敤㈱㔱戶ㅤ㔳搴㙡ㅢㅢ改㐹㜳搴㜴㤲㥡㍤㕤㔲攷户晡㤰㕤捡昱㐹㙥㔰挶戱㈸昱㝣搰㈰㜳㝡㥡ㄷ㝣㘴㑣㥢㘵㉢捦㐷㤲户㐲捥愲㤳㜲ㅦ㈶搲ㄵ㡢戲戰挴攸戹戱㜰挹搶㠱搹㈷搶㕣ㄸ㝥晢昴㤹㝤㘱㑡㠲㡣ㅣ㠴㕣㐴㐶〸扤搱戴搶㕡㔳㑣摤㠶㙢攰㘱扡㍡㙢搳㈵㍥愸㕡㘴搸愶㘵㉢㝡愵改ㅡ㕥搵㠵捣昵㤶㕢㐱搹㔴ㅢ戸㔵㐱㝣改慣㔸㈵戸戰㐱ㄸ㌳㌲ㄱ㕢㔳㤷扥挵扥㤱㔳㙥昰慣攴㤷㈹扡㕤愷㈰㠸挶㤱ㄹ㕣㠵戲搹㐰ㄴ㘲攱㘱昲㑢挴捡㔷㍥㈴挴㤰㠱敢扡㤸搵㌴㘵㤸戳㠶㤰㕣戶㔱愱㡡昰ㅥ㠹㘰ㅢ㠸攱攲改慢㤸㑤㐰㐶捥敤昴搳㤵㝢㤳㔸昸㥥㌰㔲愰愴敥㝤㐰㘸挱〷㠴㡣挵挵㔷㠲愸攸㤰ち㕢昵攳愶㌵㤵㌳捤㈹摣敦㔶㠸㥥㍤挹戹㠳ㅢ㝤戳敥㝥㤶㐰㥢㙣㍦ㄸ慣戹戵㝢㝡〷㜱㌳挹攳收攸㐷愸ㄵㅣ戲昲愲挷㕥愰晤攳㠲㝤敥捤挳㘷户㍤㝢改挰攳昷扤晢摣㥥㡤攷㌹晢㤶㐷㜸敦搱慢㔲散㠲搴晦昴换ㅤ愹㌷昲搲ㅦ㘴愴晤㙢㉡戹㤰摤㔷ㄶㄷ㘲㔷㐶㜳㑡扣戹攸㥡〶摡搱㈲㐵㈳㉡㠷ぢ㤱㘲㘶㤲㜶㥤㙣㉤づ㕢㕡愱愴ㄹㅣ愶㐳ㄷつ㝣晤㌸挴㈷愸昴㑤㤹昸搲㘲ㅡ慤挵㡣愵ㅡ㌶㜲㡤㤱㥦㕦㔵搳ㄳ摥㈲ㄷ〷㌵挳愶㘵㐴扣㐴㝢㘵ㄱ攱㥣㑥慥慣ㅢ挳敡戴㝤㉢戸ㄳ搹㐹攵㜱㠳㤷挴㈴㠹㐵愵攸つ㝡㐴㈰㝣㠲昸慤慢昲挰〷㘲㠳㠹愳戱づ㈴㤵㔸昷㌶慡㤲㈵ㄱ攱㈴ㄴ㔲㐸晤ㄴ搸㔰扡㕤㝢㐹っ㠹㕢挴㜷㉤敦慥ㄲ昴㑢摥ぢ㌵㍢㍣㑣挹ㄲ㘰昷〲愰㜷搲㙢愰挳㔰〰愲摡愸㑢摦㉡愱㤴ㅣ〶愰散㐳ち㕦㌲㌰㌳㙣〵挱㤹㥤㈳㔳㐵㐸愰㜶㠰戱攷愹〵慦昶昱㑡㠶ちㄲ㥥㈹㙣㕦㠱㈷戸㕥昰㌴㡤昷昵㠲慦㝢㠴㐷晦摥㥡晢捤ㅢ㑡晦㜳〷㌳㍦挹㥤㝦攵㌵㠶㔲ㄳ㥥㄰〸㥦㈲搰㕥愳昹搱搴㜸慣㈳㌳㤲ㅡ昷搵㍢㐳㠱ち摤㉢㔳〴ㄸ捡㔳愱㥥㤲搷㄰敡㐱㌵敡愳ㅥ㥤搰㡡㠱㠱愸㐱㤷㔷㑦㍦㡤㄰敡㜹㡡昶戰愸㥥㈷愹户㤴㝡〶㘸㡡㥦㝡扥戴㤴㝡扥攸ㄱづ慥昸捦㍦搶敦㡡㈴扦㝤晥昲㐳㍢敥㜹㍤捥ㄲ挴挹㔵捦っ戵敥愸㔱㑦㉡攵㘹㈷昶戳搷㘲㜴捣㡤愶挹㤲㌴㐹愸㘸㤶ㅡっ昵戲㔰搱㥣搷㄰㉡ㅡ愱㡥㡦㡡收〹慤㥣挶㐰ㄴ挵换慢〸ㄵ戳㔰搱搹ㅡㄵ㥤㔹㐶㐵愸慦晤㔴昴改愵㔴昴㈹㡦㜰㜶攵㠹慦晥㙢昵㕢挳摦㝤㌸扢昷敡㠹晥㠳っ㠵戸慢愲捦㔰㙢㈹摦敤昱户㈱ㄴ昰㐲㐱㡦㔱㠳愱㝣ㄷち㍡攳㌵搰㘹㐳㈹㉣搱ㅢ㍥㑢攰㐳㠹挱慣㥢㉡㉡ㄹ㈷晣㔹㐲慦㈰㜴搵摤户つ㤵㌳收㈸㥦〳挰摤㠲〹㈷㐶敦㜱〲㤵愷敤㈴戵㐲昴㉡㕦㈰搰ㅡ㙣㔳改㐷㑣挴㘲ち㔸户攵㉡愸㈷㠰㐲㘵捤㠴挵愳㔷挳ぢ㤶㉦㜸㍤㐹つ攲〵㉢慦攳〵㥢ㄷ愸慦㔰㐳㝣敥㘵挲㌴搰慢攱〵ㄳㄱ扣扥㐶つ攲〵㜳愸攳〵攳㄰愸㘷愸㈱㍥晡㌲愱㐵昴㙡㜸㐱㥢㠲搷昳搴㘸つ㌲攸〴㘷ㅦ㍥㠷晥㐰愹ㄴ慢㘴㘶㕢〱㉡晣つ〲㤱搴㐰㝣慥㘴捦㌱搵㍢昸㡤扦摦晢攵敦㝦敦捡晥㡢昷㥣㝡晤攴挵㥦捦戰㤳ㅥ愱晥换㜸㕢㘵㜱ㄹ㍡㝤搰慦㜸㘸昸㔸搱㔹晦㘵㘸㍦㝤改㤹挷敥㠲㜴摦㤲㐵㑡っ㐹て摣ㄸ慦㑡〱愷㄰㍢㌹㑢㔲晦て㝣㘰㤱戵昵搷㈶挲㈸攷〹㌰搸㠷昰㈹㈸㔱㘸㔲㠱㈶搹㐷㤷搲攰㈳ㅥ愱攱慦〲㌰㈰㈸㡦㍤㑣㈳戲昴㡡㐵㕥〲〶㠶攳户挸㌱㡦㔷挳㌱㘵㍣㐲挳ㅦつ㘰㔹㘲㤱㌴㡤挸搲㉢ㄶ戹㠰㐵㘰㔱㝥㡢㡣㜹扣ㅡㄶㄹ昵〸昵㝦㔳㘰㌰㌹戱挸㘱ㅡ㤱愵㔷㉣㜲㤱戰㌲㜴㔶㕦戲攲㠶㍤㠴㘳慦晢㝥搳摣扣㠵㤰改㘷㝥搰晦敦摥㡦つ㌰㘸〲搳ㄷ㄰㤰扡〶㠱ㄵ慡ㄱ捤晦〵昸愳㕤㈸</t>
  </si>
  <si>
    <t>1 oil compartment, suitable for medium kitchens, famous and durable brand</t>
  </si>
  <si>
    <t>4 burners</t>
  </si>
  <si>
    <t>Reasonable price, high capacity</t>
  </si>
  <si>
    <t>5 levels</t>
  </si>
  <si>
    <t>4 trays 440x320mm</t>
  </si>
  <si>
    <t>Multi-function, integrated with many utilities</t>
  </si>
  <si>
    <t>2-way welding machine</t>
  </si>
  <si>
    <t>High productivity, durable brand</t>
  </si>
  <si>
    <t>Prestigious brand, diverse levels</t>
  </si>
  <si>
    <t>6 tons</t>
  </si>
  <si>
    <t>Large capacity, suitable for large kitchens</t>
  </si>
  <si>
    <t>Suitable for mass packaging</t>
  </si>
  <si>
    <t>Compact enough to transport food</t>
  </si>
  <si>
    <t>Suitable for food transportation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</si>
</sst>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164" formatCode="_(&quot;₫&quot;* #,##0_);_(&quot;₫&quot;* \(#,##0\);_(&quot;₫&quot;* &quot;-&quot;_);_(@_)"/>
    <numFmt numFmtId="165" formatCode="&quot;₫&quot;#,##0"/>
    <numFmt numFmtId="166" formatCode="0.0%"/>
    <numFmt numFmtId="167" formatCode="0.0"/>
    <numFmt numFmtId="168" formatCode="_(* #,##0.0_);_(* \(#,##0.0\);_(* &quot;-&quot;??_);_(@_)"/>
    <numFmt numFmtId="169" formatCode="0.000%"/>
    <numFmt numFmtId="170" formatCode="0.000"/>
    <numFmt numFmtId="171" formatCode="#.00%"/>
    <numFmt numFmtId="172" formatCode="#0.00"/>
  </numFmts>
  <fonts count="37" x14ac:knownFonts="1">
    <font>
      <sz val="11"/>
      <color theme="1"/>
      <name val="Aptos Narrow"/>
      <family val="2"/>
      <scheme val="minor"/>
    </font>
    <font>
      <sz val="10"/>
      <color theme="1"/>
      <name val="Arial"/>
      <family val="2"/>
    </font>
    <font>
      <u/>
      <sz val="11"/>
      <color theme="10"/>
      <name val="Aptos Narrow"/>
      <family val="2"/>
      <scheme val="minor"/>
    </font>
    <font>
      <b/>
      <sz val="10"/>
      <color theme="1"/>
      <name val="Arial"/>
      <family val="2"/>
    </font>
    <font>
      <sz val="10"/>
      <color theme="1"/>
      <name val="Aptos Narrow"/>
      <family val="2"/>
      <scheme val="minor"/>
    </font>
    <font>
      <b/>
      <sz val="10"/>
      <color theme="0"/>
      <name val="Arial"/>
      <family val="2"/>
    </font>
    <font>
      <b/>
      <sz val="10"/>
      <color theme="0"/>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b/>
      <sz val="11"/>
      <color rgb="FF000000"/>
      <name val="Aptos Narrow"/>
      <family val="2"/>
    </font>
    <font>
      <sz val="11"/>
      <color rgb="FF000000"/>
      <name val="Aptos Narrow"/>
      <family val="2"/>
    </font>
    <font>
      <sz val="11"/>
      <color theme="1"/>
      <name val="Aptos Narrow"/>
      <family val="2"/>
      <scheme val="minor"/>
    </font>
    <font>
      <sz val="9"/>
      <color rgb="FF9C5700"/>
      <name val="Arial"/>
      <family val="2"/>
    </font>
    <font>
      <sz val="12"/>
      <color rgb="FF9C5700"/>
      <name val="Aptos Narrow"/>
      <family val="2"/>
      <scheme val="minor"/>
    </font>
    <font>
      <sz val="11"/>
      <color theme="0"/>
      <name val="Aptos Narrow"/>
      <family val="2"/>
      <scheme val="minor"/>
    </font>
    <font>
      <sz val="11"/>
      <color rgb="FFFF0000"/>
      <name val="Aptos Narrow"/>
      <family val="2"/>
      <scheme val="minor"/>
    </font>
    <font>
      <sz val="16"/>
      <color theme="1"/>
      <name val="Aptos Narrow"/>
      <family val="2"/>
      <scheme val="minor"/>
    </font>
    <font>
      <b/>
      <sz val="15"/>
      <name val="Times New Roman"/>
      <family val="1"/>
    </font>
    <font>
      <sz val="13"/>
      <name val="Times New Roman"/>
      <family val="1"/>
    </font>
    <font>
      <b/>
      <sz val="13"/>
      <name val="Times New Roman"/>
      <family val="1"/>
    </font>
    <font>
      <b/>
      <u/>
      <sz val="13"/>
      <name val="Times New Roman"/>
      <family val="1"/>
    </font>
    <font>
      <sz val="13"/>
      <color rgb="FF000000"/>
      <name val="Times New Roman"/>
      <family val="1"/>
    </font>
    <font>
      <sz val="15"/>
      <color rgb="FF000000"/>
      <name val="Tahoma"/>
      <family val="2"/>
    </font>
    <font>
      <b/>
      <sz val="12"/>
      <color theme="0"/>
      <name val="Times New Roman"/>
      <family val="1"/>
    </font>
    <font>
      <b/>
      <sz val="11"/>
      <color rgb="FFFF0000"/>
      <name val="Aptos Narrow (Body)"/>
    </font>
    <font>
      <b/>
      <sz val="11"/>
      <color theme="1"/>
      <name val="Aptos Narrow"/>
      <family val="2"/>
      <scheme val="minor"/>
    </font>
    <font>
      <b/>
      <sz val="11"/>
      <color rgb="FFD00000"/>
      <name val="Aptos Narrow"/>
      <family val="2"/>
      <scheme val="minor"/>
    </font>
    <font>
      <b/>
      <sz val="13"/>
      <color rgb="FFD00000"/>
      <name val="Times New Roman"/>
      <family val="1"/>
    </font>
    <font>
      <b/>
      <sz val="16"/>
      <color theme="1"/>
      <name val="Aptos Narrow"/>
      <family val="2"/>
      <scheme val="minor"/>
    </font>
    <font>
      <b/>
      <sz val="11"/>
      <color indexed="8"/>
      <name val="Aptos Narrow"/>
      <family val="2"/>
      <scheme val="minor"/>
    </font>
    <font>
      <b/>
      <sz val="11"/>
      <color indexed="18"/>
      <name val="Aptos Narrow"/>
      <family val="2"/>
      <scheme val="minor"/>
    </font>
    <font>
      <b/>
      <sz val="10"/>
      <color indexed="8"/>
      <name val="Aptos Narrow"/>
      <family val="2"/>
      <scheme val="minor"/>
    </font>
    <font>
      <sz val="10"/>
      <color theme="1"/>
      <name val="Aptos Narrow"/>
      <family val="2"/>
      <scheme val="minor"/>
    </font>
    <font>
      <b/>
      <sz val="18"/>
      <color theme="1"/>
      <name val="Aptos Narrow"/>
      <family val="2"/>
      <scheme val="minor"/>
    </font>
    <font>
      <b/>
      <sz val="9"/>
      <color theme="1"/>
      <name val="Arial"/>
      <family val="2"/>
    </font>
    <font>
      <vertAlign val="superscript"/>
      <sz val="9"/>
      <color theme="1"/>
      <name val="Arial"/>
      <family val="2"/>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rgb="FFFFEB9C"/>
      </patternFill>
    </fill>
    <fill>
      <patternFill patternType="solid">
        <fgColor theme="0" tint="-4.9989318521683403E-2"/>
        <bgColor indexed="64"/>
      </patternFill>
    </fill>
    <fill>
      <patternFill patternType="solid">
        <fgColor theme="0"/>
        <bgColor rgb="FFEAF1DD"/>
      </patternFill>
    </fill>
    <fill>
      <patternFill patternType="solid">
        <fgColor theme="2"/>
        <bgColor indexed="64"/>
      </patternFill>
    </fill>
    <fill>
      <patternFill patternType="solid">
        <fgColor indexed="22"/>
        <bgColor indexed="24"/>
      </patternFill>
    </fill>
    <fill>
      <patternFill patternType="solid">
        <fgColor rgb="FF00FF00"/>
        <bgColor indexed="64"/>
      </patternFill>
    </fill>
    <fill>
      <patternFill patternType="solid">
        <fgColor rgb="FF00FFFF"/>
        <bgColor indexed="64"/>
      </patternFill>
    </fill>
    <fill>
      <patternFill patternType="solid">
        <fgColor rgb="FFD3D3D3"/>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double">
        <color indexed="64"/>
      </top>
      <bottom style="double">
        <color indexed="64"/>
      </bottom>
      <diagonal/>
    </border>
    <border>
      <left/>
      <right/>
      <top style="double">
        <color indexed="64"/>
      </top>
      <bottom/>
      <diagonal/>
    </border>
    <border>
      <left style="medium">
        <color indexed="64"/>
      </left>
      <right style="medium">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medium">
        <color indexed="64"/>
      </right>
      <top style="double">
        <color indexed="64"/>
      </top>
      <bottom/>
      <diagonal/>
    </border>
    <border>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thin">
        <color indexed="64"/>
      </right>
      <top style="thin">
        <color indexed="64"/>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right style="medium">
        <color indexed="64"/>
      </right>
      <top style="medium">
        <color theme="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indexed="64"/>
      </left>
      <right/>
      <top/>
      <bottom style="medium">
        <color theme="1"/>
      </bottom>
      <diagonal/>
    </border>
    <border>
      <left/>
      <right style="medium">
        <color indexed="64"/>
      </right>
      <top style="medium">
        <color theme="1"/>
      </top>
      <bottom style="medium">
        <color theme="1"/>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right style="medium">
        <color indexed="64"/>
      </right>
      <top/>
      <bottom style="medium">
        <color theme="1"/>
      </bottom>
      <diagonal/>
    </border>
    <border>
      <left/>
      <right/>
      <top style="thin">
        <color indexed="64"/>
      </top>
      <bottom style="thin">
        <color indexed="64"/>
      </bottom>
      <diagonal/>
    </border>
    <border>
      <left/>
      <right style="thin">
        <color rgb="FFC0C0C0"/>
      </right>
      <top/>
      <bottom/>
      <diagonal/>
    </border>
    <border>
      <left/>
      <right/>
      <top style="thin">
        <color rgb="FFC0C0C0"/>
      </top>
      <bottom/>
      <diagonal/>
    </border>
    <border>
      <left style="thin">
        <color rgb="FFC0C0C0"/>
      </left>
      <right/>
      <top style="thin">
        <color rgb="FFC0C0C0"/>
      </top>
      <bottom/>
      <diagonal/>
    </border>
    <border>
      <left/>
      <right style="thin">
        <color rgb="FFC0C0C0"/>
      </right>
      <top style="thin">
        <color rgb="FFC0C0C0"/>
      </top>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top/>
      <bottom/>
      <diagonal/>
    </border>
    <border>
      <left style="thin">
        <color rgb="FFC0C0C0"/>
      </left>
      <right style="thin">
        <color rgb="FFC0C0C0"/>
      </right>
      <top/>
      <bottom style="thin">
        <color rgb="FFC0C0C0"/>
      </bottom>
      <diagonal/>
    </border>
    <border>
      <left/>
      <right/>
      <top/>
      <bottom style="thin">
        <color rgb="FFC0C0C0"/>
      </bottom>
      <diagonal/>
    </border>
    <border>
      <left style="thin">
        <color rgb="FFC0C0C0"/>
      </left>
      <right/>
      <top/>
      <bottom style="thin">
        <color rgb="FFC0C0C0"/>
      </bottom>
      <diagonal/>
    </border>
    <border>
      <left/>
      <right style="thin">
        <color rgb="FFC0C0C0"/>
      </right>
      <top/>
      <bottom style="thin">
        <color rgb="FFC0C0C0"/>
      </bottom>
      <diagonal/>
    </border>
  </borders>
  <cellStyleXfs count="5">
    <xf numFmtId="0" fontId="0" fillId="0" borderId="0"/>
    <xf numFmtId="0" fontId="2" fillId="0" borderId="0" applyNumberFormat="0" applyFill="0" applyBorder="0" applyAlignment="0" applyProtection="0"/>
    <xf numFmtId="42" fontId="12" fillId="0" borderId="0" applyFont="0" applyFill="0" applyBorder="0" applyAlignment="0" applyProtection="0"/>
    <xf numFmtId="9" fontId="12" fillId="0" borderId="0" applyFont="0" applyFill="0" applyBorder="0" applyAlignment="0" applyProtection="0"/>
    <xf numFmtId="0" fontId="13" fillId="5" borderId="0" applyNumberFormat="0" applyBorder="0" applyAlignment="0" applyProtection="0"/>
  </cellStyleXfs>
  <cellXfs count="388">
    <xf numFmtId="0" fontId="0" fillId="0" borderId="0" xfId="0"/>
    <xf numFmtId="0" fontId="0" fillId="3" borderId="0" xfId="0" applyFill="1"/>
    <xf numFmtId="0" fontId="1" fillId="3" borderId="9" xfId="0" applyFont="1" applyFill="1" applyBorder="1" applyAlignment="1">
      <alignment wrapText="1"/>
    </xf>
    <xf numFmtId="3" fontId="1" fillId="3" borderId="9" xfId="0" applyNumberFormat="1" applyFont="1" applyFill="1" applyBorder="1" applyAlignment="1">
      <alignment horizontal="right" wrapText="1"/>
    </xf>
    <xf numFmtId="0" fontId="0" fillId="3" borderId="10" xfId="0" applyFill="1" applyBorder="1"/>
    <xf numFmtId="0" fontId="7" fillId="3" borderId="0" xfId="0" applyFont="1" applyFill="1"/>
    <xf numFmtId="0" fontId="7" fillId="3" borderId="10" xfId="0" applyFont="1" applyFill="1" applyBorder="1"/>
    <xf numFmtId="0" fontId="0" fillId="3" borderId="0" xfId="0" applyFill="1" applyAlignment="1">
      <alignment wrapText="1"/>
    </xf>
    <xf numFmtId="0" fontId="0" fillId="3" borderId="0" xfId="0" applyFill="1" applyAlignment="1">
      <alignment vertical="top" wrapText="1"/>
    </xf>
    <xf numFmtId="0" fontId="5" fillId="4" borderId="1" xfId="0" applyFont="1" applyFill="1" applyBorder="1"/>
    <xf numFmtId="0" fontId="5" fillId="4" borderId="2" xfId="0" applyFont="1" applyFill="1" applyBorder="1" applyAlignment="1">
      <alignment horizontal="right"/>
    </xf>
    <xf numFmtId="0" fontId="5" fillId="4" borderId="2" xfId="0" applyFont="1" applyFill="1" applyBorder="1" applyAlignment="1">
      <alignment horizontal="center"/>
    </xf>
    <xf numFmtId="0" fontId="6" fillId="4" borderId="2" xfId="0" applyFont="1" applyFill="1" applyBorder="1" applyAlignment="1">
      <alignment horizontal="left"/>
    </xf>
    <xf numFmtId="0" fontId="3" fillId="3" borderId="4" xfId="0" applyFont="1" applyFill="1" applyBorder="1" applyAlignment="1">
      <alignment wrapText="1"/>
    </xf>
    <xf numFmtId="0" fontId="1" fillId="3" borderId="4" xfId="0" applyFont="1" applyFill="1" applyBorder="1" applyAlignment="1">
      <alignment wrapText="1"/>
    </xf>
    <xf numFmtId="0" fontId="1" fillId="3" borderId="11" xfId="0" applyFont="1" applyFill="1" applyBorder="1" applyAlignment="1">
      <alignment wrapText="1"/>
    </xf>
    <xf numFmtId="3" fontId="7" fillId="3" borderId="7" xfId="0" applyNumberFormat="1" applyFont="1" applyFill="1" applyBorder="1" applyAlignment="1">
      <alignment horizontal="center"/>
    </xf>
    <xf numFmtId="0" fontId="0" fillId="3" borderId="7" xfId="0" applyFill="1" applyBorder="1" applyAlignment="1">
      <alignment horizontal="left"/>
    </xf>
    <xf numFmtId="0" fontId="0" fillId="3" borderId="7" xfId="0" applyFill="1" applyBorder="1" applyAlignment="1">
      <alignment horizontal="right"/>
    </xf>
    <xf numFmtId="0" fontId="6" fillId="4" borderId="2" xfId="0" applyFont="1" applyFill="1" applyBorder="1" applyAlignment="1">
      <alignment horizontal="center"/>
    </xf>
    <xf numFmtId="0" fontId="2" fillId="3" borderId="0" xfId="1" applyFill="1" applyBorder="1" applyAlignment="1">
      <alignment horizontal="center"/>
    </xf>
    <xf numFmtId="0" fontId="2" fillId="0" borderId="0" xfId="1" applyBorder="1" applyAlignment="1">
      <alignment horizontal="center"/>
    </xf>
    <xf numFmtId="0" fontId="6" fillId="4" borderId="3" xfId="0" applyFont="1" applyFill="1" applyBorder="1" applyAlignment="1">
      <alignment horizontal="left"/>
    </xf>
    <xf numFmtId="0" fontId="4" fillId="3" borderId="5" xfId="0" applyFont="1" applyFill="1" applyBorder="1" applyAlignment="1">
      <alignment horizontal="left"/>
    </xf>
    <xf numFmtId="0" fontId="0" fillId="3" borderId="8" xfId="0" applyFill="1" applyBorder="1" applyAlignment="1">
      <alignment horizontal="left"/>
    </xf>
    <xf numFmtId="0" fontId="0" fillId="3" borderId="0" xfId="0" applyFill="1" applyAlignment="1">
      <alignment horizontal="left"/>
    </xf>
    <xf numFmtId="0" fontId="7" fillId="3" borderId="6" xfId="0" applyFont="1" applyFill="1" applyBorder="1"/>
    <xf numFmtId="0" fontId="0" fillId="3" borderId="7" xfId="0" applyFill="1" applyBorder="1"/>
    <xf numFmtId="3" fontId="7" fillId="3" borderId="7" xfId="0" applyNumberFormat="1" applyFont="1" applyFill="1" applyBorder="1"/>
    <xf numFmtId="0" fontId="0" fillId="3" borderId="0" xfId="0" applyFill="1" applyAlignment="1">
      <alignment horizontal="center"/>
    </xf>
    <xf numFmtId="0" fontId="1" fillId="3" borderId="0" xfId="0" applyFont="1" applyFill="1" applyAlignment="1">
      <alignment wrapText="1"/>
    </xf>
    <xf numFmtId="0" fontId="1" fillId="3" borderId="0" xfId="0" applyFont="1" applyFill="1" applyAlignment="1">
      <alignment horizontal="center" wrapText="1"/>
    </xf>
    <xf numFmtId="0" fontId="4" fillId="3" borderId="0" xfId="0" applyFont="1" applyFill="1" applyAlignment="1">
      <alignment horizontal="left"/>
    </xf>
    <xf numFmtId="0" fontId="4" fillId="3" borderId="0" xfId="0" applyFont="1" applyFill="1" applyAlignment="1">
      <alignment horizontal="center"/>
    </xf>
    <xf numFmtId="3" fontId="1" fillId="3" borderId="0" xfId="0" applyNumberFormat="1" applyFont="1" applyFill="1" applyAlignment="1">
      <alignment wrapText="1"/>
    </xf>
    <xf numFmtId="0" fontId="1" fillId="3" borderId="0" xfId="0" applyFont="1" applyFill="1" applyAlignment="1">
      <alignment horizontal="right" wrapText="1"/>
    </xf>
    <xf numFmtId="3" fontId="1" fillId="3" borderId="0" xfId="0" applyNumberFormat="1" applyFont="1" applyFill="1" applyAlignment="1">
      <alignment horizontal="right" wrapText="1"/>
    </xf>
    <xf numFmtId="3" fontId="1" fillId="3" borderId="0" xfId="0" applyNumberFormat="1" applyFont="1" applyFill="1" applyAlignment="1">
      <alignment horizontal="center" wrapText="1"/>
    </xf>
    <xf numFmtId="0" fontId="4" fillId="3" borderId="0" xfId="0" applyFont="1" applyFill="1" applyAlignment="1">
      <alignment horizontal="right"/>
    </xf>
    <xf numFmtId="0" fontId="1" fillId="3" borderId="13" xfId="0" applyFont="1" applyFill="1" applyBorder="1" applyAlignment="1">
      <alignment wrapText="1"/>
    </xf>
    <xf numFmtId="0" fontId="1" fillId="3" borderId="14" xfId="0" applyFont="1" applyFill="1" applyBorder="1" applyAlignment="1">
      <alignment wrapText="1"/>
    </xf>
    <xf numFmtId="3" fontId="1" fillId="3" borderId="14" xfId="0" applyNumberFormat="1" applyFont="1" applyFill="1" applyBorder="1" applyAlignment="1">
      <alignment horizontal="right" wrapText="1"/>
    </xf>
    <xf numFmtId="3" fontId="1" fillId="3" borderId="7" xfId="0" applyNumberFormat="1" applyFont="1" applyFill="1" applyBorder="1" applyAlignment="1">
      <alignment horizontal="center" wrapText="1"/>
    </xf>
    <xf numFmtId="0" fontId="4" fillId="3" borderId="7" xfId="0" applyFont="1" applyFill="1" applyBorder="1" applyAlignment="1">
      <alignment horizontal="left"/>
    </xf>
    <xf numFmtId="0" fontId="4" fillId="3" borderId="7" xfId="0" applyFont="1" applyFill="1" applyBorder="1" applyAlignment="1">
      <alignment horizontal="right"/>
    </xf>
    <xf numFmtId="164" fontId="0" fillId="3" borderId="0" xfId="2" applyNumberFormat="1" applyFont="1" applyFill="1"/>
    <xf numFmtId="1" fontId="4" fillId="3" borderId="0" xfId="0" applyNumberFormat="1" applyFont="1" applyFill="1" applyAlignment="1">
      <alignment horizontal="right"/>
    </xf>
    <xf numFmtId="0" fontId="0" fillId="3" borderId="1" xfId="0" applyFill="1" applyBorder="1"/>
    <xf numFmtId="0" fontId="0" fillId="3" borderId="2" xfId="0" applyFill="1" applyBorder="1"/>
    <xf numFmtId="0" fontId="0" fillId="3" borderId="3" xfId="0" applyFill="1" applyBorder="1"/>
    <xf numFmtId="0" fontId="7" fillId="3" borderId="5" xfId="0" applyFont="1" applyFill="1" applyBorder="1"/>
    <xf numFmtId="0" fontId="0" fillId="3" borderId="4" xfId="0" applyFill="1" applyBorder="1"/>
    <xf numFmtId="0" fontId="0" fillId="3" borderId="6" xfId="0" applyFill="1" applyBorder="1"/>
    <xf numFmtId="0" fontId="7" fillId="3" borderId="16" xfId="0" applyFont="1" applyFill="1" applyBorder="1"/>
    <xf numFmtId="0" fontId="7" fillId="3" borderId="17" xfId="0" applyFont="1" applyFill="1" applyBorder="1"/>
    <xf numFmtId="0" fontId="7" fillId="3" borderId="12" xfId="0" applyFont="1" applyFill="1" applyBorder="1"/>
    <xf numFmtId="0" fontId="0" fillId="3" borderId="18" xfId="0" applyFill="1" applyBorder="1"/>
    <xf numFmtId="0" fontId="0" fillId="3" borderId="7" xfId="0" applyFill="1" applyBorder="1" applyAlignment="1">
      <alignment wrapText="1"/>
    </xf>
    <xf numFmtId="0" fontId="14" fillId="5" borderId="0" xfId="4" applyFont="1"/>
    <xf numFmtId="0" fontId="7" fillId="3" borderId="1" xfId="0" applyFont="1" applyFill="1" applyBorder="1"/>
    <xf numFmtId="0" fontId="7" fillId="3" borderId="2" xfId="0" applyFont="1" applyFill="1" applyBorder="1"/>
    <xf numFmtId="0" fontId="7" fillId="3" borderId="3" xfId="0" applyFont="1" applyFill="1" applyBorder="1"/>
    <xf numFmtId="0" fontId="0" fillId="3" borderId="5" xfId="0" applyFill="1" applyBorder="1"/>
    <xf numFmtId="0" fontId="8" fillId="3" borderId="0" xfId="0" applyFont="1" applyFill="1" applyAlignment="1">
      <alignment wrapText="1"/>
    </xf>
    <xf numFmtId="0" fontId="11" fillId="3" borderId="0" xfId="0" applyFont="1" applyFill="1" applyAlignment="1">
      <alignment wrapText="1"/>
    </xf>
    <xf numFmtId="0" fontId="0" fillId="3" borderId="8" xfId="0" applyFill="1" applyBorder="1"/>
    <xf numFmtId="0" fontId="7" fillId="3" borderId="7" xfId="0" applyFont="1" applyFill="1" applyBorder="1"/>
    <xf numFmtId="0" fontId="7" fillId="3" borderId="8" xfId="0" applyFont="1" applyFill="1" applyBorder="1" applyAlignment="1">
      <alignment horizontal="center"/>
    </xf>
    <xf numFmtId="0" fontId="0" fillId="3" borderId="2" xfId="0" applyFill="1" applyBorder="1" applyAlignment="1">
      <alignment wrapText="1"/>
    </xf>
    <xf numFmtId="0" fontId="0" fillId="3" borderId="7" xfId="0" quotePrefix="1" applyFill="1" applyBorder="1" applyAlignment="1">
      <alignment vertical="center" wrapText="1"/>
    </xf>
    <xf numFmtId="0" fontId="0" fillId="3" borderId="7" xfId="0" applyFill="1" applyBorder="1" applyAlignment="1">
      <alignment vertical="center"/>
    </xf>
    <xf numFmtId="0" fontId="0" fillId="3" borderId="8" xfId="0" quotePrefix="1" applyFill="1" applyBorder="1" applyAlignment="1">
      <alignment horizontal="left" vertical="center" wrapText="1"/>
    </xf>
    <xf numFmtId="0" fontId="0" fillId="3" borderId="7" xfId="0" applyFill="1" applyBorder="1" applyAlignment="1">
      <alignment horizontal="center" vertical="center"/>
    </xf>
    <xf numFmtId="165" fontId="0" fillId="3" borderId="7" xfId="2" applyNumberFormat="1" applyFont="1" applyFill="1" applyBorder="1" applyAlignment="1">
      <alignment horizontal="center" vertical="center"/>
    </xf>
    <xf numFmtId="0" fontId="0" fillId="3" borderId="0" xfId="0" applyFill="1" applyAlignment="1">
      <alignment horizontal="left" vertical="center" wrapText="1"/>
    </xf>
    <xf numFmtId="0" fontId="0" fillId="3" borderId="0" xfId="0" applyFill="1" applyAlignment="1">
      <alignment vertical="center" wrapText="1"/>
    </xf>
    <xf numFmtId="165" fontId="0" fillId="3" borderId="0" xfId="0" applyNumberFormat="1" applyFill="1" applyAlignment="1">
      <alignment vertical="center" wrapText="1"/>
    </xf>
    <xf numFmtId="3" fontId="0" fillId="3" borderId="0" xfId="0" applyNumberFormat="1" applyFill="1"/>
    <xf numFmtId="0" fontId="6" fillId="4" borderId="3" xfId="0" applyFont="1" applyFill="1" applyBorder="1" applyAlignment="1">
      <alignment horizontal="center"/>
    </xf>
    <xf numFmtId="0" fontId="6" fillId="4" borderId="1" xfId="0" applyFont="1" applyFill="1" applyBorder="1" applyAlignment="1">
      <alignment horizontal="left"/>
    </xf>
    <xf numFmtId="0" fontId="6" fillId="4" borderId="2" xfId="0" applyFont="1" applyFill="1" applyBorder="1" applyAlignment="1">
      <alignment horizontal="right"/>
    </xf>
    <xf numFmtId="0" fontId="2" fillId="3" borderId="5" xfId="1" applyFill="1" applyBorder="1" applyAlignment="1">
      <alignment horizontal="center"/>
    </xf>
    <xf numFmtId="0" fontId="0" fillId="3" borderId="4" xfId="0" applyFill="1" applyBorder="1" applyAlignment="1">
      <alignment horizontal="left"/>
    </xf>
    <xf numFmtId="0" fontId="0" fillId="3" borderId="13" xfId="0" applyFill="1" applyBorder="1"/>
    <xf numFmtId="0" fontId="0" fillId="3" borderId="14" xfId="0" applyFill="1" applyBorder="1"/>
    <xf numFmtId="3" fontId="0" fillId="3" borderId="14" xfId="0" applyNumberFormat="1" applyFill="1" applyBorder="1"/>
    <xf numFmtId="0" fontId="15" fillId="3" borderId="0" xfId="0" applyFont="1" applyFill="1"/>
    <xf numFmtId="0" fontId="4" fillId="3" borderId="5" xfId="0" applyFont="1" applyFill="1" applyBorder="1" applyAlignment="1">
      <alignment horizontal="left" wrapText="1"/>
    </xf>
    <xf numFmtId="0" fontId="4" fillId="3" borderId="8" xfId="0" applyFont="1" applyFill="1" applyBorder="1" applyAlignment="1">
      <alignment horizontal="left" wrapText="1"/>
    </xf>
    <xf numFmtId="0" fontId="0" fillId="4" borderId="0" xfId="0" applyFill="1"/>
    <xf numFmtId="0" fontId="0" fillId="3" borderId="1" xfId="0" applyFill="1" applyBorder="1" applyAlignment="1">
      <alignment horizontal="left"/>
    </xf>
    <xf numFmtId="0" fontId="7" fillId="3" borderId="19" xfId="0" applyFont="1" applyFill="1" applyBorder="1" applyAlignment="1">
      <alignment horizontal="left"/>
    </xf>
    <xf numFmtId="9" fontId="0" fillId="3" borderId="0" xfId="0" applyNumberFormat="1" applyFill="1"/>
    <xf numFmtId="0" fontId="0" fillId="3" borderId="0" xfId="0" applyFill="1" applyAlignment="1">
      <alignment vertical="center"/>
    </xf>
    <xf numFmtId="0" fontId="7" fillId="3" borderId="20" xfId="0" applyFont="1" applyFill="1" applyBorder="1" applyAlignment="1">
      <alignment horizontal="left"/>
    </xf>
    <xf numFmtId="17" fontId="0" fillId="3" borderId="21" xfId="0" quotePrefix="1" applyNumberFormat="1" applyFill="1" applyBorder="1" applyAlignment="1">
      <alignment vertical="center" wrapText="1"/>
    </xf>
    <xf numFmtId="0" fontId="0" fillId="3" borderId="21" xfId="0" applyFill="1" applyBorder="1" applyAlignment="1">
      <alignment vertical="center" wrapText="1"/>
    </xf>
    <xf numFmtId="0" fontId="0" fillId="3" borderId="21" xfId="0" applyFill="1" applyBorder="1" applyAlignment="1">
      <alignment vertical="center"/>
    </xf>
    <xf numFmtId="165" fontId="0" fillId="3" borderId="21" xfId="0" applyNumberFormat="1" applyFill="1" applyBorder="1" applyAlignment="1">
      <alignment vertical="center" wrapText="1"/>
    </xf>
    <xf numFmtId="0" fontId="0" fillId="3" borderId="22" xfId="0" applyFill="1" applyBorder="1" applyAlignment="1">
      <alignment vertical="center" wrapText="1"/>
    </xf>
    <xf numFmtId="0" fontId="0" fillId="3" borderId="22" xfId="0" applyFill="1" applyBorder="1" applyAlignment="1">
      <alignment vertical="center"/>
    </xf>
    <xf numFmtId="165" fontId="0" fillId="3" borderId="22" xfId="0" applyNumberFormat="1" applyFill="1" applyBorder="1" applyAlignment="1">
      <alignment vertical="center" wrapText="1"/>
    </xf>
    <xf numFmtId="0" fontId="0" fillId="3" borderId="21" xfId="0" quotePrefix="1" applyFill="1" applyBorder="1" applyAlignment="1">
      <alignment vertical="center" wrapText="1"/>
    </xf>
    <xf numFmtId="0" fontId="0" fillId="3" borderId="22" xfId="0" quotePrefix="1" applyFill="1" applyBorder="1" applyAlignment="1">
      <alignment vertical="center" wrapText="1"/>
    </xf>
    <xf numFmtId="0" fontId="14" fillId="5" borderId="18" xfId="4" applyFont="1" applyBorder="1" applyAlignment="1">
      <alignment horizontal="left" vertical="center" wrapText="1"/>
    </xf>
    <xf numFmtId="0" fontId="0" fillId="3" borderId="21" xfId="0" quotePrefix="1"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7" fillId="3" borderId="4" xfId="0" applyFont="1" applyFill="1" applyBorder="1" applyAlignment="1">
      <alignment vertical="center"/>
    </xf>
    <xf numFmtId="9" fontId="7" fillId="3" borderId="0" xfId="0" applyNumberFormat="1" applyFont="1" applyFill="1" applyAlignment="1">
      <alignment vertical="center"/>
    </xf>
    <xf numFmtId="0" fontId="7" fillId="3" borderId="6" xfId="0" applyFont="1" applyFill="1" applyBorder="1" applyAlignment="1">
      <alignment vertical="center"/>
    </xf>
    <xf numFmtId="0" fontId="7" fillId="3" borderId="7" xfId="0" applyFont="1" applyFill="1" applyBorder="1" applyAlignment="1">
      <alignment vertical="center"/>
    </xf>
    <xf numFmtId="0" fontId="0" fillId="3" borderId="8" xfId="0" applyFill="1" applyBorder="1" applyAlignment="1">
      <alignment vertical="center"/>
    </xf>
    <xf numFmtId="10" fontId="0" fillId="3" borderId="0" xfId="0" applyNumberFormat="1" applyFill="1"/>
    <xf numFmtId="0" fontId="1" fillId="3" borderId="1" xfId="0" applyFont="1" applyFill="1" applyBorder="1" applyAlignment="1">
      <alignment wrapText="1"/>
    </xf>
    <xf numFmtId="0" fontId="1" fillId="3" borderId="2" xfId="0" applyFont="1" applyFill="1" applyBorder="1" applyAlignment="1">
      <alignment wrapText="1"/>
    </xf>
    <xf numFmtId="3" fontId="1" fillId="3" borderId="2" xfId="0" applyNumberFormat="1" applyFont="1" applyFill="1" applyBorder="1" applyAlignment="1">
      <alignment horizontal="right" wrapText="1"/>
    </xf>
    <xf numFmtId="3" fontId="1" fillId="3" borderId="2" xfId="0" applyNumberFormat="1" applyFont="1" applyFill="1" applyBorder="1" applyAlignment="1">
      <alignment horizontal="center" wrapText="1"/>
    </xf>
    <xf numFmtId="0" fontId="4" fillId="3" borderId="2" xfId="0" applyFont="1" applyFill="1" applyBorder="1" applyAlignment="1">
      <alignment horizontal="left"/>
    </xf>
    <xf numFmtId="0" fontId="4" fillId="3" borderId="2" xfId="0" applyFont="1" applyFill="1" applyBorder="1" applyAlignment="1">
      <alignment horizontal="right"/>
    </xf>
    <xf numFmtId="0" fontId="4" fillId="3" borderId="3" xfId="0" applyFont="1" applyFill="1" applyBorder="1" applyAlignment="1">
      <alignment horizontal="left"/>
    </xf>
    <xf numFmtId="10" fontId="0" fillId="3" borderId="2" xfId="0" applyNumberFormat="1" applyFill="1" applyBorder="1"/>
    <xf numFmtId="0" fontId="2" fillId="3" borderId="5" xfId="1" applyFill="1" applyBorder="1"/>
    <xf numFmtId="10" fontId="7" fillId="3" borderId="7" xfId="0" applyNumberFormat="1" applyFont="1" applyFill="1" applyBorder="1"/>
    <xf numFmtId="0" fontId="16" fillId="2" borderId="0" xfId="0" applyFont="1" applyFill="1"/>
    <xf numFmtId="10" fontId="16" fillId="2" borderId="0" xfId="0" applyNumberFormat="1" applyFont="1" applyFill="1"/>
    <xf numFmtId="166" fontId="16" fillId="2" borderId="0" xfId="3" applyNumberFormat="1" applyFont="1" applyFill="1"/>
    <xf numFmtId="0" fontId="2" fillId="3" borderId="8" xfId="1" applyFill="1" applyBorder="1" applyAlignment="1">
      <alignment horizontal="center" vertical="center" wrapText="1"/>
    </xf>
    <xf numFmtId="3" fontId="0" fillId="3" borderId="7" xfId="0" applyNumberFormat="1" applyFill="1" applyBorder="1" applyAlignment="1">
      <alignment horizontal="right" vertical="center" wrapText="1"/>
    </xf>
    <xf numFmtId="0" fontId="7" fillId="3" borderId="1" xfId="0" applyFont="1" applyFill="1" applyBorder="1" applyAlignment="1">
      <alignment horizontal="left" wrapText="1"/>
    </xf>
    <xf numFmtId="0" fontId="0" fillId="3" borderId="7" xfId="0" applyFill="1" applyBorder="1" applyAlignment="1">
      <alignment horizontal="left" vertical="center" wrapText="1"/>
    </xf>
    <xf numFmtId="0" fontId="7" fillId="3" borderId="15" xfId="0" applyFont="1" applyFill="1" applyBorder="1" applyAlignment="1">
      <alignment horizontal="left" wrapText="1"/>
    </xf>
    <xf numFmtId="0" fontId="7" fillId="3" borderId="16" xfId="0" applyFont="1" applyFill="1" applyBorder="1" applyAlignment="1">
      <alignment horizontal="left" wrapText="1"/>
    </xf>
    <xf numFmtId="165" fontId="7" fillId="3" borderId="16" xfId="0" applyNumberFormat="1" applyFont="1" applyFill="1" applyBorder="1" applyAlignment="1">
      <alignment horizontal="right" wrapText="1"/>
    </xf>
    <xf numFmtId="0" fontId="7" fillId="3" borderId="17" xfId="0" applyFont="1" applyFill="1" applyBorder="1" applyAlignment="1">
      <alignment horizontal="center" wrapText="1"/>
    </xf>
    <xf numFmtId="0" fontId="0" fillId="3" borderId="2" xfId="0" applyFill="1" applyBorder="1" applyAlignment="1">
      <alignment horizontal="left" vertical="center" wrapText="1"/>
    </xf>
    <xf numFmtId="3" fontId="0" fillId="3" borderId="2" xfId="0" applyNumberFormat="1" applyFill="1" applyBorder="1" applyAlignment="1">
      <alignment horizontal="right" vertical="center"/>
    </xf>
    <xf numFmtId="0" fontId="2" fillId="3" borderId="3" xfId="1" applyFill="1" applyBorder="1" applyAlignment="1">
      <alignment horizontal="center" vertical="center" wrapText="1"/>
    </xf>
    <xf numFmtId="0" fontId="0" fillId="3" borderId="16" xfId="0" applyFill="1" applyBorder="1" applyAlignment="1">
      <alignment horizontal="left" vertical="center" wrapText="1"/>
    </xf>
    <xf numFmtId="3" fontId="0" fillId="3" borderId="16" xfId="0" applyNumberFormat="1" applyFill="1" applyBorder="1" applyAlignment="1">
      <alignment horizontal="right" vertical="center" wrapText="1"/>
    </xf>
    <xf numFmtId="0" fontId="2" fillId="3" borderId="17" xfId="1" applyFill="1" applyBorder="1" applyAlignment="1">
      <alignment horizontal="center" vertical="center" wrapText="1"/>
    </xf>
    <xf numFmtId="0" fontId="0" fillId="3" borderId="16" xfId="0" applyFill="1" applyBorder="1" applyAlignment="1">
      <alignment horizontal="left" vertical="center"/>
    </xf>
    <xf numFmtId="0" fontId="0" fillId="3" borderId="12" xfId="0" applyFill="1" applyBorder="1" applyAlignment="1">
      <alignment horizontal="left" vertical="center"/>
    </xf>
    <xf numFmtId="0" fontId="0" fillId="3" borderId="16" xfId="0" applyFill="1" applyBorder="1"/>
    <xf numFmtId="3" fontId="0" fillId="3" borderId="16" xfId="0" applyNumberFormat="1" applyFill="1" applyBorder="1"/>
    <xf numFmtId="0" fontId="0" fillId="3" borderId="17" xfId="0" applyFill="1" applyBorder="1"/>
    <xf numFmtId="0" fontId="16" fillId="3" borderId="0" xfId="0" applyFont="1" applyFill="1"/>
    <xf numFmtId="166" fontId="16" fillId="3" borderId="0" xfId="3" applyNumberFormat="1" applyFont="1" applyFill="1" applyBorder="1"/>
    <xf numFmtId="0" fontId="2" fillId="3" borderId="0" xfId="1" applyFill="1" applyBorder="1"/>
    <xf numFmtId="10" fontId="7" fillId="3" borderId="0" xfId="0" applyNumberFormat="1" applyFont="1" applyFill="1"/>
    <xf numFmtId="10" fontId="16" fillId="3" borderId="0" xfId="0" applyNumberFormat="1" applyFont="1" applyFill="1"/>
    <xf numFmtId="0" fontId="0" fillId="6" borderId="0" xfId="0" applyFill="1"/>
    <xf numFmtId="3" fontId="0" fillId="6" borderId="0" xfId="0" applyNumberFormat="1" applyFill="1"/>
    <xf numFmtId="9" fontId="0" fillId="6" borderId="0" xfId="0" applyNumberFormat="1" applyFill="1"/>
    <xf numFmtId="10" fontId="0" fillId="6" borderId="0" xfId="0" applyNumberFormat="1" applyFill="1"/>
    <xf numFmtId="0" fontId="0" fillId="6" borderId="0" xfId="0" applyFill="1" applyAlignment="1">
      <alignment horizontal="right"/>
    </xf>
    <xf numFmtId="166" fontId="0" fillId="6" borderId="0" xfId="3" applyNumberFormat="1" applyFont="1" applyFill="1" applyBorder="1"/>
    <xf numFmtId="0" fontId="7" fillId="6" borderId="0" xfId="0" applyFont="1" applyFill="1"/>
    <xf numFmtId="0" fontId="7" fillId="3" borderId="16" xfId="0" applyFont="1" applyFill="1" applyBorder="1" applyAlignment="1">
      <alignment horizontal="center"/>
    </xf>
    <xf numFmtId="0" fontId="0" fillId="3" borderId="18" xfId="0" applyFill="1" applyBorder="1" applyAlignment="1">
      <alignment wrapText="1"/>
    </xf>
    <xf numFmtId="0" fontId="0" fillId="3" borderId="23" xfId="0" applyFill="1" applyBorder="1" applyAlignment="1">
      <alignment horizontal="left" vertical="center" wrapText="1"/>
    </xf>
    <xf numFmtId="0" fontId="0" fillId="3" borderId="24" xfId="0" applyFill="1" applyBorder="1" applyAlignment="1">
      <alignment vertical="top" wrapText="1"/>
    </xf>
    <xf numFmtId="0" fontId="0" fillId="3" borderId="20" xfId="0" applyFill="1" applyBorder="1" applyAlignment="1">
      <alignment horizontal="left" vertical="center" wrapText="1"/>
    </xf>
    <xf numFmtId="0" fontId="0" fillId="3" borderId="0" xfId="0" quotePrefix="1" applyFill="1" applyAlignment="1">
      <alignment vertical="center" wrapText="1"/>
    </xf>
    <xf numFmtId="0" fontId="0" fillId="3" borderId="5" xfId="0" applyFill="1" applyBorder="1" applyAlignment="1">
      <alignment vertical="top" wrapText="1"/>
    </xf>
    <xf numFmtId="0" fontId="0" fillId="3" borderId="25" xfId="0" applyFill="1" applyBorder="1" applyAlignment="1">
      <alignment horizontal="left" vertical="center" wrapText="1"/>
    </xf>
    <xf numFmtId="0" fontId="0" fillId="3" borderId="26" xfId="0" applyFill="1" applyBorder="1" applyAlignment="1">
      <alignment vertical="top" wrapText="1"/>
    </xf>
    <xf numFmtId="0" fontId="0" fillId="3" borderId="15" xfId="0" applyFill="1" applyBorder="1" applyAlignment="1">
      <alignment horizontal="center" vertical="center"/>
    </xf>
    <xf numFmtId="0" fontId="0" fillId="3" borderId="16" xfId="0" applyFill="1" applyBorder="1" applyAlignment="1">
      <alignment vertical="top" wrapText="1"/>
    </xf>
    <xf numFmtId="0" fontId="8" fillId="3" borderId="16" xfId="0" applyFont="1" applyFill="1" applyBorder="1" applyAlignment="1">
      <alignment vertical="top" wrapText="1"/>
    </xf>
    <xf numFmtId="0" fontId="0" fillId="3" borderId="7" xfId="0" applyFill="1" applyBorder="1" applyAlignment="1">
      <alignment horizontal="left" vertical="center"/>
    </xf>
    <xf numFmtId="0" fontId="0" fillId="3" borderId="12" xfId="0" quotePrefix="1" applyFill="1" applyBorder="1" applyAlignment="1">
      <alignment horizontal="left" vertical="center" wrapText="1"/>
    </xf>
    <xf numFmtId="0" fontId="0" fillId="3" borderId="27" xfId="0" applyFill="1" applyBorder="1"/>
    <xf numFmtId="9" fontId="0" fillId="3" borderId="27" xfId="0" applyNumberFormat="1" applyFill="1" applyBorder="1"/>
    <xf numFmtId="0" fontId="2" fillId="3" borderId="27" xfId="1" applyFill="1" applyBorder="1"/>
    <xf numFmtId="0" fontId="7" fillId="3" borderId="27" xfId="0" applyFont="1" applyFill="1" applyBorder="1"/>
    <xf numFmtId="0" fontId="0" fillId="3" borderId="27" xfId="0" applyFill="1" applyBorder="1" applyAlignment="1">
      <alignment horizontal="left" wrapText="1"/>
    </xf>
    <xf numFmtId="1" fontId="18" fillId="0" borderId="0" xfId="0" applyNumberFormat="1" applyFont="1" applyAlignment="1">
      <alignment vertical="center"/>
    </xf>
    <xf numFmtId="1" fontId="19" fillId="0" borderId="27" xfId="0" applyNumberFormat="1" applyFont="1" applyBorder="1" applyAlignment="1">
      <alignment vertical="center"/>
    </xf>
    <xf numFmtId="167" fontId="19" fillId="0" borderId="27" xfId="0" applyNumberFormat="1" applyFont="1" applyBorder="1" applyAlignment="1">
      <alignment horizontal="center" vertical="center"/>
    </xf>
    <xf numFmtId="2" fontId="19" fillId="0" borderId="27" xfId="0" applyNumberFormat="1" applyFont="1" applyBorder="1" applyAlignment="1">
      <alignment horizontal="center" vertical="center"/>
    </xf>
    <xf numFmtId="1" fontId="19" fillId="0" borderId="0" xfId="0" applyNumberFormat="1" applyFont="1" applyAlignment="1">
      <alignment vertical="center"/>
    </xf>
    <xf numFmtId="1" fontId="19" fillId="0" borderId="0" xfId="0" applyNumberFormat="1" applyFont="1" applyAlignment="1">
      <alignment horizontal="center" vertical="center"/>
    </xf>
    <xf numFmtId="1" fontId="19" fillId="0" borderId="10" xfId="0" applyNumberFormat="1" applyFont="1" applyBorder="1" applyAlignment="1">
      <alignment vertical="center"/>
    </xf>
    <xf numFmtId="1" fontId="19" fillId="0" borderId="10" xfId="0" applyNumberFormat="1" applyFont="1" applyBorder="1" applyAlignment="1">
      <alignment horizontal="center" vertical="center"/>
    </xf>
    <xf numFmtId="1" fontId="19" fillId="0" borderId="28" xfId="0" applyNumberFormat="1" applyFont="1" applyBorder="1" applyAlignment="1">
      <alignment vertical="center"/>
    </xf>
    <xf numFmtId="1" fontId="20" fillId="0" borderId="28" xfId="0" applyNumberFormat="1" applyFont="1" applyBorder="1" applyAlignment="1">
      <alignment vertical="center"/>
    </xf>
    <xf numFmtId="1" fontId="19" fillId="0" borderId="30" xfId="0" applyNumberFormat="1" applyFont="1" applyBorder="1" applyAlignment="1">
      <alignment vertical="center"/>
    </xf>
    <xf numFmtId="1" fontId="20" fillId="0" borderId="10" xfId="0" applyNumberFormat="1" applyFont="1" applyBorder="1" applyAlignment="1">
      <alignment vertical="center"/>
    </xf>
    <xf numFmtId="1" fontId="20" fillId="0" borderId="10" xfId="0" applyNumberFormat="1" applyFont="1" applyBorder="1" applyAlignment="1">
      <alignment horizontal="left" vertical="center"/>
    </xf>
    <xf numFmtId="1" fontId="20" fillId="0" borderId="29" xfId="0" applyNumberFormat="1" applyFont="1" applyBorder="1" applyAlignment="1">
      <alignment vertical="center"/>
    </xf>
    <xf numFmtId="1" fontId="24" fillId="4" borderId="10" xfId="0" applyNumberFormat="1" applyFont="1" applyFill="1" applyBorder="1" applyAlignment="1">
      <alignment horizontal="center" vertical="center"/>
    </xf>
    <xf numFmtId="2" fontId="19" fillId="0" borderId="0" xfId="0" applyNumberFormat="1" applyFont="1" applyAlignment="1">
      <alignment horizontal="center" vertical="center"/>
    </xf>
    <xf numFmtId="1" fontId="19" fillId="3" borderId="0" xfId="0" applyNumberFormat="1" applyFont="1" applyFill="1" applyAlignment="1">
      <alignment vertical="center"/>
    </xf>
    <xf numFmtId="1" fontId="18" fillId="3" borderId="0" xfId="0" applyNumberFormat="1" applyFont="1" applyFill="1" applyAlignment="1">
      <alignment vertical="center"/>
    </xf>
    <xf numFmtId="1" fontId="19" fillId="3" borderId="0" xfId="0" applyNumberFormat="1" applyFont="1" applyFill="1" applyAlignment="1">
      <alignment horizontal="center" vertical="center"/>
    </xf>
    <xf numFmtId="1" fontId="24" fillId="3" borderId="0" xfId="0" applyNumberFormat="1" applyFont="1" applyFill="1" applyAlignment="1">
      <alignment horizontal="center" vertical="center"/>
    </xf>
    <xf numFmtId="1" fontId="24" fillId="4" borderId="29" xfId="0" applyNumberFormat="1" applyFont="1" applyFill="1" applyBorder="1" applyAlignment="1">
      <alignment horizontal="center" vertical="center"/>
    </xf>
    <xf numFmtId="1" fontId="20" fillId="0" borderId="27" xfId="0" applyNumberFormat="1" applyFont="1" applyBorder="1" applyAlignment="1">
      <alignment vertical="center"/>
    </xf>
    <xf numFmtId="1" fontId="19" fillId="7" borderId="0" xfId="0" applyNumberFormat="1" applyFont="1" applyFill="1" applyAlignment="1">
      <alignment horizontal="center" vertical="center"/>
    </xf>
    <xf numFmtId="167" fontId="19" fillId="3" borderId="0" xfId="0" applyNumberFormat="1" applyFont="1" applyFill="1" applyAlignment="1">
      <alignment horizontal="center" vertical="center"/>
    </xf>
    <xf numFmtId="1" fontId="24" fillId="4" borderId="27" xfId="0" applyNumberFormat="1" applyFont="1" applyFill="1" applyBorder="1" applyAlignment="1">
      <alignment horizontal="center" vertical="center"/>
    </xf>
    <xf numFmtId="0" fontId="6" fillId="4" borderId="27" xfId="0" applyFont="1" applyFill="1" applyBorder="1" applyAlignment="1">
      <alignment horizontal="center"/>
    </xf>
    <xf numFmtId="1" fontId="24" fillId="4" borderId="27" xfId="0" applyNumberFormat="1" applyFont="1" applyFill="1" applyBorder="1" applyAlignment="1">
      <alignment horizontal="center"/>
    </xf>
    <xf numFmtId="168" fontId="18" fillId="3" borderId="0" xfId="0" applyNumberFormat="1" applyFont="1" applyFill="1" applyAlignment="1">
      <alignment vertical="center"/>
    </xf>
    <xf numFmtId="168" fontId="19" fillId="3" borderId="0" xfId="0" applyNumberFormat="1" applyFont="1" applyFill="1" applyAlignment="1">
      <alignment vertical="center"/>
    </xf>
    <xf numFmtId="168" fontId="19" fillId="3" borderId="0" xfId="0" applyNumberFormat="1" applyFont="1" applyFill="1" applyAlignment="1">
      <alignment horizontal="center" vertical="center"/>
    </xf>
    <xf numFmtId="1" fontId="24" fillId="4" borderId="31" xfId="0" applyNumberFormat="1" applyFont="1" applyFill="1" applyBorder="1" applyAlignment="1">
      <alignment horizontal="center" vertical="center"/>
    </xf>
    <xf numFmtId="1" fontId="0" fillId="3" borderId="0" xfId="0" applyNumberFormat="1" applyFill="1"/>
    <xf numFmtId="1" fontId="20" fillId="7" borderId="27" xfId="0" applyNumberFormat="1" applyFont="1" applyFill="1" applyBorder="1" applyAlignment="1">
      <alignment vertical="center"/>
    </xf>
    <xf numFmtId="2" fontId="19" fillId="3" borderId="0" xfId="0" applyNumberFormat="1" applyFont="1" applyFill="1" applyAlignment="1">
      <alignment horizontal="center" vertical="center"/>
    </xf>
    <xf numFmtId="1" fontId="24" fillId="4" borderId="32" xfId="0" applyNumberFormat="1" applyFont="1" applyFill="1" applyBorder="1" applyAlignment="1">
      <alignment horizontal="center" vertical="center"/>
    </xf>
    <xf numFmtId="1" fontId="21" fillId="3" borderId="0" xfId="0" applyNumberFormat="1" applyFont="1" applyFill="1" applyAlignment="1">
      <alignment vertical="center"/>
    </xf>
    <xf numFmtId="0" fontId="6" fillId="4" borderId="27" xfId="0" applyFont="1" applyFill="1" applyBorder="1" applyAlignment="1">
      <alignment horizontal="center" vertical="center"/>
    </xf>
    <xf numFmtId="10" fontId="0" fillId="3" borderId="27" xfId="3" applyNumberFormat="1" applyFont="1" applyFill="1" applyBorder="1"/>
    <xf numFmtId="1" fontId="20" fillId="3" borderId="0" xfId="0" applyNumberFormat="1" applyFont="1" applyFill="1" applyAlignment="1">
      <alignment vertical="center"/>
    </xf>
    <xf numFmtId="0" fontId="22" fillId="3" borderId="0" xfId="0" applyFont="1" applyFill="1" applyAlignment="1">
      <alignment vertical="center"/>
    </xf>
    <xf numFmtId="3" fontId="0" fillId="3" borderId="39" xfId="0" applyNumberFormat="1" applyFill="1" applyBorder="1" applyAlignment="1">
      <alignment horizontal="right"/>
    </xf>
    <xf numFmtId="167" fontId="0" fillId="3" borderId="0" xfId="0" applyNumberFormat="1" applyFill="1"/>
    <xf numFmtId="10" fontId="0" fillId="3" borderId="0" xfId="3" applyNumberFormat="1" applyFont="1" applyFill="1" applyBorder="1"/>
    <xf numFmtId="3" fontId="0" fillId="3" borderId="39" xfId="0" applyNumberFormat="1" applyFill="1" applyBorder="1"/>
    <xf numFmtId="3" fontId="0" fillId="3" borderId="41" xfId="0" applyNumberFormat="1" applyFill="1" applyBorder="1"/>
    <xf numFmtId="0" fontId="0" fillId="3" borderId="42" xfId="0" applyFill="1" applyBorder="1"/>
    <xf numFmtId="167" fontId="0" fillId="3" borderId="42" xfId="0" applyNumberFormat="1" applyFill="1" applyBorder="1"/>
    <xf numFmtId="10" fontId="0" fillId="3" borderId="42" xfId="3" applyNumberFormat="1" applyFont="1" applyFill="1" applyBorder="1"/>
    <xf numFmtId="10" fontId="0" fillId="3" borderId="39" xfId="3" applyNumberFormat="1" applyFont="1" applyFill="1" applyBorder="1"/>
    <xf numFmtId="166" fontId="0" fillId="3" borderId="0" xfId="3" applyNumberFormat="1" applyFont="1" applyFill="1" applyBorder="1"/>
    <xf numFmtId="10" fontId="0" fillId="3" borderId="41" xfId="3" applyNumberFormat="1" applyFont="1" applyFill="1" applyBorder="1"/>
    <xf numFmtId="166" fontId="0" fillId="3" borderId="42" xfId="3" applyNumberFormat="1" applyFont="1" applyFill="1" applyBorder="1"/>
    <xf numFmtId="0" fontId="7" fillId="3" borderId="36" xfId="0" applyFont="1" applyFill="1" applyBorder="1" applyAlignment="1">
      <alignment horizontal="right"/>
    </xf>
    <xf numFmtId="0" fontId="7" fillId="3" borderId="37" xfId="0" applyFont="1" applyFill="1" applyBorder="1" applyAlignment="1">
      <alignment horizontal="right"/>
    </xf>
    <xf numFmtId="0" fontId="7" fillId="3" borderId="38" xfId="0" applyFont="1" applyFill="1" applyBorder="1" applyAlignment="1">
      <alignment horizontal="right"/>
    </xf>
    <xf numFmtId="0" fontId="8" fillId="0" borderId="0" xfId="0" applyFont="1"/>
    <xf numFmtId="9" fontId="0" fillId="3" borderId="0" xfId="3" applyFont="1" applyFill="1" applyBorder="1"/>
    <xf numFmtId="9" fontId="0" fillId="3" borderId="40" xfId="3" applyFont="1" applyFill="1" applyBorder="1"/>
    <xf numFmtId="10" fontId="0" fillId="3" borderId="0" xfId="3" applyNumberFormat="1" applyFont="1" applyFill="1"/>
    <xf numFmtId="1" fontId="24" fillId="4" borderId="47" xfId="0" applyNumberFormat="1" applyFont="1" applyFill="1" applyBorder="1" applyAlignment="1">
      <alignment horizontal="center"/>
    </xf>
    <xf numFmtId="2" fontId="0" fillId="3" borderId="27" xfId="0" applyNumberFormat="1" applyFill="1" applyBorder="1" applyAlignment="1">
      <alignment horizontal="center"/>
    </xf>
    <xf numFmtId="0" fontId="0" fillId="3" borderId="35" xfId="0" applyFill="1" applyBorder="1" applyAlignment="1">
      <alignment horizontal="right"/>
    </xf>
    <xf numFmtId="1" fontId="0" fillId="3" borderId="35" xfId="0" applyNumberFormat="1" applyFill="1" applyBorder="1" applyAlignment="1">
      <alignment horizontal="right"/>
    </xf>
    <xf numFmtId="2" fontId="0" fillId="3" borderId="0" xfId="0" applyNumberFormat="1" applyFill="1"/>
    <xf numFmtId="1" fontId="0" fillId="3" borderId="42" xfId="0" applyNumberFormat="1" applyFill="1" applyBorder="1"/>
    <xf numFmtId="2" fontId="0" fillId="3" borderId="42" xfId="0" applyNumberFormat="1" applyFill="1" applyBorder="1"/>
    <xf numFmtId="166" fontId="0" fillId="3" borderId="40" xfId="3" applyNumberFormat="1" applyFont="1" applyFill="1" applyBorder="1"/>
    <xf numFmtId="0" fontId="0" fillId="3" borderId="39" xfId="0" applyFill="1" applyBorder="1"/>
    <xf numFmtId="0" fontId="0" fillId="3" borderId="41" xfId="0" applyFill="1" applyBorder="1"/>
    <xf numFmtId="9" fontId="0" fillId="3" borderId="42" xfId="3" applyFont="1" applyFill="1" applyBorder="1"/>
    <xf numFmtId="166" fontId="0" fillId="3" borderId="43" xfId="3" applyNumberFormat="1" applyFont="1" applyFill="1" applyBorder="1"/>
    <xf numFmtId="1" fontId="24" fillId="4" borderId="48" xfId="0" applyNumberFormat="1" applyFont="1" applyFill="1" applyBorder="1" applyAlignment="1">
      <alignment horizontal="center"/>
    </xf>
    <xf numFmtId="1" fontId="24" fillId="4" borderId="49" xfId="0" applyNumberFormat="1" applyFont="1" applyFill="1" applyBorder="1" applyAlignment="1">
      <alignment horizontal="center"/>
    </xf>
    <xf numFmtId="1" fontId="24" fillId="4" borderId="50" xfId="0" applyNumberFormat="1" applyFont="1" applyFill="1" applyBorder="1" applyAlignment="1">
      <alignment horizontal="center"/>
    </xf>
    <xf numFmtId="0" fontId="0" fillId="3" borderId="40" xfId="0" applyFill="1" applyBorder="1"/>
    <xf numFmtId="0" fontId="0" fillId="3" borderId="43" xfId="0" applyFill="1" applyBorder="1"/>
    <xf numFmtId="9" fontId="0" fillId="3" borderId="43" xfId="3" applyFont="1" applyFill="1" applyBorder="1"/>
    <xf numFmtId="0" fontId="7" fillId="3" borderId="39" xfId="0" applyFont="1" applyFill="1" applyBorder="1" applyAlignment="1">
      <alignment horizontal="right"/>
    </xf>
    <xf numFmtId="3" fontId="7" fillId="3" borderId="39" xfId="0" applyNumberFormat="1" applyFont="1" applyFill="1" applyBorder="1" applyAlignment="1">
      <alignment horizontal="right"/>
    </xf>
    <xf numFmtId="169" fontId="0" fillId="3" borderId="0" xfId="3" applyNumberFormat="1" applyFont="1" applyFill="1" applyBorder="1"/>
    <xf numFmtId="0" fontId="7" fillId="3" borderId="1" xfId="0" applyFont="1" applyFill="1" applyBorder="1" applyAlignment="1">
      <alignment horizontal="right"/>
    </xf>
    <xf numFmtId="0" fontId="7" fillId="3" borderId="2" xfId="0" applyFont="1" applyFill="1" applyBorder="1" applyAlignment="1">
      <alignment horizontal="right"/>
    </xf>
    <xf numFmtId="0" fontId="7" fillId="3" borderId="3" xfId="0" applyFont="1" applyFill="1" applyBorder="1" applyAlignment="1">
      <alignment horizontal="right"/>
    </xf>
    <xf numFmtId="10" fontId="0" fillId="3" borderId="4" xfId="3" applyNumberFormat="1" applyFont="1" applyFill="1" applyBorder="1"/>
    <xf numFmtId="166" fontId="0" fillId="3" borderId="5" xfId="3" applyNumberFormat="1" applyFont="1" applyFill="1" applyBorder="1"/>
    <xf numFmtId="10" fontId="0" fillId="3" borderId="6" xfId="3" applyNumberFormat="1" applyFont="1" applyFill="1" applyBorder="1"/>
    <xf numFmtId="166" fontId="0" fillId="3" borderId="7" xfId="3" applyNumberFormat="1" applyFont="1" applyFill="1" applyBorder="1"/>
    <xf numFmtId="166" fontId="0" fillId="3" borderId="8" xfId="3" applyNumberFormat="1" applyFont="1" applyFill="1" applyBorder="1"/>
    <xf numFmtId="0" fontId="7" fillId="3" borderId="51" xfId="0" applyFont="1" applyFill="1" applyBorder="1" applyAlignment="1">
      <alignment horizontal="right"/>
    </xf>
    <xf numFmtId="9" fontId="0" fillId="3" borderId="5" xfId="3" applyFont="1" applyFill="1" applyBorder="1"/>
    <xf numFmtId="0" fontId="26" fillId="8" borderId="52" xfId="0" applyFont="1" applyFill="1" applyBorder="1" applyAlignment="1">
      <alignment vertical="center"/>
    </xf>
    <xf numFmtId="0" fontId="26" fillId="8" borderId="53" xfId="0" applyFont="1" applyFill="1" applyBorder="1"/>
    <xf numFmtId="0" fontId="26" fillId="8" borderId="54" xfId="0" applyFont="1" applyFill="1" applyBorder="1"/>
    <xf numFmtId="9" fontId="0" fillId="8" borderId="57" xfId="0" applyNumberFormat="1" applyFill="1" applyBorder="1"/>
    <xf numFmtId="9" fontId="0" fillId="8" borderId="58" xfId="0" applyNumberFormat="1" applyFill="1" applyBorder="1"/>
    <xf numFmtId="0" fontId="27" fillId="8" borderId="56" xfId="0" applyFont="1" applyFill="1" applyBorder="1" applyAlignment="1">
      <alignment vertical="center"/>
    </xf>
    <xf numFmtId="1" fontId="20" fillId="0" borderId="27" xfId="0" applyNumberFormat="1" applyFont="1" applyBorder="1" applyAlignment="1">
      <alignment vertical="center" wrapText="1"/>
    </xf>
    <xf numFmtId="10" fontId="0" fillId="3" borderId="59" xfId="3" applyNumberFormat="1" applyFont="1" applyFill="1" applyBorder="1"/>
    <xf numFmtId="0" fontId="7" fillId="3" borderId="0" xfId="0" applyFont="1" applyFill="1" applyAlignment="1">
      <alignment horizontal="right"/>
    </xf>
    <xf numFmtId="0" fontId="7" fillId="3" borderId="40" xfId="0" applyFont="1" applyFill="1" applyBorder="1" applyAlignment="1">
      <alignment horizontal="right"/>
    </xf>
    <xf numFmtId="9" fontId="0" fillId="3" borderId="63" xfId="3" applyFont="1" applyFill="1" applyBorder="1"/>
    <xf numFmtId="169" fontId="0" fillId="3" borderId="42" xfId="3" applyNumberFormat="1" applyFont="1" applyFill="1" applyBorder="1"/>
    <xf numFmtId="170" fontId="0" fillId="3" borderId="0" xfId="0" applyNumberFormat="1" applyFill="1"/>
    <xf numFmtId="170" fontId="0" fillId="3" borderId="42" xfId="0" applyNumberFormat="1" applyFill="1" applyBorder="1"/>
    <xf numFmtId="170" fontId="0" fillId="3" borderId="0" xfId="3" applyNumberFormat="1" applyFont="1" applyFill="1" applyBorder="1"/>
    <xf numFmtId="170" fontId="0" fillId="3" borderId="5" xfId="3" applyNumberFormat="1" applyFont="1" applyFill="1" applyBorder="1"/>
    <xf numFmtId="170" fontId="0" fillId="3" borderId="42" xfId="3" applyNumberFormat="1" applyFont="1" applyFill="1" applyBorder="1"/>
    <xf numFmtId="170" fontId="0" fillId="3" borderId="63" xfId="3" applyNumberFormat="1" applyFont="1" applyFill="1" applyBorder="1"/>
    <xf numFmtId="170" fontId="0" fillId="3" borderId="40" xfId="3" applyNumberFormat="1" applyFont="1" applyFill="1" applyBorder="1"/>
    <xf numFmtId="170" fontId="0" fillId="3" borderId="43" xfId="3" applyNumberFormat="1" applyFont="1" applyFill="1" applyBorder="1"/>
    <xf numFmtId="9" fontId="0" fillId="3" borderId="39" xfId="0" applyNumberFormat="1" applyFill="1" applyBorder="1"/>
    <xf numFmtId="9" fontId="0" fillId="3" borderId="41" xfId="0" applyNumberFormat="1" applyFill="1" applyBorder="1"/>
    <xf numFmtId="9" fontId="29" fillId="3" borderId="0" xfId="0" applyNumberFormat="1" applyFont="1" applyFill="1"/>
    <xf numFmtId="9" fontId="0" fillId="3" borderId="0" xfId="0" applyNumberFormat="1" applyFill="1" applyAlignment="1">
      <alignment horizontal="right"/>
    </xf>
    <xf numFmtId="1" fontId="26" fillId="3" borderId="0" xfId="0" applyNumberFormat="1" applyFont="1" applyFill="1"/>
    <xf numFmtId="3" fontId="26" fillId="3" borderId="0" xfId="0" applyNumberFormat="1" applyFont="1" applyFill="1"/>
    <xf numFmtId="0" fontId="0" fillId="3" borderId="0" xfId="0" applyFill="1" applyAlignment="1">
      <alignment horizontal="right"/>
    </xf>
    <xf numFmtId="0" fontId="0" fillId="0" borderId="64" xfId="0" applyBorder="1"/>
    <xf numFmtId="0" fontId="30" fillId="9" borderId="0" xfId="0" applyFont="1" applyFill="1" applyAlignment="1">
      <alignment horizontal="left"/>
    </xf>
    <xf numFmtId="0" fontId="31" fillId="9" borderId="64" xfId="0" applyFont="1" applyFill="1" applyBorder="1" applyAlignment="1">
      <alignment horizontal="left"/>
    </xf>
    <xf numFmtId="0" fontId="30" fillId="9" borderId="7" xfId="0" applyFont="1" applyFill="1" applyBorder="1" applyAlignment="1">
      <alignment horizontal="left"/>
    </xf>
    <xf numFmtId="0" fontId="32" fillId="9" borderId="0" xfId="0" applyFont="1" applyFill="1" applyAlignment="1">
      <alignment horizontal="left"/>
    </xf>
    <xf numFmtId="0" fontId="33" fillId="0" borderId="0" xfId="0" applyFont="1"/>
    <xf numFmtId="0" fontId="33" fillId="0" borderId="0" xfId="0" applyFont="1" applyAlignment="1">
      <alignment vertical="top" wrapText="1"/>
    </xf>
    <xf numFmtId="2" fontId="0" fillId="3" borderId="7" xfId="0" applyNumberFormat="1" applyFill="1" applyBorder="1"/>
    <xf numFmtId="166" fontId="0" fillId="3" borderId="0" xfId="0" applyNumberFormat="1" applyFill="1"/>
    <xf numFmtId="0" fontId="34" fillId="3" borderId="0" xfId="0" applyFont="1" applyFill="1"/>
    <xf numFmtId="166" fontId="0" fillId="6" borderId="0" xfId="3" applyNumberFormat="1" applyFont="1" applyFill="1"/>
    <xf numFmtId="0" fontId="0" fillId="3" borderId="0" xfId="0" applyFill="1" applyAlignment="1">
      <alignment horizontal="center" vertical="center" wrapText="1"/>
    </xf>
    <xf numFmtId="0" fontId="7" fillId="0" borderId="0" xfId="0" applyFont="1"/>
    <xf numFmtId="0" fontId="0" fillId="0" borderId="0" xfId="0" quotePrefix="1"/>
    <xf numFmtId="3" fontId="0" fillId="10" borderId="0" xfId="0" applyNumberFormat="1" applyFill="1"/>
    <xf numFmtId="9" fontId="0" fillId="3" borderId="0" xfId="3" applyFont="1" applyFill="1"/>
    <xf numFmtId="9" fontId="0" fillId="10" borderId="57" xfId="0" applyNumberFormat="1" applyFill="1" applyBorder="1"/>
    <xf numFmtId="1" fontId="0" fillId="11" borderId="27" xfId="0" applyNumberFormat="1" applyFill="1" applyBorder="1"/>
    <xf numFmtId="2" fontId="0" fillId="11" borderId="27" xfId="0" applyNumberFormat="1" applyFill="1" applyBorder="1"/>
    <xf numFmtId="2" fontId="0" fillId="11" borderId="0" xfId="0" applyNumberFormat="1" applyFill="1"/>
    <xf numFmtId="2" fontId="0" fillId="11" borderId="42" xfId="0" applyNumberFormat="1" applyFill="1" applyBorder="1"/>
    <xf numFmtId="0" fontId="0" fillId="0" borderId="65" xfId="0" applyBorder="1"/>
    <xf numFmtId="0" fontId="35" fillId="0" borderId="0" xfId="0" applyFont="1"/>
    <xf numFmtId="0" fontId="0" fillId="12" borderId="69" xfId="0" applyFill="1" applyBorder="1" applyAlignment="1">
      <alignment horizontal="center"/>
    </xf>
    <xf numFmtId="0" fontId="0" fillId="12" borderId="70" xfId="0" applyFill="1" applyBorder="1" applyAlignment="1">
      <alignment horizontal="center"/>
    </xf>
    <xf numFmtId="0" fontId="0" fillId="12" borderId="70" xfId="0" applyFill="1" applyBorder="1" applyAlignment="1">
      <alignment horizontal="center" wrapText="1"/>
    </xf>
    <xf numFmtId="0" fontId="0" fillId="12" borderId="71" xfId="0" applyFill="1" applyBorder="1" applyAlignment="1">
      <alignment horizontal="center"/>
    </xf>
    <xf numFmtId="0" fontId="0" fillId="12" borderId="72" xfId="0" applyFill="1" applyBorder="1" applyAlignment="1">
      <alignment horizontal="center"/>
    </xf>
    <xf numFmtId="0" fontId="0" fillId="0" borderId="73" xfId="0" applyBorder="1"/>
    <xf numFmtId="1" fontId="0" fillId="0" borderId="0" xfId="0" applyNumberFormat="1"/>
    <xf numFmtId="171" fontId="0" fillId="0" borderId="0" xfId="0" applyNumberFormat="1"/>
    <xf numFmtId="3" fontId="0" fillId="0" borderId="74" xfId="0" applyNumberFormat="1" applyBorder="1"/>
    <xf numFmtId="3" fontId="0" fillId="0" borderId="0" xfId="0" applyNumberFormat="1"/>
    <xf numFmtId="3" fontId="0" fillId="0" borderId="65" xfId="0" applyNumberFormat="1" applyBorder="1"/>
    <xf numFmtId="9" fontId="0" fillId="0" borderId="74" xfId="0" applyNumberFormat="1" applyBorder="1"/>
    <xf numFmtId="9" fontId="0" fillId="0" borderId="0" xfId="0" applyNumberFormat="1"/>
    <xf numFmtId="9" fontId="0" fillId="0" borderId="65" xfId="0" applyNumberFormat="1" applyBorder="1"/>
    <xf numFmtId="0" fontId="0" fillId="0" borderId="75" xfId="0" applyBorder="1"/>
    <xf numFmtId="1" fontId="0" fillId="0" borderId="76" xfId="0" applyNumberFormat="1" applyBorder="1"/>
    <xf numFmtId="171" fontId="0" fillId="0" borderId="76" xfId="0" applyNumberFormat="1" applyBorder="1"/>
    <xf numFmtId="3" fontId="0" fillId="0" borderId="77" xfId="0" applyNumberFormat="1" applyBorder="1"/>
    <xf numFmtId="3" fontId="0" fillId="0" borderId="76" xfId="0" applyNumberFormat="1" applyBorder="1"/>
    <xf numFmtId="3" fontId="0" fillId="0" borderId="78" xfId="0" applyNumberFormat="1" applyBorder="1"/>
    <xf numFmtId="0" fontId="36" fillId="0" borderId="0" xfId="0" applyFont="1"/>
    <xf numFmtId="10" fontId="0" fillId="12" borderId="70" xfId="0" applyNumberFormat="1" applyFill="1" applyBorder="1" applyAlignment="1">
      <alignment horizontal="center"/>
    </xf>
    <xf numFmtId="10" fontId="0" fillId="12" borderId="72" xfId="0" applyNumberFormat="1" applyFill="1" applyBorder="1" applyAlignment="1">
      <alignment horizontal="center"/>
    </xf>
    <xf numFmtId="172" fontId="0" fillId="0" borderId="65" xfId="0" applyNumberFormat="1" applyBorder="1"/>
    <xf numFmtId="1" fontId="0" fillId="0" borderId="65" xfId="0" applyNumberFormat="1" applyBorder="1"/>
    <xf numFmtId="172" fontId="0" fillId="0" borderId="78" xfId="0" applyNumberFormat="1" applyBorder="1"/>
    <xf numFmtId="1" fontId="0" fillId="0" borderId="78" xfId="0" applyNumberFormat="1" applyBorder="1"/>
    <xf numFmtId="0" fontId="36" fillId="0" borderId="65" xfId="0" applyFont="1" applyBorder="1"/>
    <xf numFmtId="38" fontId="19" fillId="0" borderId="10" xfId="0" applyNumberFormat="1" applyFont="1" applyBorder="1" applyAlignment="1">
      <alignment horizontal="right" vertical="center"/>
    </xf>
    <xf numFmtId="38" fontId="19" fillId="0" borderId="28" xfId="0" applyNumberFormat="1" applyFont="1" applyBorder="1" applyAlignment="1">
      <alignment horizontal="right" vertical="center"/>
    </xf>
    <xf numFmtId="38" fontId="20" fillId="3" borderId="10" xfId="0" applyNumberFormat="1" applyFont="1" applyFill="1" applyBorder="1" applyAlignment="1">
      <alignment horizontal="right" vertical="center"/>
    </xf>
    <xf numFmtId="38" fontId="19" fillId="0" borderId="27" xfId="0" applyNumberFormat="1" applyFont="1" applyBorder="1" applyAlignment="1">
      <alignment horizontal="right" vertical="center"/>
    </xf>
    <xf numFmtId="38" fontId="20" fillId="3" borderId="27" xfId="0" applyNumberFormat="1" applyFont="1" applyFill="1" applyBorder="1" applyAlignment="1">
      <alignment horizontal="right" vertical="center"/>
    </xf>
    <xf numFmtId="1" fontId="19" fillId="0" borderId="10" xfId="0" applyNumberFormat="1" applyFont="1" applyBorder="1" applyAlignment="1">
      <alignment horizontal="right" vertical="center"/>
    </xf>
    <xf numFmtId="38" fontId="20" fillId="0" borderId="10" xfId="0" applyNumberFormat="1" applyFont="1" applyBorder="1" applyAlignment="1">
      <alignment horizontal="right" vertical="center"/>
    </xf>
    <xf numFmtId="38" fontId="7" fillId="3" borderId="27" xfId="0" applyNumberFormat="1" applyFont="1" applyFill="1" applyBorder="1" applyAlignment="1">
      <alignment horizontal="right" vertical="center"/>
    </xf>
    <xf numFmtId="38" fontId="0" fillId="3" borderId="27" xfId="0" applyNumberFormat="1" applyFill="1" applyBorder="1" applyAlignment="1">
      <alignment horizontal="right"/>
    </xf>
    <xf numFmtId="38" fontId="20" fillId="0" borderId="27" xfId="0" applyNumberFormat="1" applyFont="1" applyBorder="1" applyAlignment="1">
      <alignment horizontal="right" vertical="center"/>
    </xf>
    <xf numFmtId="1" fontId="19" fillId="0" borderId="0" xfId="0" applyNumberFormat="1" applyFont="1" applyAlignment="1">
      <alignment horizontal="right" vertical="center"/>
    </xf>
    <xf numFmtId="38" fontId="19" fillId="0" borderId="0" xfId="0" applyNumberFormat="1" applyFont="1" applyAlignment="1">
      <alignment horizontal="right" vertical="center"/>
    </xf>
    <xf numFmtId="38" fontId="20" fillId="0" borderId="29" xfId="0" applyNumberFormat="1" applyFont="1" applyBorder="1" applyAlignment="1">
      <alignment horizontal="right" vertical="center"/>
    </xf>
    <xf numFmtId="38" fontId="0" fillId="3" borderId="0" xfId="0" applyNumberFormat="1" applyFill="1"/>
    <xf numFmtId="38" fontId="0" fillId="3" borderId="40" xfId="0" applyNumberFormat="1" applyFill="1" applyBorder="1"/>
    <xf numFmtId="1" fontId="20" fillId="3" borderId="0" xfId="0" applyNumberFormat="1" applyFont="1" applyFill="1" applyAlignment="1">
      <alignment horizontal="center" vertical="center"/>
    </xf>
    <xf numFmtId="1" fontId="19" fillId="3" borderId="0" xfId="0" applyNumberFormat="1" applyFont="1" applyFill="1" applyAlignment="1">
      <alignment horizontal="left" vertical="center"/>
    </xf>
    <xf numFmtId="0" fontId="26" fillId="8" borderId="53" xfId="0" applyFont="1" applyFill="1" applyBorder="1" applyAlignment="1">
      <alignment horizontal="center" vertical="center"/>
    </xf>
    <xf numFmtId="0" fontId="26" fillId="8" borderId="57" xfId="0" applyFont="1" applyFill="1" applyBorder="1" applyAlignment="1">
      <alignment horizontal="center" vertical="center"/>
    </xf>
    <xf numFmtId="0" fontId="26" fillId="3" borderId="55" xfId="0" applyFont="1" applyFill="1" applyBorder="1" applyAlignment="1">
      <alignment horizontal="left" vertical="top" wrapText="1"/>
    </xf>
    <xf numFmtId="1" fontId="19" fillId="0" borderId="33" xfId="0" applyNumberFormat="1" applyFont="1" applyBorder="1" applyAlignment="1">
      <alignment horizontal="left" vertical="center"/>
    </xf>
    <xf numFmtId="1" fontId="19" fillId="0" borderId="34" xfId="0" applyNumberFormat="1" applyFont="1" applyBorder="1" applyAlignment="1">
      <alignment horizontal="left" vertical="center"/>
    </xf>
    <xf numFmtId="1" fontId="24" fillId="4" borderId="35" xfId="0" applyNumberFormat="1" applyFont="1" applyFill="1" applyBorder="1" applyAlignment="1">
      <alignment horizontal="center" vertical="center"/>
    </xf>
    <xf numFmtId="0" fontId="17" fillId="3" borderId="0" xfId="0" applyFont="1" applyFill="1" applyAlignment="1">
      <alignment horizontal="center"/>
    </xf>
    <xf numFmtId="0" fontId="7" fillId="3" borderId="10" xfId="0" applyFont="1" applyFill="1" applyBorder="1" applyAlignment="1">
      <alignment horizontal="left" vertical="center"/>
    </xf>
    <xf numFmtId="165" fontId="14" fillId="5" borderId="2" xfId="4" applyNumberFormat="1" applyFont="1" applyBorder="1" applyAlignment="1">
      <alignment horizont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165" fontId="14" fillId="5" borderId="7" xfId="4" applyNumberFormat="1" applyFont="1" applyBorder="1" applyAlignment="1">
      <alignment horizontal="center" vertical="center" wrapText="1"/>
    </xf>
    <xf numFmtId="165" fontId="14" fillId="5" borderId="8" xfId="4" applyNumberFormat="1" applyFont="1" applyBorder="1" applyAlignment="1">
      <alignment horizontal="center" vertical="center" wrapText="1"/>
    </xf>
    <xf numFmtId="0" fontId="0" fillId="3" borderId="19" xfId="0" applyFill="1" applyBorder="1" applyAlignment="1">
      <alignment horizontal="left" vertical="center" wrapText="1"/>
    </xf>
    <xf numFmtId="0" fontId="0" fillId="3" borderId="18" xfId="0" applyFill="1" applyBorder="1" applyAlignment="1">
      <alignment horizontal="left" vertical="center" wrapText="1"/>
    </xf>
    <xf numFmtId="0" fontId="0" fillId="3" borderId="16" xfId="0" applyFill="1" applyBorder="1" applyAlignment="1">
      <alignment horizontal="left" vertical="top" wrapText="1"/>
    </xf>
    <xf numFmtId="0" fontId="0" fillId="3" borderId="17" xfId="0" applyFill="1" applyBorder="1" applyAlignment="1">
      <alignment horizontal="left" vertical="top" wrapText="1"/>
    </xf>
    <xf numFmtId="0" fontId="7" fillId="3" borderId="44" xfId="0" applyFont="1" applyFill="1" applyBorder="1" applyAlignment="1">
      <alignment horizontal="center"/>
    </xf>
    <xf numFmtId="0" fontId="7" fillId="3" borderId="45" xfId="0" applyFont="1" applyFill="1" applyBorder="1" applyAlignment="1">
      <alignment horizontal="center"/>
    </xf>
    <xf numFmtId="0" fontId="7" fillId="3" borderId="46" xfId="0" applyFont="1" applyFill="1" applyBorder="1" applyAlignment="1">
      <alignment horizontal="center"/>
    </xf>
    <xf numFmtId="0" fontId="7" fillId="3" borderId="60" xfId="0" applyFont="1" applyFill="1" applyBorder="1" applyAlignment="1">
      <alignment horizontal="center"/>
    </xf>
    <xf numFmtId="0" fontId="7" fillId="3" borderId="61" xfId="0" applyFont="1" applyFill="1" applyBorder="1" applyAlignment="1">
      <alignment horizontal="center"/>
    </xf>
    <xf numFmtId="0" fontId="7" fillId="3" borderId="62" xfId="0" applyFont="1" applyFill="1" applyBorder="1" applyAlignment="1">
      <alignment horizontal="center"/>
    </xf>
    <xf numFmtId="0" fontId="35" fillId="12" borderId="66" xfId="0" applyFont="1" applyFill="1" applyBorder="1" applyAlignment="1">
      <alignment horizontal="center" wrapText="1"/>
    </xf>
    <xf numFmtId="0" fontId="35" fillId="12" borderId="67" xfId="0" applyFont="1" applyFill="1" applyBorder="1" applyAlignment="1">
      <alignment horizontal="center" wrapText="1"/>
    </xf>
    <xf numFmtId="0" fontId="35" fillId="12" borderId="68" xfId="0" applyFont="1" applyFill="1" applyBorder="1" applyAlignment="1">
      <alignment horizontal="center" wrapText="1"/>
    </xf>
  </cellXfs>
  <cellStyles count="5">
    <cellStyle name="Currency [0]" xfId="2" builtinId="7"/>
    <cellStyle name="Hyperlink" xfId="1" xr:uid="{00000000-000B-0000-0000-000008000000}"/>
    <cellStyle name="Neutral" xfId="4" builtinId="28"/>
    <cellStyle name="Normal" xfId="0" builtinId="0"/>
    <cellStyle name="Percent" xfId="3" builtinId="5"/>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tx1">
                    <a:lumMod val="65000"/>
                    <a:lumOff val="35000"/>
                  </a:schemeClr>
                </a:solidFill>
                <a:latin typeface="+mn-lt"/>
                <a:ea typeface="+mn-ea"/>
                <a:cs typeface="+mn-cs"/>
              </a:defRPr>
            </a:pPr>
            <a:r>
              <a:rPr lang="en-US"/>
              <a:t>NPV (TIPV)</a:t>
            </a:r>
          </a:p>
        </c:rich>
      </c:tx>
      <c:overlay val="0"/>
      <c:spPr>
        <a:noFill/>
        <a:ln>
          <a:noFill/>
        </a:ln>
        <a:effectLst/>
      </c:spPr>
    </c:title>
    <c:autoTitleDeleted val="0"/>
    <c:plotArea>
      <c:layout/>
      <c:barChart>
        <c:barDir val="bar"/>
        <c:grouping val="clustered"/>
        <c:varyColors val="0"/>
        <c:ser>
          <c:idx val="0"/>
          <c:order val="0"/>
          <c:tx>
            <c:v>Upside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r>
                      <a:rPr lang="en-US"/>
                      <a:t>29,425,447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469-4268-B891-B1A8502B73C4}"/>
                </c:ext>
              </c:extLst>
            </c:dLbl>
            <c:dLbl>
              <c:idx val="1"/>
              <c:tx>
                <c:rich>
                  <a:bodyPr/>
                  <a:lstStyle/>
                  <a:p>
                    <a:r>
                      <a:rPr lang="en-US"/>
                      <a:t>77%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469-4268-B891-B1A8502B73C4}"/>
                </c:ext>
              </c:extLst>
            </c:dLbl>
            <c:dLbl>
              <c:idx val="2"/>
              <c:tx>
                <c:rich>
                  <a:bodyPr/>
                  <a:lstStyle/>
                  <a:p>
                    <a:r>
                      <a:rPr lang="en-US"/>
                      <a:t>15,659,587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469-4268-B891-B1A8502B73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'[1]Tornado Chart'!$B$26:$B$28</c:f>
              <c:strCache>
                <c:ptCount val="3"/>
                <c:pt idx="0">
                  <c:v>Kitchen rental price · Value</c:v>
                </c:pt>
                <c:pt idx="1">
                  <c:v>General for all types · Value</c:v>
                </c:pt>
                <c:pt idx="2">
                  <c:v>(year 0) · Value</c:v>
                </c:pt>
              </c:strCache>
            </c:strRef>
          </c:cat>
          <c:val>
            <c:numRef>
              <c:f>'[1]Tornado Chart'!$D$26:$D$28</c:f>
              <c:numCache>
                <c:formatCode>General</c:formatCode>
                <c:ptCount val="3"/>
                <c:pt idx="0">
                  <c:v>1163944569.4460154</c:v>
                </c:pt>
                <c:pt idx="1">
                  <c:v>929532111.29445982</c:v>
                </c:pt>
                <c:pt idx="2">
                  <c:v>778707243.79693747</c:v>
                </c:pt>
              </c:numCache>
            </c:numRef>
          </c:val>
          <c:extLst>
            <c:ext xmlns:c16="http://schemas.microsoft.com/office/drawing/2014/chart" uri="{C3380CC4-5D6E-409C-BE32-E72D297353CC}">
              <c16:uniqueId val="{00000003-C469-4268-B891-B1A8502B73C4}"/>
            </c:ext>
          </c:extLst>
        </c:ser>
        <c:ser>
          <c:idx val="1"/>
          <c:order val="1"/>
          <c:tx>
            <c:v>Downside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r>
                      <a:rPr lang="en-US"/>
                      <a:t>23,735,298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469-4268-B891-B1A8502B73C4}"/>
                </c:ext>
              </c:extLst>
            </c:dLbl>
            <c:dLbl>
              <c:idx val="1"/>
              <c:tx>
                <c:rich>
                  <a:bodyPr/>
                  <a:lstStyle/>
                  <a:p>
                    <a:r>
                      <a:rPr lang="en-US"/>
                      <a:t>52%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469-4268-B891-B1A8502B73C4}"/>
                </c:ext>
              </c:extLst>
            </c:dLbl>
            <c:dLbl>
              <c:idx val="2"/>
              <c:tx>
                <c:rich>
                  <a:bodyPr/>
                  <a:lstStyle/>
                  <a:p>
                    <a:r>
                      <a:rPr lang="en-US"/>
                      <a:t>10,717,011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469-4268-B891-B1A8502B73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'[1]Tornado Chart'!$C$26:$C$28</c:f>
              <c:numCache>
                <c:formatCode>General</c:formatCode>
                <c:ptCount val="3"/>
                <c:pt idx="0">
                  <c:v>79471998.257638454</c:v>
                </c:pt>
                <c:pt idx="1">
                  <c:v>313884265.82146454</c:v>
                </c:pt>
                <c:pt idx="2">
                  <c:v>464709133.31898737</c:v>
                </c:pt>
              </c:numCache>
            </c:numRef>
          </c:val>
          <c:extLst>
            <c:ext xmlns:c16="http://schemas.microsoft.com/office/drawing/2014/chart" uri="{C3380CC4-5D6E-409C-BE32-E72D297353CC}">
              <c16:uniqueId val="{00000007-C469-4268-B891-B1A8502B73C4}"/>
            </c:ext>
          </c:extLst>
        </c:ser>
        <c:dLbls>
          <c:showLegendKey val="0"/>
          <c:showVal val="0"/>
          <c:showCatName val="0"/>
          <c:showSerName val="0"/>
          <c:showPercent val="0"/>
          <c:showBubbleSize val="0"/>
        </c:dLbls>
        <c:gapWidth val="125"/>
        <c:overlap val="100"/>
        <c:axId val="106676224"/>
        <c:axId val="106677760"/>
      </c:barChart>
      <c:catAx>
        <c:axId val="106676224"/>
        <c:scaling>
          <c:orientation val="maxMin"/>
        </c:scaling>
        <c:delete val="0"/>
        <c:axPos val="l"/>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7760"/>
        <c:crossesAt val="621708188.55796242"/>
        <c:auto val="1"/>
        <c:lblAlgn val="ctr"/>
        <c:lblOffset val="100"/>
        <c:noMultiLvlLbl val="0"/>
      </c:catAx>
      <c:valAx>
        <c:axId val="106677760"/>
        <c:scaling>
          <c:orientation val="minMax"/>
          <c:max val="1500000000.0000026"/>
          <c:min val="-500000000.00000089"/>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6224"/>
        <c:crosses val="autoZero"/>
        <c:crossBetween val="between"/>
        <c:majorUnit val="500000000.00000089"/>
      </c:valAx>
      <c:spPr>
        <a:noFill/>
        <a:ln>
          <a:solidFill>
            <a:schemeClr val="accent3"/>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NPV (TIPV)</a:t>
            </a:r>
          </a:p>
        </c:rich>
      </c:tx>
      <c:overlay val="0"/>
      <c:spPr>
        <a:noFill/>
        <a:ln>
          <a:noFill/>
        </a:ln>
        <a:effectLst/>
      </c:spPr>
    </c:title>
    <c:autoTitleDeleted val="0"/>
    <c:plotArea>
      <c:layout/>
      <c:lineChart>
        <c:grouping val="standard"/>
        <c:varyColors val="0"/>
        <c:ser>
          <c:idx val="0"/>
          <c:order val="0"/>
          <c:tx>
            <c:v>Kitchen rental price · Value</c:v>
          </c:tx>
          <c:spPr>
            <a:ln w="28575" cap="rnd">
              <a:solidFill>
                <a:schemeClr val="accent4">
                  <a:lumMod val="60000"/>
                </a:schemeClr>
              </a:solidFill>
              <a:round/>
            </a:ln>
            <a:effectLst/>
          </c:spPr>
          <c:cat>
            <c:numRef>
              <c:f>'[1]Spider Chart'!$D$25:$H$25</c:f>
              <c:numCache>
                <c:formatCode>General</c:formatCode>
                <c:ptCount val="5"/>
                <c:pt idx="0">
                  <c:v>0.1</c:v>
                </c:pt>
                <c:pt idx="1">
                  <c:v>0.3</c:v>
                </c:pt>
                <c:pt idx="2">
                  <c:v>0.5</c:v>
                </c:pt>
                <c:pt idx="3">
                  <c:v>0.7</c:v>
                </c:pt>
                <c:pt idx="4">
                  <c:v>0.9</c:v>
                </c:pt>
              </c:numCache>
            </c:numRef>
          </c:cat>
          <c:val>
            <c:numRef>
              <c:f>'[1]Spider Chart'!$D$26:$H$26</c:f>
              <c:numCache>
                <c:formatCode>General</c:formatCode>
                <c:ptCount val="5"/>
                <c:pt idx="0">
                  <c:v>79471998.257638454</c:v>
                </c:pt>
                <c:pt idx="1">
                  <c:v>350590093.40779972</c:v>
                </c:pt>
                <c:pt idx="2">
                  <c:v>621708188.55796242</c:v>
                </c:pt>
                <c:pt idx="3">
                  <c:v>892826474.29585266</c:v>
                </c:pt>
                <c:pt idx="4">
                  <c:v>1163944569.4460154</c:v>
                </c:pt>
              </c:numCache>
            </c:numRef>
          </c:val>
          <c:smooth val="0"/>
          <c:extLst>
            <c:ext xmlns:c16="http://schemas.microsoft.com/office/drawing/2014/chart" uri="{C3380CC4-5D6E-409C-BE32-E72D297353CC}">
              <c16:uniqueId val="{00000000-971A-489D-A519-1747BC8EE18A}"/>
            </c:ext>
          </c:extLst>
        </c:ser>
        <c:ser>
          <c:idx val="1"/>
          <c:order val="1"/>
          <c:tx>
            <c:v>General for all types · Value</c:v>
          </c:tx>
          <c:spPr>
            <a:ln w="28575" cap="rnd">
              <a:solidFill>
                <a:schemeClr val="accent4">
                  <a:lumMod val="60000"/>
                </a:schemeClr>
              </a:solidFill>
              <a:round/>
            </a:ln>
            <a:effectLst/>
          </c:spPr>
          <c:cat>
            <c:numRef>
              <c:f>'[1]Spider Chart'!$D$25:$H$25</c:f>
              <c:numCache>
                <c:formatCode>General</c:formatCode>
                <c:ptCount val="5"/>
                <c:pt idx="0">
                  <c:v>0.1</c:v>
                </c:pt>
                <c:pt idx="1">
                  <c:v>0.3</c:v>
                </c:pt>
                <c:pt idx="2">
                  <c:v>0.5</c:v>
                </c:pt>
                <c:pt idx="3">
                  <c:v>0.7</c:v>
                </c:pt>
                <c:pt idx="4">
                  <c:v>0.9</c:v>
                </c:pt>
              </c:numCache>
            </c:numRef>
          </c:cat>
          <c:val>
            <c:numRef>
              <c:f>'[1]Spider Chart'!$D$27:$H$27</c:f>
              <c:numCache>
                <c:formatCode>General</c:formatCode>
                <c:ptCount val="5"/>
                <c:pt idx="0">
                  <c:v>313884265.82146454</c:v>
                </c:pt>
                <c:pt idx="1">
                  <c:v>467796227.18971252</c:v>
                </c:pt>
                <c:pt idx="2">
                  <c:v>621708188.55796242</c:v>
                </c:pt>
                <c:pt idx="3">
                  <c:v>775620149.9262104</c:v>
                </c:pt>
                <c:pt idx="4">
                  <c:v>929532111.29445982</c:v>
                </c:pt>
              </c:numCache>
            </c:numRef>
          </c:val>
          <c:smooth val="0"/>
          <c:extLst>
            <c:ext xmlns:c16="http://schemas.microsoft.com/office/drawing/2014/chart" uri="{C3380CC4-5D6E-409C-BE32-E72D297353CC}">
              <c16:uniqueId val="{00000001-971A-489D-A519-1747BC8EE18A}"/>
            </c:ext>
          </c:extLst>
        </c:ser>
        <c:ser>
          <c:idx val="2"/>
          <c:order val="2"/>
          <c:tx>
            <c:v>(year 0) · Value</c:v>
          </c:tx>
          <c:spPr>
            <a:ln w="28575" cap="rnd">
              <a:solidFill>
                <a:schemeClr val="accent4">
                  <a:lumMod val="60000"/>
                </a:schemeClr>
              </a:solidFill>
              <a:round/>
            </a:ln>
            <a:effectLst/>
          </c:spPr>
          <c:cat>
            <c:numRef>
              <c:f>'[1]Spider Chart'!$D$25:$H$25</c:f>
              <c:numCache>
                <c:formatCode>General</c:formatCode>
                <c:ptCount val="5"/>
                <c:pt idx="0">
                  <c:v>0.1</c:v>
                </c:pt>
                <c:pt idx="1">
                  <c:v>0.3</c:v>
                </c:pt>
                <c:pt idx="2">
                  <c:v>0.5</c:v>
                </c:pt>
                <c:pt idx="3">
                  <c:v>0.7</c:v>
                </c:pt>
                <c:pt idx="4">
                  <c:v>0.9</c:v>
                </c:pt>
              </c:numCache>
            </c:numRef>
          </c:cat>
          <c:val>
            <c:numRef>
              <c:f>'[1]Spider Chart'!$D$28:$H$28</c:f>
              <c:numCache>
                <c:formatCode>General</c:formatCode>
                <c:ptCount val="5"/>
                <c:pt idx="0">
                  <c:v>464709133.31898737</c:v>
                </c:pt>
                <c:pt idx="1">
                  <c:v>543208660.93847466</c:v>
                </c:pt>
                <c:pt idx="2">
                  <c:v>621708188.55796242</c:v>
                </c:pt>
                <c:pt idx="3">
                  <c:v>700207716.1774497</c:v>
                </c:pt>
                <c:pt idx="4">
                  <c:v>778707243.79693747</c:v>
                </c:pt>
              </c:numCache>
            </c:numRef>
          </c:val>
          <c:smooth val="0"/>
          <c:extLst>
            <c:ext xmlns:c16="http://schemas.microsoft.com/office/drawing/2014/chart" uri="{C3380CC4-5D6E-409C-BE32-E72D297353CC}">
              <c16:uniqueId val="{00000002-971A-489D-A519-1747BC8EE18A}"/>
            </c:ext>
          </c:extLst>
        </c:ser>
        <c:dLbls>
          <c:showLegendKey val="0"/>
          <c:showVal val="0"/>
          <c:showCatName val="0"/>
          <c:showSerName val="0"/>
          <c:showPercent val="0"/>
          <c:showBubbleSize val="0"/>
        </c:dLbls>
        <c:marker val="1"/>
        <c:smooth val="0"/>
        <c:axId val="122460800"/>
        <c:axId val="122476032"/>
      </c:lineChart>
      <c:catAx>
        <c:axId val="12246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76032"/>
        <c:crossesAt val="0"/>
        <c:auto val="1"/>
        <c:lblAlgn val="ctr"/>
        <c:lblOffset val="100"/>
        <c:noMultiLvlLbl val="0"/>
      </c:catAx>
      <c:valAx>
        <c:axId val="122476032"/>
        <c:scaling>
          <c:orientation val="minMax"/>
          <c:max val="1500000000.0000026"/>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0800"/>
        <c:crosses val="autoZero"/>
        <c:crossBetween val="midCat"/>
        <c:majorUnit val="500000000.00000089"/>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774786</xdr:colOff>
      <xdr:row>46</xdr:row>
      <xdr:rowOff>163628</xdr:rowOff>
    </xdr:from>
    <xdr:to>
      <xdr:col>14</xdr:col>
      <xdr:colOff>2294</xdr:colOff>
      <xdr:row>87</xdr:row>
      <xdr:rowOff>42419</xdr:rowOff>
    </xdr:to>
    <xdr:pic>
      <xdr:nvPicPr>
        <xdr:cNvPr id="2" name="Picture 8">
          <a:extLst>
            <a:ext uri="{FF2B5EF4-FFF2-40B4-BE49-F238E27FC236}">
              <a16:creationId xmlns:a16="http://schemas.microsoft.com/office/drawing/2014/main" id="{1F415D85-24DC-CBA9-039F-B5ADBC89225E}"/>
            </a:ext>
          </a:extLst>
        </xdr:cNvPr>
        <xdr:cNvPicPr>
          <a:picLocks noChangeAspect="1"/>
        </xdr:cNvPicPr>
      </xdr:nvPicPr>
      <xdr:blipFill>
        <a:blip xmlns:r="http://schemas.openxmlformats.org/officeDocument/2006/relationships" r:embed="rId1"/>
        <a:stretch>
          <a:fillRect/>
        </a:stretch>
      </xdr:blipFill>
      <xdr:spPr>
        <a:xfrm>
          <a:off x="13989651" y="9379709"/>
          <a:ext cx="13635645" cy="806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0</xdr:rowOff>
    </xdr:from>
    <xdr:to>
      <xdr:col>8</xdr:col>
      <xdr:colOff>641350</xdr:colOff>
      <xdr:row>19</xdr:row>
      <xdr:rowOff>0</xdr:rowOff>
    </xdr:to>
    <xdr:graphicFrame macro="">
      <xdr:nvGraphicFramePr>
        <xdr:cNvPr id="2" name="Chart 1" descr="Tornado Chart" title="Tornado Chart">
          <a:extLst>
            <a:ext uri="{FF2B5EF4-FFF2-40B4-BE49-F238E27FC236}">
              <a16:creationId xmlns:a16="http://schemas.microsoft.com/office/drawing/2014/main" id="{956EDC41-FBF8-494A-814A-24E2EFC26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1</xdr:row>
      <xdr:rowOff>0</xdr:rowOff>
    </xdr:from>
    <xdr:to>
      <xdr:col>10</xdr:col>
      <xdr:colOff>600075</xdr:colOff>
      <xdr:row>20</xdr:row>
      <xdr:rowOff>0</xdr:rowOff>
    </xdr:to>
    <xdr:graphicFrame macro="">
      <xdr:nvGraphicFramePr>
        <xdr:cNvPr id="2" name="Chart 1" descr="Spider Chart" title="Spider Chart">
          <a:extLst>
            <a:ext uri="{FF2B5EF4-FFF2-40B4-BE49-F238E27FC236}">
              <a16:creationId xmlns:a16="http://schemas.microsoft.com/office/drawing/2014/main" id="{5CE72060-8227-4AB0-B3E8-1E8C3C105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26">
          <cell r="B26" t="str">
            <v>Kitchen rental price · Value</v>
          </cell>
          <cell r="C26">
            <v>79471998.257638454</v>
          </cell>
          <cell r="D26">
            <v>1163944569.4460154</v>
          </cell>
        </row>
        <row r="27">
          <cell r="B27" t="str">
            <v>General for all types · Value</v>
          </cell>
          <cell r="C27">
            <v>313884265.82146454</v>
          </cell>
          <cell r="D27">
            <v>929532111.29445982</v>
          </cell>
        </row>
        <row r="28">
          <cell r="B28" t="str">
            <v>(year 0) · Value</v>
          </cell>
          <cell r="C28">
            <v>464709133.31898737</v>
          </cell>
          <cell r="D28">
            <v>778707243.79693747</v>
          </cell>
        </row>
      </sheetData>
      <sheetData sheetId="1" refreshError="1"/>
      <sheetData sheetId="2">
        <row r="25">
          <cell r="D25">
            <v>0.1</v>
          </cell>
          <cell r="E25">
            <v>0.3</v>
          </cell>
          <cell r="F25">
            <v>0.5</v>
          </cell>
          <cell r="G25">
            <v>0.7</v>
          </cell>
          <cell r="H25">
            <v>0.9</v>
          </cell>
        </row>
        <row r="26">
          <cell r="D26">
            <v>79471998.257638454</v>
          </cell>
          <cell r="E26">
            <v>350590093.40779972</v>
          </cell>
          <cell r="F26">
            <v>621708188.55796242</v>
          </cell>
          <cell r="G26">
            <v>892826474.29585266</v>
          </cell>
          <cell r="H26">
            <v>1163944569.4460154</v>
          </cell>
        </row>
        <row r="27">
          <cell r="D27">
            <v>313884265.82146454</v>
          </cell>
          <cell r="E27">
            <v>467796227.18971252</v>
          </cell>
          <cell r="F27">
            <v>621708188.55796242</v>
          </cell>
          <cell r="G27">
            <v>775620149.9262104</v>
          </cell>
          <cell r="H27">
            <v>929532111.29445982</v>
          </cell>
        </row>
        <row r="28">
          <cell r="D28">
            <v>464709133.31898737</v>
          </cell>
          <cell r="E28">
            <v>543208660.93847466</v>
          </cell>
          <cell r="F28">
            <v>621708188.55796242</v>
          </cell>
          <cell r="G28">
            <v>700207716.1774497</v>
          </cell>
          <cell r="H28">
            <v>778707243.79693747</v>
          </cell>
        </row>
      </sheetData>
    </sheetDataSet>
  </externalBook>
</externalLink>
</file>

<file path=xl/persons/person.xml><?xml version="1.0" encoding="utf-8"?>
<personList xmlns="http://schemas.microsoft.com/office/spreadsheetml/2018/threadedcomments" xmlns:x="http://schemas.openxmlformats.org/spreadsheetml/2006/main">
  <person displayName="Phuc.đh" id="{3997C17B-7DD5-466B-8859-8839E9A26D1A}" userId="Phuc.đh" providerId="None"/>
  <person displayName="Nguyễn Phạm Minh Huy (31231022606)" id="{F0704F3F-C88C-6A4F-AB14-C762C438156D}" userId="S::31231022606@ueh.edu.vn::f1b1516a-3b30-4b2d-bf60-e6a9c6642d62"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ＭＳ ゴシック"/>
      <a:font script="Hang" typeface="맑은 고딕"/>
      <a:font script="Hans" typeface="宋体"/>
      <a:font script="Hant" typeface="新細明體"/>
      <a:font script="Arab" typeface="Tahoma"/>
      <a:font script="Hebr" typeface="Gisha"/>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15" dT="2025-06-03T15:05:37.77" personId="{3997C17B-7DD5-466B-8859-8839E9A26D1A}" id="{7EC160D0-7903-4F81-8188-D5A44BEE7DE5}">
    <text>Link bồn rửa đôi:
https://inoxyennam.com/products/bon-rua-cong-nghiep-2-hoc-ps1678?utm_source=googleads&amp;utm_medium=shopping&amp;gad_source=1&amp;gad_campaignid=20819235080&amp;gbraid=0AAAAAo0i8GlWrDY-PSdsoJbbQzGqURhNA&amp;gclid=CjwKCAjw6NrBBhB6EiwAvnT_rq_A3qEtsz8T90Klq7xiust9hGcwKByVTXXXWqJOLrtr3RnIjmhHlBoCjl4QAvD_BwE</text>
    <extLst>
      <x:ext xmlns:xltc2="http://schemas.microsoft.com/office/spreadsheetml/2020/threadedcomments2" uri="{F7C98A9C-CBB3-438F-8F68-D28B6AF4A901}">
        <xltc2:checksum>2211917448</xltc2:checksum>
        <xltc2:hyperlink startIndex="18" length="285" url="https://inoxyennam.com/products/bon-rua-cong-nghiep-2-hoc-ps1678?utm_source=googleads&amp;utm_medium=shopping&amp;gad_source=1&amp;gad_campaignid=20819235080&amp;gbraid=0AAAAAo0i8GlWrDY-PSdsoJbbQzGqURhNA&amp;gclid=CjwKCAjw6NrBBhB6EiwAvnT_rq_A3qEtsz8T90Klq7xiust9hGcwKByVTXXXWqJOLrtr3RnIjmhHlBoCjl4QAvD_BwE"/>
      </x:ext>
    </extLst>
  </threadedComment>
  <threadedComment ref="AC17" dT="2025-06-06T14:06:13.58" personId="{F0704F3F-C88C-6A4F-AB14-C762C438156D}" id="{DBF7C4D3-2B3D-7D45-AFE6-807F25674CA8}">
    <text xml:space="preserve">Deposit two months of the year 0 </text>
  </threadedComment>
  <threadedComment ref="AC28" dT="2025-06-05T15:53:53.18" personId="{F0704F3F-C88C-6A4F-AB14-C762C438156D}" id="{5C1D56E4-7A96-6F40-B951-5EC2F24F74CA}">
    <text>https://vneconomy.vn/lam-phat-nam-2024-duoc-kiem-soat-hieu-qua.htm#:~:text=%E2%80%9CGI%E1%BB%AE%20CH%C3%82N%E2%80%9D%20L%E1%BA%A0M%20PH%C3%81T%20C%E1%BA%A2,c%E1%BB%A7a%20Vi%E1%BB%87t%20Nam%20n%C4%83m%202024.</text>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https://hidavico.com/ke-bep-inox-cong-nghiep-hidavico/" TargetMode="External"/><Relationship Id="rId18" Type="http://schemas.openxmlformats.org/officeDocument/2006/relationships/hyperlink" Target="https://www.samsung.com/vn/cooking-appliances/hoods/nk7000mm-hood-nk24m5070bs-ur/?cid=vn_pd_ppc_google-search-new_dacor_always-on_lt-da-awo2025-allha-shoppingad-ROAS_search-plas_none_none_lo_3rd-Party-Targeting_Conversion_brand-+-product_keywords&amp;gbraid=0AAAAADi7fTgD4weRm5tdCCIW0piWfMLK8&amp;gclid=CjwKCAjw6NrBBhB6EiwAvnT_rpxODG5Q6gaXQ1teGcTCDaDm0vpUzye3n-P34cHxtwdcCCWEYjzuDxoCtKoQAvD_BwE" TargetMode="External"/><Relationship Id="rId26" Type="http://schemas.openxmlformats.org/officeDocument/2006/relationships/hyperlink" Target="https://bigmart.com.vn/san-pham/289/xe-day-hang-xth-130n.html" TargetMode="External"/><Relationship Id="rId39" Type="http://schemas.openxmlformats.org/officeDocument/2006/relationships/hyperlink" Target="https://thuvienphapluat.vn/ma-so-thue/bai-viet/muc-thue-suat-thue-thu-nhap-doanh-nghiep-2025-la-bao-nhieu-11128-197767.html" TargetMode="External"/><Relationship Id="rId21" Type="http://schemas.openxmlformats.org/officeDocument/2006/relationships/hyperlink" Target="https://qtetech.com/maruyasu-kikai-mmx2-103-50-100-k-12-5-m-bang-tai-maruyasu-kikai-mmx2-103-50-100-k-12-5-m-pr66622?gad_source=1&amp;gad_campaignid=17519612342&amp;gbraid=0AAAAADn4YCajqxYOyDBd_bYUQ0TD6jDhW&amp;gclid=CjwKCAjw6NrBBhB6EiwAvnT_rvZ3LMbAEcLXLrOog9W5JUOvyYrPAMbY6M-OjU8p8iWXABXox3s6jBoC-e8QAvD_BwE" TargetMode="External"/><Relationship Id="rId34" Type="http://schemas.openxmlformats.org/officeDocument/2006/relationships/hyperlink" Target="https://sme.misa.vn/" TargetMode="External"/><Relationship Id="rId42" Type="http://schemas.openxmlformats.org/officeDocument/2006/relationships/comments" Target="../comments1.xml"/><Relationship Id="rId7" Type="http://schemas.openxmlformats.org/officeDocument/2006/relationships/hyperlink" Target="https://thienbinhgroup.com/products/ban-mat-3-canh-1m8-kenshin-ks-1860c" TargetMode="External"/><Relationship Id="rId2" Type="http://schemas.openxmlformats.org/officeDocument/2006/relationships/hyperlink" Target="https://thienbinhgroup.com/products/ban-mat-hoshizaki-rt-98ma-s" TargetMode="External"/><Relationship Id="rId16" Type="http://schemas.openxmlformats.org/officeDocument/2006/relationships/hyperlink" Target="https://dienmaythienlong.vn/may-hut-chan-khong-dzq-320x2-2-duong-han-59.html" TargetMode="External"/><Relationship Id="rId20" Type="http://schemas.openxmlformats.org/officeDocument/2006/relationships/hyperlink" Target="https://dienmaybigstar.com/san-pham/may-hut-chan-khong-dz-400-2sb-2-buong/?utm_source=Google%20Shopping&amp;utm_campaign=auto%20gg%20shopping&amp;utm_medium=cpc&amp;utm_term=58188&amp;gad_source=1&amp;gad_campaignid=22301488758&amp;gbraid=0AAAAAq8eQRaZvpkmikD6C8Q-YTmcs31QB&amp;gclid=CjwKCAjw6NrBBhB6EiwAvnT_rodtFBvFuVneDQtsTPrG3TSSlJIV9pX_61UuDi6gMxt3HubzaN2tbhoCRhMQAvD_BwE" TargetMode="External"/><Relationship Id="rId29" Type="http://schemas.openxmlformats.org/officeDocument/2006/relationships/hyperlink" Target="https://lamtranthachcaohcm.com/bao-gia.html" TargetMode="External"/><Relationship Id="rId41" Type="http://schemas.openxmlformats.org/officeDocument/2006/relationships/vmlDrawing" Target="../drawings/vmlDrawing1.vml"/><Relationship Id="rId1" Type="http://schemas.openxmlformats.org/officeDocument/2006/relationships/hyperlink" Target="https://www.dienmayxanh.com/tu-lanh/tu-lanh-toshiba-inverter-555-lit-side-by-side-gr-rs696wi-pmv-60-ag" TargetMode="External"/><Relationship Id="rId6" Type="http://schemas.openxmlformats.org/officeDocument/2006/relationships/hyperlink" Target="https://thienbinhgroup.com/products/tu-dong-mat-dung-4-canh-inox-kenshin-ks-4i1100fc" TargetMode="External"/><Relationship Id="rId11" Type="http://schemas.openxmlformats.org/officeDocument/2006/relationships/hyperlink" Target="https://dienmayhoanglong.vn/bep-chien-nhung-dien/bep-chien-nhung-don-goodfor-l12.html" TargetMode="External"/><Relationship Id="rId24" Type="http://schemas.openxmlformats.org/officeDocument/2006/relationships/hyperlink" Target="https://alonhadat.com.vn/800m2-dtsd-cho-thue-mt-aeon-tan-phu-p-son-ky-quan-tan-phu-16197289.html" TargetMode="External"/><Relationship Id="rId32" Type="http://schemas.openxmlformats.org/officeDocument/2006/relationships/hyperlink" Target="https://mec-vietnam.com/products/thiet-ke-thi-cong-lap-dat-he-thong-xu-ly-nuoc-thai-cong-nghiep" TargetMode="External"/><Relationship Id="rId37" Type="http://schemas.openxmlformats.org/officeDocument/2006/relationships/hyperlink" Target="https://www.officesaigon.vn/cach-tinh-tien-dien-khi-thue-van-phong.html" TargetMode="External"/><Relationship Id="rId40" Type="http://schemas.openxmlformats.org/officeDocument/2006/relationships/drawing" Target="../drawings/drawing1.xml"/><Relationship Id="rId5" Type="http://schemas.openxmlformats.org/officeDocument/2006/relationships/hyperlink" Target="https://hidavico.com/ke-bep-inox-cong-nghiep-hidavico/" TargetMode="External"/><Relationship Id="rId15" Type="http://schemas.openxmlformats.org/officeDocument/2006/relationships/hyperlink" Target="https://thietbibepauviet.com/bep-au-4-hong-co-lo-nuong-kem-chien-phang-ob4gg1bwol/?srsltid=AfmBOopMk2Wn4t2qb3PKvXXjVluxTkhaxve1ax76FibZG0_5OgC85YQ-" TargetMode="External"/><Relationship Id="rId23" Type="http://schemas.openxmlformats.org/officeDocument/2006/relationships/hyperlink" Target="https://hidavico.com/ke-bep-inox-cong-nghiep-hidavico/" TargetMode="External"/><Relationship Id="rId28" Type="http://schemas.openxmlformats.org/officeDocument/2006/relationships/hyperlink" Target="https://p69.com.vn/bao-gia-thi-cong-he-thong-phong-chay-chua-chay/" TargetMode="External"/><Relationship Id="rId36" Type="http://schemas.openxmlformats.org/officeDocument/2006/relationships/hyperlink" Target="https://vanphong-pham.com/" TargetMode="External"/><Relationship Id="rId10" Type="http://schemas.openxmlformats.org/officeDocument/2006/relationships/hyperlink" Target="https://www.samsung.com/vn/cooking-appliances/hoods/nk7000mm-hood-nk24m5070bs-ur/?cid=vn_pd_ppc_google-search-new_dacor_always-on_lt-da-awo2025-allha-shoppingad-ROAS_search-plas_none_none_lo_3rd-Party-Targeting_Conversion_brand-+-product_keywords&amp;gbraid=0AAAAADi7fTgD4weRm5tdCCIW0piWfMLK8&amp;gclid=CjwKCAjw6NrBBhB6EiwAvnT_rpxODG5Q6gaXQ1teGcTCDaDm0vpUzye3n-P34cHxtwdcCCWEYjzuDxoCtKoQAvD_BwE" TargetMode="External"/><Relationship Id="rId19" Type="http://schemas.openxmlformats.org/officeDocument/2006/relationships/hyperlink" Target="https://thienbinhgroup.com/products/tu-mat-cong-nghiep-6-canh-kenshin-ks-6i1750c" TargetMode="External"/><Relationship Id="rId31" Type="http://schemas.openxmlformats.org/officeDocument/2006/relationships/hyperlink" Target="https://mec-vietnam.com/products/thiet-ke-thi-cong-lap-dat-he-thong-xu-ly-nuoc-thai-cong-nghiep" TargetMode="External"/><Relationship Id="rId4" Type="http://schemas.openxmlformats.org/officeDocument/2006/relationships/hyperlink" Target="https://inoxnamviet.vn/san-pham/chau-rua-cong-nghiep-1-ho-co-ban-lech-phai/" TargetMode="External"/><Relationship Id="rId9" Type="http://schemas.openxmlformats.org/officeDocument/2006/relationships/hyperlink" Target="https://inoxyennam.com/products/bon-rua-cong-nghiep-2-hoc-ps1678?utm_source=googleads&amp;utm_medium=shopping&amp;gad_source=1&amp;gad_campaignid=20819235080&amp;gbraid=0AAAAAo0i8GlWrDY-PSdsoJbbQzGqURhNA&amp;gclid=CjwKCAjw6NrBBhB6EiwAvnT_rq_A3qEtsz8T90Klq7xiust9hGcwKByVTXXXWqJOLrtr3RnIjmhHlBoCjl4QAvD_BwE" TargetMode="External"/><Relationship Id="rId14" Type="http://schemas.openxmlformats.org/officeDocument/2006/relationships/hyperlink" Target="https://thienbinhgroup.com/products/tu-dong-mat-dung-4-canh-inox-kenshin-ks-4i1100fc" TargetMode="External"/><Relationship Id="rId22" Type="http://schemas.openxmlformats.org/officeDocument/2006/relationships/hyperlink" Target="https://thietbibepauviet.com/bep-au-4-hong-co-lo-nuong-kem-chien-phang-ob4gg1bwol/?srsltid=AfmBOopMk2Wn4t2qb3PKvXXjVluxTkhaxve1ax76FibZG0_5OgC85YQ-" TargetMode="External"/><Relationship Id="rId27" Type="http://schemas.openxmlformats.org/officeDocument/2006/relationships/hyperlink" Target="https://thicong24h.com/bao-gia-thi-cong-dien-nuoc-tron-goi/" TargetMode="External"/><Relationship Id="rId30" Type="http://schemas.openxmlformats.org/officeDocument/2006/relationships/hyperlink" Target="https://xaydungkhaiminh.vn/gia-nhan-cong-xay-to-1m2-tuong" TargetMode="External"/><Relationship Id="rId35" Type="http://schemas.openxmlformats.org/officeDocument/2006/relationships/hyperlink" Target="https://vietteltelecom.vn/tin-tuc/chi-tiet/tron-bo-danh-sach-goi-wifi-cua-viettel-khuyen-mai-moi-nhat/15492520" TargetMode="External"/><Relationship Id="rId43" Type="http://schemas.microsoft.com/office/2017/10/relationships/threadedComment" Target="../threadedComments/threadedComment1.xml"/><Relationship Id="rId8" Type="http://schemas.openxmlformats.org/officeDocument/2006/relationships/hyperlink" Target="https://thienbinhgroup.com/products/lo-nuong-doi-luu-mini-4-khay-southstar" TargetMode="External"/><Relationship Id="rId3" Type="http://schemas.openxmlformats.org/officeDocument/2006/relationships/hyperlink" Target="https://dienmayhoanglong.vn/may-tron-bot/may-tron-da-nang-b15-15-lit.html" TargetMode="External"/><Relationship Id="rId12" Type="http://schemas.openxmlformats.org/officeDocument/2006/relationships/hyperlink" Target="https://thienbinhgroup.com/products/bep-au-4-hong-chan-cao" TargetMode="External"/><Relationship Id="rId17" Type="http://schemas.openxmlformats.org/officeDocument/2006/relationships/hyperlink" Target="http://meta.vn/texgio-luxury-tgu-1500xd-p91227?utm_source=google-ads&amp;utm_campaign=dien-may-roas&amp;gad_source=1&amp;gad_campaignid=22301724866&amp;gbraid=0AAAAADoLJIkV_4JgMyjTt_8ghjLWOFk06&amp;gclid=CjwKCAjw3MXBBhAzEiwA0vLXQb0emechWBSOT1zG_NR0tgJ5PLzwY5V669PDSMPP0kf64ioDTYBa0RoCop4QAvD_BwE" TargetMode="External"/><Relationship Id="rId25" Type="http://schemas.openxmlformats.org/officeDocument/2006/relationships/hyperlink" Target="https://tudonghoa88.com/dock-leveler-6-tan" TargetMode="External"/><Relationship Id="rId33" Type="http://schemas.openxmlformats.org/officeDocument/2006/relationships/hyperlink" Target="https://www.microsoft.com/en-us/microsoft-365/business?msockid=2ce4d44df0fc6e7c3632c1abf1a66f32" TargetMode="External"/><Relationship Id="rId38" Type="http://schemas.openxmlformats.org/officeDocument/2006/relationships/hyperlink" Target="https://www.haravan.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624A-9B4B-4D31-9A15-2A903F17ADB3}">
  <dimension ref="A1:C31"/>
  <sheetViews>
    <sheetView workbookViewId="0"/>
  </sheetViews>
  <sheetFormatPr defaultRowHeight="15" x14ac:dyDescent="0.25"/>
  <cols>
    <col min="1" max="2" width="36.7109375" customWidth="1"/>
  </cols>
  <sheetData>
    <row r="1" spans="1:3" x14ac:dyDescent="0.25">
      <c r="A1" s="306" t="s">
        <v>396</v>
      </c>
    </row>
    <row r="3" spans="1:3" x14ac:dyDescent="0.25">
      <c r="A3" t="s">
        <v>397</v>
      </c>
      <c r="B3" t="s">
        <v>398</v>
      </c>
      <c r="C3">
        <v>0</v>
      </c>
    </row>
    <row r="4" spans="1:3" x14ac:dyDescent="0.25">
      <c r="A4" t="s">
        <v>399</v>
      </c>
    </row>
    <row r="5" spans="1:3" x14ac:dyDescent="0.25">
      <c r="A5" t="s">
        <v>400</v>
      </c>
    </row>
    <row r="7" spans="1:3" x14ac:dyDescent="0.25">
      <c r="A7" s="306" t="s">
        <v>401</v>
      </c>
      <c r="B7" t="s">
        <v>402</v>
      </c>
    </row>
    <row r="8" spans="1:3" x14ac:dyDescent="0.25">
      <c r="B8">
        <v>2</v>
      </c>
    </row>
    <row r="10" spans="1:3" x14ac:dyDescent="0.25">
      <c r="A10" t="s">
        <v>403</v>
      </c>
    </row>
    <row r="11" spans="1:3" x14ac:dyDescent="0.25">
      <c r="A11" t="e">
        <f>CB_DATA_!#REF!</f>
        <v>#REF!</v>
      </c>
      <c r="B11" t="e">
        <f>Costing!#REF!</f>
        <v>#REF!</v>
      </c>
    </row>
    <row r="13" spans="1:3" x14ac:dyDescent="0.25">
      <c r="A13" t="s">
        <v>404</v>
      </c>
    </row>
    <row r="14" spans="1:3" x14ac:dyDescent="0.25">
      <c r="A14" t="s">
        <v>408</v>
      </c>
      <c r="B14" t="s">
        <v>412</v>
      </c>
    </row>
    <row r="16" spans="1:3" x14ac:dyDescent="0.25">
      <c r="A16" t="s">
        <v>405</v>
      </c>
    </row>
    <row r="19" spans="1:2" x14ac:dyDescent="0.25">
      <c r="A19" t="s">
        <v>406</v>
      </c>
    </row>
    <row r="20" spans="1:2" x14ac:dyDescent="0.25">
      <c r="A20">
        <v>31</v>
      </c>
      <c r="B20">
        <v>31</v>
      </c>
    </row>
    <row r="25" spans="1:2" x14ac:dyDescent="0.25">
      <c r="A25" s="306" t="s">
        <v>407</v>
      </c>
    </row>
    <row r="26" spans="1:2" x14ac:dyDescent="0.25">
      <c r="A26" s="307" t="s">
        <v>409</v>
      </c>
      <c r="B26" s="307" t="s">
        <v>413</v>
      </c>
    </row>
    <row r="27" spans="1:2" x14ac:dyDescent="0.25">
      <c r="A27" t="s">
        <v>410</v>
      </c>
      <c r="B27" t="s">
        <v>441</v>
      </c>
    </row>
    <row r="28" spans="1:2" x14ac:dyDescent="0.25">
      <c r="A28" s="307" t="s">
        <v>411</v>
      </c>
      <c r="B28" s="307" t="s">
        <v>411</v>
      </c>
    </row>
    <row r="29" spans="1:2" x14ac:dyDescent="0.25">
      <c r="A29" s="307" t="s">
        <v>413</v>
      </c>
      <c r="B29" s="307" t="s">
        <v>409</v>
      </c>
    </row>
    <row r="30" spans="1:2" x14ac:dyDescent="0.25">
      <c r="A30" t="s">
        <v>442</v>
      </c>
      <c r="B30" t="s">
        <v>414</v>
      </c>
    </row>
    <row r="31" spans="1:2" x14ac:dyDescent="0.25">
      <c r="A31" s="307" t="s">
        <v>411</v>
      </c>
      <c r="B31" s="307" t="s">
        <v>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68BF-41F9-4877-948D-1A22B3E274CD}">
  <dimension ref="A1:AX609"/>
  <sheetViews>
    <sheetView tabSelected="1" topLeftCell="Q1" zoomScale="70" zoomScaleNormal="70" workbookViewId="0">
      <selection activeCell="AK33" sqref="AK33"/>
    </sheetView>
  </sheetViews>
  <sheetFormatPr defaultColWidth="9.140625" defaultRowHeight="15" x14ac:dyDescent="0.25"/>
  <cols>
    <col min="1" max="1" width="9.140625" style="1"/>
    <col min="2" max="2" width="36.7109375" style="1" customWidth="1"/>
    <col min="3" max="3" width="27.42578125" style="1" customWidth="1"/>
    <col min="4" max="4" width="50.28515625" style="1" customWidth="1"/>
    <col min="5" max="5" width="35" style="1" customWidth="1"/>
    <col min="6" max="6" width="14.85546875" style="1" customWidth="1"/>
    <col min="7" max="7" width="20.140625" style="1" customWidth="1"/>
    <col min="8" max="8" width="15.42578125" style="1" customWidth="1"/>
    <col min="9" max="9" width="7.7109375" style="1" customWidth="1"/>
    <col min="10" max="10" width="35.140625" style="25" customWidth="1"/>
    <col min="11" max="11" width="17" style="1" customWidth="1"/>
    <col min="12" max="12" width="19" style="1" customWidth="1"/>
    <col min="13" max="13" width="25.85546875" style="1" customWidth="1"/>
    <col min="14" max="14" width="51" style="1" customWidth="1"/>
    <col min="15" max="15" width="58.140625" style="1" customWidth="1"/>
    <col min="16" max="16" width="13.85546875" style="1" customWidth="1"/>
    <col min="17" max="17" width="15" style="1" customWidth="1"/>
    <col min="18" max="18" width="18.42578125" style="1" customWidth="1"/>
    <col min="19" max="19" width="2" style="89" customWidth="1"/>
    <col min="20" max="20" width="22.140625" style="1" customWidth="1"/>
    <col min="21" max="21" width="32.7109375" style="1" customWidth="1"/>
    <col min="22" max="22" width="22.85546875" style="1" bestFit="1" customWidth="1"/>
    <col min="23" max="24" width="20.140625" style="1" bestFit="1" customWidth="1"/>
    <col min="25" max="25" width="17.85546875" style="1" customWidth="1"/>
    <col min="26" max="26" width="18.28515625" style="1" customWidth="1"/>
    <col min="27" max="27" width="20" style="1" customWidth="1"/>
    <col min="28" max="28" width="23.140625" style="1" customWidth="1"/>
    <col min="29" max="31" width="20.140625" style="1" bestFit="1" customWidth="1"/>
    <col min="32" max="32" width="17" style="1" customWidth="1"/>
    <col min="33" max="33" width="12.7109375" style="1" bestFit="1" customWidth="1"/>
    <col min="34" max="34" width="18.7109375" style="1" customWidth="1"/>
    <col min="35" max="35" width="21.85546875" style="1" customWidth="1"/>
    <col min="36" max="36" width="16.28515625" style="1" customWidth="1"/>
    <col min="37" max="37" width="14.28515625" style="1" customWidth="1"/>
    <col min="38" max="38" width="14.85546875" style="1" bestFit="1" customWidth="1"/>
    <col min="39" max="42" width="13.7109375" style="1" bestFit="1" customWidth="1"/>
    <col min="43" max="43" width="18.28515625" style="1" bestFit="1" customWidth="1"/>
    <col min="44" max="44" width="10.140625" style="1" bestFit="1" customWidth="1"/>
    <col min="45" max="45" width="12.5703125" style="1" bestFit="1" customWidth="1"/>
    <col min="46" max="50" width="10.140625" style="1" bestFit="1" customWidth="1"/>
    <col min="51" max="16384" width="9.140625" style="1"/>
  </cols>
  <sheetData>
    <row r="1" spans="2:50" ht="16.5" customHeight="1" thickBot="1" x14ac:dyDescent="0.4">
      <c r="B1" s="368" t="s">
        <v>0</v>
      </c>
      <c r="C1" s="368"/>
      <c r="D1" s="368"/>
      <c r="E1" s="368"/>
      <c r="F1" s="368"/>
      <c r="G1" s="368"/>
      <c r="H1" s="368"/>
      <c r="I1" s="368"/>
      <c r="J1" s="368"/>
      <c r="N1" s="1" t="s">
        <v>1</v>
      </c>
      <c r="Y1" s="5" t="s">
        <v>2</v>
      </c>
    </row>
    <row r="2" spans="2:50" ht="16.5" customHeight="1" x14ac:dyDescent="0.25">
      <c r="B2" s="9" t="s">
        <v>3</v>
      </c>
      <c r="C2" s="10" t="s">
        <v>4</v>
      </c>
      <c r="D2" s="10" t="s">
        <v>5</v>
      </c>
      <c r="E2" s="10" t="s">
        <v>6</v>
      </c>
      <c r="F2" s="11" t="s">
        <v>7</v>
      </c>
      <c r="G2" s="12" t="s">
        <v>8</v>
      </c>
      <c r="H2" s="12" t="s">
        <v>9</v>
      </c>
      <c r="I2" s="19" t="s">
        <v>10</v>
      </c>
      <c r="J2" s="22" t="s">
        <v>11</v>
      </c>
      <c r="L2" s="79" t="s">
        <v>12</v>
      </c>
      <c r="M2" s="80" t="s">
        <v>13</v>
      </c>
      <c r="N2" s="80" t="s">
        <v>14</v>
      </c>
      <c r="O2" s="19" t="s">
        <v>15</v>
      </c>
      <c r="P2" s="80" t="s">
        <v>16</v>
      </c>
      <c r="Q2" s="78" t="s">
        <v>17</v>
      </c>
    </row>
    <row r="3" spans="2:50" ht="16.5" customHeight="1" x14ac:dyDescent="0.25">
      <c r="B3" s="13" t="s">
        <v>18</v>
      </c>
      <c r="C3" s="30"/>
      <c r="D3" s="30"/>
      <c r="E3" s="30"/>
      <c r="F3" s="31"/>
      <c r="G3" s="32"/>
      <c r="H3" s="32"/>
      <c r="I3" s="33"/>
      <c r="J3" s="23"/>
      <c r="K3" s="86" t="s">
        <v>19</v>
      </c>
      <c r="L3" s="51" t="s">
        <v>20</v>
      </c>
      <c r="M3" s="36">
        <v>400000</v>
      </c>
      <c r="N3" s="46">
        <v>720</v>
      </c>
      <c r="O3" s="29" t="s">
        <v>21</v>
      </c>
      <c r="P3" s="36">
        <f>N3*M3</f>
        <v>288000000</v>
      </c>
      <c r="Q3" s="81" t="s">
        <v>17</v>
      </c>
    </row>
    <row r="4" spans="2:50" ht="16.5" customHeight="1" x14ac:dyDescent="0.25">
      <c r="B4" s="14" t="s">
        <v>22</v>
      </c>
      <c r="C4" s="34">
        <v>15440000</v>
      </c>
      <c r="D4" s="35">
        <v>1</v>
      </c>
      <c r="E4" s="36">
        <f>C4*D4</f>
        <v>15440000</v>
      </c>
      <c r="F4" s="37" t="e" vm="1">
        <v>#VALUE!</v>
      </c>
      <c r="G4" s="32" t="s">
        <v>23</v>
      </c>
      <c r="H4" s="32" t="s">
        <v>24</v>
      </c>
      <c r="I4" s="20" t="s">
        <v>17</v>
      </c>
      <c r="J4" s="87" t="s">
        <v>25</v>
      </c>
      <c r="K4" s="86" t="s">
        <v>19</v>
      </c>
      <c r="L4" s="82" t="s">
        <v>26</v>
      </c>
      <c r="M4" s="38"/>
      <c r="N4" s="32"/>
      <c r="O4" s="29"/>
      <c r="P4" s="36">
        <v>11163450</v>
      </c>
      <c r="Q4" s="81" t="s">
        <v>17</v>
      </c>
    </row>
    <row r="5" spans="2:50" ht="16.5" customHeight="1" x14ac:dyDescent="0.25">
      <c r="B5" s="14" t="s">
        <v>27</v>
      </c>
      <c r="C5" s="34">
        <v>29200000</v>
      </c>
      <c r="D5" s="35">
        <v>1</v>
      </c>
      <c r="E5" s="36">
        <f>C5*D5</f>
        <v>29200000</v>
      </c>
      <c r="F5" s="37" t="e" vm="2">
        <v>#VALUE!</v>
      </c>
      <c r="G5" s="32" t="s">
        <v>28</v>
      </c>
      <c r="H5" s="32" t="s">
        <v>29</v>
      </c>
      <c r="I5" s="20" t="s">
        <v>17</v>
      </c>
      <c r="J5" s="87" t="s">
        <v>30</v>
      </c>
      <c r="K5" s="86" t="s">
        <v>19</v>
      </c>
      <c r="L5" s="51" t="s">
        <v>31</v>
      </c>
      <c r="M5" s="36">
        <v>175000</v>
      </c>
      <c r="N5" s="46" t="s">
        <v>32</v>
      </c>
      <c r="O5" s="29" t="s">
        <v>21</v>
      </c>
      <c r="P5" s="36" t="s">
        <v>33</v>
      </c>
      <c r="Q5" s="81" t="s">
        <v>17</v>
      </c>
      <c r="U5" s="151" t="s">
        <v>34</v>
      </c>
      <c r="V5" s="151" t="s">
        <v>35</v>
      </c>
      <c r="W5" s="151"/>
      <c r="X5" s="151"/>
      <c r="Y5" s="151"/>
      <c r="AA5" s="151" t="s">
        <v>36</v>
      </c>
      <c r="AB5" s="151" t="s">
        <v>37</v>
      </c>
      <c r="AC5" s="155" t="s">
        <v>38</v>
      </c>
      <c r="AD5" s="155" t="s">
        <v>39</v>
      </c>
      <c r="AE5" s="155" t="s">
        <v>40</v>
      </c>
      <c r="AP5" s="305"/>
    </row>
    <row r="6" spans="2:50" ht="16.5" customHeight="1" x14ac:dyDescent="0.25">
      <c r="B6" s="14" t="s">
        <v>41</v>
      </c>
      <c r="C6" s="34">
        <v>7590000</v>
      </c>
      <c r="D6" s="35">
        <v>1</v>
      </c>
      <c r="E6" s="36">
        <f>C6*D6</f>
        <v>7590000</v>
      </c>
      <c r="F6" s="37" t="e" vm="3">
        <v>#VALUE!</v>
      </c>
      <c r="G6" s="32" t="s">
        <v>42</v>
      </c>
      <c r="H6" s="32" t="s">
        <v>43</v>
      </c>
      <c r="I6" s="20" t="s">
        <v>17</v>
      </c>
      <c r="J6" s="87" t="s">
        <v>44</v>
      </c>
      <c r="K6" s="86" t="s">
        <v>19</v>
      </c>
      <c r="L6" s="82" t="s">
        <v>45</v>
      </c>
      <c r="M6" s="36">
        <v>350000</v>
      </c>
      <c r="N6" s="38" t="s">
        <v>46</v>
      </c>
      <c r="O6" s="29" t="s">
        <v>21</v>
      </c>
      <c r="P6" s="36" t="s">
        <v>47</v>
      </c>
      <c r="Q6" s="81" t="s">
        <v>17</v>
      </c>
      <c r="U6" s="151" t="s">
        <v>48</v>
      </c>
      <c r="V6" s="151" t="s">
        <v>49</v>
      </c>
      <c r="W6" s="151"/>
      <c r="X6" s="151"/>
      <c r="Y6" s="151"/>
      <c r="AA6" s="157" t="s">
        <v>50</v>
      </c>
      <c r="AB6" s="151" t="s">
        <v>51</v>
      </c>
      <c r="AC6" s="308">
        <v>25000000</v>
      </c>
      <c r="AD6" s="151" t="s">
        <v>52</v>
      </c>
      <c r="AE6" s="151">
        <f t="shared" ref="AE6:AE12" si="0">L75</f>
        <v>3</v>
      </c>
      <c r="AP6" s="75"/>
      <c r="AS6" s="309"/>
    </row>
    <row r="7" spans="2:50" ht="16.5" customHeight="1" x14ac:dyDescent="0.25">
      <c r="B7" s="14" t="s">
        <v>53</v>
      </c>
      <c r="C7" s="34">
        <v>3850000</v>
      </c>
      <c r="D7" s="35">
        <v>1</v>
      </c>
      <c r="E7" s="36">
        <f>C7*D7</f>
        <v>3850000</v>
      </c>
      <c r="F7" s="37" t="e" vm="4">
        <v>#VALUE!</v>
      </c>
      <c r="G7" s="32" t="s">
        <v>54</v>
      </c>
      <c r="H7" s="32" t="s">
        <v>55</v>
      </c>
      <c r="I7" s="20" t="s">
        <v>17</v>
      </c>
      <c r="J7" s="87" t="s">
        <v>56</v>
      </c>
      <c r="K7" s="86" t="s">
        <v>19</v>
      </c>
      <c r="L7" s="51" t="s">
        <v>57</v>
      </c>
      <c r="M7" s="36">
        <v>4000000</v>
      </c>
      <c r="N7" s="1">
        <v>5</v>
      </c>
      <c r="O7" s="29" t="s">
        <v>58</v>
      </c>
      <c r="P7" s="36" t="s">
        <v>47</v>
      </c>
      <c r="Q7" s="81" t="s">
        <v>17</v>
      </c>
      <c r="U7" s="151" t="s">
        <v>59</v>
      </c>
      <c r="V7" s="151" t="s">
        <v>60</v>
      </c>
      <c r="W7" s="151"/>
      <c r="X7" s="151"/>
      <c r="Y7" s="151"/>
      <c r="AA7" s="151" t="s">
        <v>61</v>
      </c>
      <c r="AB7" s="151" t="s">
        <v>62</v>
      </c>
      <c r="AC7" s="308">
        <v>18000000</v>
      </c>
      <c r="AD7" s="151" t="s">
        <v>52</v>
      </c>
      <c r="AE7" s="151">
        <f t="shared" si="0"/>
        <v>1</v>
      </c>
      <c r="AP7" s="75"/>
      <c r="AS7" s="309"/>
    </row>
    <row r="8" spans="2:50" ht="16.5" customHeight="1" x14ac:dyDescent="0.25">
      <c r="B8" s="14" t="s">
        <v>63</v>
      </c>
      <c r="C8" s="34">
        <v>3000000</v>
      </c>
      <c r="D8" s="35">
        <v>2</v>
      </c>
      <c r="E8" s="36">
        <f>C8*D8</f>
        <v>6000000</v>
      </c>
      <c r="F8" s="37" t="e" vm="5">
        <v>#VALUE!</v>
      </c>
      <c r="G8" s="32" t="s">
        <v>64</v>
      </c>
      <c r="H8" s="32" t="s">
        <v>446</v>
      </c>
      <c r="I8" s="20" t="s">
        <v>17</v>
      </c>
      <c r="J8" s="87" t="s">
        <v>56</v>
      </c>
      <c r="K8" s="86" t="s">
        <v>19</v>
      </c>
      <c r="L8" s="51" t="s">
        <v>65</v>
      </c>
      <c r="M8" s="36">
        <v>650000</v>
      </c>
      <c r="N8" s="1">
        <v>5</v>
      </c>
      <c r="O8" s="29" t="s">
        <v>66</v>
      </c>
      <c r="P8" s="36" t="s">
        <v>47</v>
      </c>
      <c r="Q8" s="81" t="s">
        <v>17</v>
      </c>
      <c r="U8" s="151"/>
      <c r="V8" s="151"/>
      <c r="W8" s="151"/>
      <c r="X8" s="151"/>
      <c r="Y8" s="151"/>
      <c r="AA8" s="151"/>
      <c r="AB8" s="151" t="s">
        <v>67</v>
      </c>
      <c r="AC8" s="152">
        <v>15000000</v>
      </c>
      <c r="AD8" s="151" t="s">
        <v>52</v>
      </c>
      <c r="AE8" s="151">
        <f t="shared" si="0"/>
        <v>5</v>
      </c>
      <c r="AP8" s="75"/>
      <c r="AS8" s="309"/>
    </row>
    <row r="9" spans="2:50" ht="16.5" customHeight="1" thickBot="1" x14ac:dyDescent="0.3">
      <c r="B9" s="15" t="s">
        <v>68</v>
      </c>
      <c r="C9" s="2"/>
      <c r="D9" s="2"/>
      <c r="E9" s="3">
        <f>SUM(E4:E8)</f>
        <v>62080000</v>
      </c>
      <c r="F9" s="37"/>
      <c r="G9" s="32"/>
      <c r="H9" s="32"/>
      <c r="I9" s="33"/>
      <c r="J9" s="87"/>
      <c r="K9" s="86" t="s">
        <v>19</v>
      </c>
      <c r="L9" s="83" t="s">
        <v>68</v>
      </c>
      <c r="M9" s="84"/>
      <c r="N9" s="84"/>
      <c r="O9" s="84"/>
      <c r="P9" s="85">
        <f>SUM(P3:P8)</f>
        <v>299163450</v>
      </c>
      <c r="Q9" s="65"/>
      <c r="U9" s="151" t="s">
        <v>36</v>
      </c>
      <c r="V9" s="151" t="s">
        <v>37</v>
      </c>
      <c r="W9" s="155" t="s">
        <v>38</v>
      </c>
      <c r="X9" s="151" t="s">
        <v>39</v>
      </c>
      <c r="Y9" s="151"/>
      <c r="AA9" s="151"/>
      <c r="AB9" s="151" t="s">
        <v>69</v>
      </c>
      <c r="AC9" s="152">
        <v>8500000</v>
      </c>
      <c r="AD9" s="151" t="s">
        <v>52</v>
      </c>
      <c r="AE9" s="151">
        <f t="shared" si="0"/>
        <v>4</v>
      </c>
      <c r="AP9" s="75"/>
      <c r="AS9" s="309"/>
    </row>
    <row r="10" spans="2:50" ht="16.5" customHeight="1" x14ac:dyDescent="0.25">
      <c r="B10" s="14"/>
      <c r="C10" s="30"/>
      <c r="D10" s="30"/>
      <c r="E10" s="36"/>
      <c r="F10" s="37"/>
      <c r="G10" s="32"/>
      <c r="H10" s="32"/>
      <c r="I10" s="33"/>
      <c r="J10" s="87"/>
      <c r="K10" s="86" t="s">
        <v>19</v>
      </c>
      <c r="U10" s="157" t="s">
        <v>70</v>
      </c>
      <c r="V10" s="151" t="s">
        <v>35</v>
      </c>
      <c r="W10" s="152">
        <v>75000000</v>
      </c>
      <c r="X10" s="151" t="s">
        <v>52</v>
      </c>
      <c r="Y10" s="151"/>
      <c r="AA10" s="151"/>
      <c r="AB10" s="151" t="s">
        <v>71</v>
      </c>
      <c r="AC10" s="152">
        <v>6500000</v>
      </c>
      <c r="AD10" s="151" t="s">
        <v>52</v>
      </c>
      <c r="AE10" s="151">
        <f t="shared" si="0"/>
        <v>1</v>
      </c>
      <c r="AP10" s="75"/>
      <c r="AS10" s="309"/>
    </row>
    <row r="11" spans="2:50" ht="16.5" customHeight="1" x14ac:dyDescent="0.25">
      <c r="B11" s="13" t="s">
        <v>72</v>
      </c>
      <c r="C11" s="30"/>
      <c r="D11" s="30"/>
      <c r="E11" s="30"/>
      <c r="F11" s="31"/>
      <c r="G11" s="32"/>
      <c r="H11" s="32"/>
      <c r="I11" s="33"/>
      <c r="J11" s="87"/>
      <c r="K11" s="86" t="s">
        <v>19</v>
      </c>
      <c r="U11" s="151" t="s">
        <v>73</v>
      </c>
      <c r="V11" s="151" t="s">
        <v>74</v>
      </c>
      <c r="W11" s="151">
        <v>2</v>
      </c>
      <c r="X11" s="151" t="s">
        <v>75</v>
      </c>
      <c r="Y11" s="151"/>
      <c r="AA11" s="151"/>
      <c r="AB11" s="151" t="s">
        <v>76</v>
      </c>
      <c r="AC11" s="152">
        <v>6000000</v>
      </c>
      <c r="AD11" s="151" t="s">
        <v>52</v>
      </c>
      <c r="AE11" s="151">
        <f t="shared" si="0"/>
        <v>1</v>
      </c>
      <c r="AP11" s="75"/>
      <c r="AS11" s="309"/>
      <c r="AX11" s="309"/>
    </row>
    <row r="12" spans="2:50" ht="16.5" customHeight="1" x14ac:dyDescent="0.25">
      <c r="B12" s="14" t="s">
        <v>77</v>
      </c>
      <c r="C12" s="34">
        <v>35760000</v>
      </c>
      <c r="D12" s="35">
        <v>1</v>
      </c>
      <c r="E12" s="36">
        <f t="shared" ref="E12:E18" si="1">C12*D12</f>
        <v>35760000</v>
      </c>
      <c r="F12" s="37" t="e" vm="6">
        <v>#VALUE!</v>
      </c>
      <c r="G12" s="32" t="s">
        <v>78</v>
      </c>
      <c r="H12" s="32" t="s">
        <v>79</v>
      </c>
      <c r="I12" s="20" t="s">
        <v>17</v>
      </c>
      <c r="J12" s="87" t="s">
        <v>80</v>
      </c>
      <c r="K12" s="86" t="s">
        <v>19</v>
      </c>
      <c r="U12" s="151" t="s">
        <v>81</v>
      </c>
      <c r="V12" s="151"/>
      <c r="W12" s="153">
        <v>0.5</v>
      </c>
      <c r="X12" s="151"/>
      <c r="Y12" s="151"/>
      <c r="AA12" s="151"/>
      <c r="AB12" s="151" t="s">
        <v>82</v>
      </c>
      <c r="AC12" s="152">
        <v>5500000</v>
      </c>
      <c r="AD12" s="151" t="s">
        <v>52</v>
      </c>
      <c r="AE12" s="151">
        <f t="shared" si="0"/>
        <v>8</v>
      </c>
      <c r="AP12" s="75"/>
      <c r="AS12" s="309"/>
    </row>
    <row r="13" spans="2:50" ht="16.5" customHeight="1" x14ac:dyDescent="0.25">
      <c r="B13" s="14" t="s">
        <v>27</v>
      </c>
      <c r="C13" s="34">
        <v>24560000</v>
      </c>
      <c r="D13" s="35">
        <v>1</v>
      </c>
      <c r="E13" s="36">
        <f t="shared" si="1"/>
        <v>24560000</v>
      </c>
      <c r="F13" s="37" t="e" vm="7">
        <v>#VALUE!</v>
      </c>
      <c r="G13" s="32" t="s">
        <v>78</v>
      </c>
      <c r="H13" s="32" t="s">
        <v>83</v>
      </c>
      <c r="I13" s="20" t="s">
        <v>17</v>
      </c>
      <c r="J13" s="232" t="s">
        <v>80</v>
      </c>
      <c r="K13" s="86" t="s">
        <v>19</v>
      </c>
      <c r="L13" s="5" t="s">
        <v>84</v>
      </c>
      <c r="P13" s="5"/>
      <c r="U13" s="151" t="s">
        <v>85</v>
      </c>
      <c r="V13" s="151"/>
      <c r="W13" s="153">
        <v>0.02</v>
      </c>
      <c r="X13" s="151" t="s">
        <v>86</v>
      </c>
      <c r="Y13" s="151"/>
      <c r="AA13" s="151" t="s">
        <v>87</v>
      </c>
      <c r="AB13" s="151"/>
      <c r="AC13" s="153">
        <v>0.03</v>
      </c>
      <c r="AD13" s="151" t="s">
        <v>86</v>
      </c>
      <c r="AE13" s="151"/>
      <c r="AP13" s="75"/>
      <c r="AS13" s="309"/>
    </row>
    <row r="14" spans="2:50" ht="16.5" customHeight="1" x14ac:dyDescent="0.25">
      <c r="B14" s="14" t="s">
        <v>88</v>
      </c>
      <c r="C14" s="34">
        <v>19800000</v>
      </c>
      <c r="D14" s="35">
        <v>1</v>
      </c>
      <c r="E14" s="36">
        <f t="shared" si="1"/>
        <v>19800000</v>
      </c>
      <c r="F14" s="37" t="e" vm="8">
        <v>#VALUE!</v>
      </c>
      <c r="G14" s="32" t="s">
        <v>89</v>
      </c>
      <c r="H14" s="32" t="s">
        <v>447</v>
      </c>
      <c r="I14" s="20" t="s">
        <v>17</v>
      </c>
      <c r="J14" s="87" t="s">
        <v>90</v>
      </c>
      <c r="K14" s="86" t="s">
        <v>19</v>
      </c>
      <c r="L14" s="1" t="s">
        <v>91</v>
      </c>
      <c r="O14" s="77"/>
      <c r="AA14" s="267" t="s">
        <v>362</v>
      </c>
      <c r="AB14" s="362" t="s">
        <v>168</v>
      </c>
      <c r="AC14" s="268">
        <v>1</v>
      </c>
      <c r="AD14" s="268">
        <v>2</v>
      </c>
      <c r="AE14" s="268">
        <v>3</v>
      </c>
      <c r="AF14" s="268">
        <v>4</v>
      </c>
      <c r="AG14" s="268">
        <v>5</v>
      </c>
      <c r="AH14" s="268">
        <v>6</v>
      </c>
      <c r="AI14" s="268">
        <v>7</v>
      </c>
      <c r="AJ14" s="268">
        <v>8</v>
      </c>
      <c r="AK14" s="269">
        <v>9</v>
      </c>
      <c r="AL14" s="364" t="s">
        <v>363</v>
      </c>
      <c r="AP14" s="75"/>
      <c r="AS14" s="309"/>
    </row>
    <row r="15" spans="2:50" ht="16.5" customHeight="1" x14ac:dyDescent="0.25">
      <c r="B15" s="14" t="s">
        <v>92</v>
      </c>
      <c r="C15" s="34">
        <v>16390000</v>
      </c>
      <c r="D15" s="35">
        <v>1</v>
      </c>
      <c r="E15" s="36">
        <f t="shared" si="1"/>
        <v>16390000</v>
      </c>
      <c r="F15" s="37" t="e" vm="9">
        <v>#VALUE!</v>
      </c>
      <c r="G15" s="32" t="s">
        <v>93</v>
      </c>
      <c r="H15" s="32" t="s">
        <v>94</v>
      </c>
      <c r="I15" s="21" t="s">
        <v>17</v>
      </c>
      <c r="J15" s="87" t="s">
        <v>95</v>
      </c>
      <c r="K15" s="86" t="s">
        <v>19</v>
      </c>
      <c r="L15" s="1" t="s">
        <v>96</v>
      </c>
      <c r="M15" s="92">
        <v>0.35</v>
      </c>
      <c r="N15" s="1" t="s">
        <v>97</v>
      </c>
      <c r="Q15" s="92"/>
      <c r="AA15" s="272" t="s">
        <v>364</v>
      </c>
      <c r="AB15" s="363"/>
      <c r="AC15" s="310">
        <v>0.65</v>
      </c>
      <c r="AD15" s="270">
        <v>0.68</v>
      </c>
      <c r="AE15" s="270">
        <v>0.7</v>
      </c>
      <c r="AF15" s="270">
        <v>0.8</v>
      </c>
      <c r="AG15" s="270">
        <v>0.8</v>
      </c>
      <c r="AH15" s="270">
        <v>0.8</v>
      </c>
      <c r="AI15" s="270">
        <v>0.95</v>
      </c>
      <c r="AJ15" s="270">
        <v>0.95</v>
      </c>
      <c r="AK15" s="271">
        <v>0.95</v>
      </c>
      <c r="AL15" s="364"/>
      <c r="AP15" s="75"/>
      <c r="AS15" s="309"/>
    </row>
    <row r="16" spans="2:50" ht="16.5" customHeight="1" x14ac:dyDescent="0.25">
      <c r="B16" s="14" t="s">
        <v>101</v>
      </c>
      <c r="C16" s="34">
        <v>1190000</v>
      </c>
      <c r="D16" s="35">
        <v>1</v>
      </c>
      <c r="E16" s="36">
        <f t="shared" si="1"/>
        <v>1190000</v>
      </c>
      <c r="F16" s="37" t="e" vm="10">
        <v>#VALUE!</v>
      </c>
      <c r="G16" s="32" t="s">
        <v>42</v>
      </c>
      <c r="H16" s="32" t="s">
        <v>102</v>
      </c>
      <c r="I16" s="20" t="s">
        <v>17</v>
      </c>
      <c r="J16" s="87" t="s">
        <v>443</v>
      </c>
      <c r="K16" s="86" t="s">
        <v>19</v>
      </c>
      <c r="L16" s="1" t="s">
        <v>103</v>
      </c>
      <c r="M16" s="92">
        <f>1-M15</f>
        <v>0.65</v>
      </c>
      <c r="Q16" s="92"/>
      <c r="AP16" s="75"/>
      <c r="AS16" s="309"/>
    </row>
    <row r="17" spans="2:45" ht="16.5" customHeight="1" x14ac:dyDescent="0.25">
      <c r="B17" s="14" t="s">
        <v>106</v>
      </c>
      <c r="C17" s="34">
        <v>7180000</v>
      </c>
      <c r="D17" s="35">
        <v>1</v>
      </c>
      <c r="E17" s="36">
        <f t="shared" si="1"/>
        <v>7180000</v>
      </c>
      <c r="F17" s="37" t="e" vm="11">
        <v>#VALUE!</v>
      </c>
      <c r="G17" s="32" t="s">
        <v>107</v>
      </c>
      <c r="H17" s="32" t="s">
        <v>444</v>
      </c>
      <c r="I17" s="20" t="s">
        <v>17</v>
      </c>
      <c r="J17" s="87" t="s">
        <v>445</v>
      </c>
      <c r="K17" s="86" t="s">
        <v>19</v>
      </c>
      <c r="L17" s="124" t="s">
        <v>108</v>
      </c>
      <c r="M17" s="126">
        <v>6.6000000000000003E-2</v>
      </c>
      <c r="N17" s="1" t="s">
        <v>109</v>
      </c>
      <c r="P17" s="146"/>
      <c r="Q17" s="147"/>
      <c r="U17" s="157" t="s">
        <v>98</v>
      </c>
      <c r="V17" s="151" t="s">
        <v>35</v>
      </c>
      <c r="W17" s="152">
        <v>299163450</v>
      </c>
      <c r="X17" s="151" t="s">
        <v>99</v>
      </c>
      <c r="Y17" s="151"/>
      <c r="AA17" s="157" t="s">
        <v>100</v>
      </c>
      <c r="AB17" s="151" t="s">
        <v>91</v>
      </c>
      <c r="AC17" s="152">
        <f>SUM(W17,W18)+W10*2</f>
        <v>1197534850</v>
      </c>
      <c r="AD17" s="151"/>
      <c r="AE17" s="151"/>
      <c r="AP17" s="75"/>
      <c r="AS17" s="309"/>
    </row>
    <row r="18" spans="2:45" ht="16.5" customHeight="1" thickBot="1" x14ac:dyDescent="0.3">
      <c r="B18" s="14" t="s">
        <v>63</v>
      </c>
      <c r="C18" s="34">
        <v>3000000</v>
      </c>
      <c r="D18" s="35">
        <v>2</v>
      </c>
      <c r="E18" s="36">
        <f t="shared" si="1"/>
        <v>6000000</v>
      </c>
      <c r="F18" s="37" t="e" vm="5">
        <v>#VALUE!</v>
      </c>
      <c r="G18" s="32" t="s">
        <v>64</v>
      </c>
      <c r="H18" s="32" t="s">
        <v>446</v>
      </c>
      <c r="I18" s="20" t="s">
        <v>17</v>
      </c>
      <c r="J18" s="87" t="s">
        <v>56</v>
      </c>
      <c r="K18" s="86" t="s">
        <v>19</v>
      </c>
      <c r="U18" s="151" t="s">
        <v>104</v>
      </c>
      <c r="V18" s="151" t="s">
        <v>35</v>
      </c>
      <c r="W18" s="152">
        <v>748371400</v>
      </c>
      <c r="X18" s="151" t="s">
        <v>99</v>
      </c>
      <c r="Y18" s="151"/>
      <c r="AA18" s="151"/>
      <c r="AB18" s="151" t="s">
        <v>96</v>
      </c>
      <c r="AC18" s="153">
        <v>0.35</v>
      </c>
      <c r="AD18" s="151" t="s">
        <v>105</v>
      </c>
      <c r="AE18" s="151"/>
      <c r="AP18" s="75"/>
      <c r="AS18" s="309"/>
    </row>
    <row r="19" spans="2:45" ht="16.5" customHeight="1" x14ac:dyDescent="0.25">
      <c r="B19" s="15" t="s">
        <v>68</v>
      </c>
      <c r="C19" s="2"/>
      <c r="D19" s="2"/>
      <c r="E19" s="3">
        <f>SUM(E12:E18)</f>
        <v>110880000</v>
      </c>
      <c r="F19" s="36"/>
      <c r="G19" s="32"/>
      <c r="H19" s="32"/>
      <c r="I19" s="33"/>
      <c r="J19" s="87"/>
      <c r="K19" s="86" t="s">
        <v>19</v>
      </c>
      <c r="L19" s="47" t="s">
        <v>113</v>
      </c>
      <c r="M19" s="121">
        <v>2.9000000000000001E-2</v>
      </c>
      <c r="N19" s="49" t="s">
        <v>114</v>
      </c>
      <c r="Q19" s="113"/>
      <c r="U19" s="151" t="s">
        <v>110</v>
      </c>
      <c r="V19" s="151"/>
      <c r="W19" s="151">
        <v>15</v>
      </c>
      <c r="X19" s="151" t="s">
        <v>111</v>
      </c>
      <c r="Y19" s="151"/>
      <c r="AA19" s="151"/>
      <c r="AB19" s="151" t="s">
        <v>103</v>
      </c>
      <c r="AC19" s="153">
        <f>1-AC18</f>
        <v>0.65</v>
      </c>
      <c r="AD19" s="151"/>
      <c r="AE19" s="151"/>
      <c r="AP19" s="75"/>
      <c r="AS19" s="309"/>
    </row>
    <row r="20" spans="2:45" ht="16.5" customHeight="1" x14ac:dyDescent="0.25">
      <c r="B20" s="14"/>
      <c r="C20" s="30"/>
      <c r="D20" s="30"/>
      <c r="E20" s="36"/>
      <c r="F20" s="36"/>
      <c r="G20" s="32"/>
      <c r="H20" s="32"/>
      <c r="I20" s="33"/>
      <c r="J20" s="87"/>
      <c r="K20" s="86" t="s">
        <v>19</v>
      </c>
      <c r="L20" s="51" t="s">
        <v>118</v>
      </c>
      <c r="M20" s="113">
        <v>7.4999999999999997E-2</v>
      </c>
      <c r="N20" s="122" t="s">
        <v>119</v>
      </c>
      <c r="Q20" s="113"/>
      <c r="R20" s="148"/>
      <c r="U20" s="151"/>
      <c r="V20" s="151"/>
      <c r="W20" s="151"/>
      <c r="X20" s="151"/>
      <c r="Y20" s="151"/>
      <c r="AA20" s="151"/>
      <c r="AB20" s="151" t="s">
        <v>108</v>
      </c>
      <c r="AC20" s="156">
        <v>0.105</v>
      </c>
      <c r="AD20" s="151" t="s">
        <v>86</v>
      </c>
      <c r="AE20" s="304">
        <f>6.6%+AC28+6.6%*AC28</f>
        <v>0.10469580000000001</v>
      </c>
      <c r="AP20" s="75"/>
      <c r="AS20" s="309"/>
    </row>
    <row r="21" spans="2:45" ht="16.5" customHeight="1" x14ac:dyDescent="0.25">
      <c r="B21" s="13" t="s">
        <v>123</v>
      </c>
      <c r="C21" s="30"/>
      <c r="D21" s="30"/>
      <c r="E21" s="30"/>
      <c r="F21" s="35"/>
      <c r="G21" s="32"/>
      <c r="H21" s="32"/>
      <c r="I21" s="33"/>
      <c r="J21" s="87"/>
      <c r="K21" s="86" t="s">
        <v>19</v>
      </c>
      <c r="L21" s="51" t="s">
        <v>124</v>
      </c>
      <c r="M21">
        <v>0.97</v>
      </c>
      <c r="N21" s="62" t="s">
        <v>125</v>
      </c>
      <c r="U21" s="157" t="s">
        <v>115</v>
      </c>
      <c r="V21" s="151"/>
      <c r="W21" s="151"/>
      <c r="X21" s="151"/>
      <c r="Y21" s="151"/>
      <c r="AA21" s="151"/>
      <c r="AB21" s="151" t="s">
        <v>116</v>
      </c>
      <c r="AC21" s="151">
        <v>4</v>
      </c>
      <c r="AD21" s="151" t="s">
        <v>117</v>
      </c>
      <c r="AE21" s="151"/>
      <c r="AP21" s="75"/>
      <c r="AS21" s="309"/>
    </row>
    <row r="22" spans="2:45" ht="16.5" customHeight="1" thickBot="1" x14ac:dyDescent="0.3">
      <c r="B22" s="14" t="s">
        <v>126</v>
      </c>
      <c r="C22" s="34">
        <v>71520000</v>
      </c>
      <c r="D22" s="35">
        <v>1</v>
      </c>
      <c r="E22" s="36">
        <f>C22*D22</f>
        <v>71520000</v>
      </c>
      <c r="F22" s="37" t="e" vm="6">
        <v>#VALUE!</v>
      </c>
      <c r="G22" s="32" t="s">
        <v>78</v>
      </c>
      <c r="H22" s="32" t="s">
        <v>79</v>
      </c>
      <c r="I22" s="20" t="s">
        <v>17</v>
      </c>
      <c r="J22" s="87" t="s">
        <v>80</v>
      </c>
      <c r="K22" s="86" t="s">
        <v>19</v>
      </c>
      <c r="L22" s="26" t="s">
        <v>127</v>
      </c>
      <c r="M22" s="123">
        <f>M19+(M20-M19)*M21</f>
        <v>7.3620000000000005E-2</v>
      </c>
      <c r="N22" s="65"/>
      <c r="P22" s="5"/>
      <c r="Q22" s="149"/>
      <c r="U22" s="151" t="s">
        <v>120</v>
      </c>
      <c r="V22" s="151" t="s">
        <v>121</v>
      </c>
      <c r="W22" s="151">
        <v>1</v>
      </c>
      <c r="X22" s="151" t="s">
        <v>122</v>
      </c>
      <c r="Y22" s="151"/>
      <c r="AA22" s="151"/>
      <c r="AB22" s="151" t="s">
        <v>113</v>
      </c>
      <c r="AC22" s="154">
        <v>2.9000000000000001E-2</v>
      </c>
      <c r="AD22" s="151" t="s">
        <v>86</v>
      </c>
      <c r="AE22" s="151"/>
      <c r="AP22" s="75"/>
      <c r="AS22" s="309"/>
    </row>
    <row r="23" spans="2:45" ht="16.5" customHeight="1" x14ac:dyDescent="0.25">
      <c r="B23" s="14" t="s">
        <v>129</v>
      </c>
      <c r="C23" s="34">
        <v>41326000</v>
      </c>
      <c r="D23" s="35">
        <v>2</v>
      </c>
      <c r="E23" s="36">
        <f>C23*D23</f>
        <v>82652000</v>
      </c>
      <c r="F23" s="37" t="e" vm="12">
        <v>#VALUE!</v>
      </c>
      <c r="G23" s="32" t="s">
        <v>130</v>
      </c>
      <c r="H23" s="32" t="s">
        <v>131</v>
      </c>
      <c r="I23" s="20" t="s">
        <v>17</v>
      </c>
      <c r="J23" s="87" t="s">
        <v>448</v>
      </c>
      <c r="K23" s="86" t="s">
        <v>19</v>
      </c>
      <c r="U23" s="151"/>
      <c r="V23" s="151" t="s">
        <v>35</v>
      </c>
      <c r="W23" s="152">
        <v>18000000</v>
      </c>
      <c r="X23" s="151" t="s">
        <v>52</v>
      </c>
      <c r="Y23" s="151"/>
      <c r="AA23" s="151"/>
      <c r="AB23" s="151" t="s">
        <v>118</v>
      </c>
      <c r="AC23" s="154">
        <v>7.4999999999999997E-2</v>
      </c>
      <c r="AD23" s="151" t="s">
        <v>86</v>
      </c>
      <c r="AE23" s="151"/>
      <c r="AP23" s="75"/>
      <c r="AS23" s="309"/>
    </row>
    <row r="24" spans="2:45" ht="16.5" customHeight="1" x14ac:dyDescent="0.25">
      <c r="B24" s="14" t="s">
        <v>132</v>
      </c>
      <c r="C24" s="34">
        <v>5200000</v>
      </c>
      <c r="D24" s="35">
        <v>1</v>
      </c>
      <c r="E24" s="36">
        <f>C24*D24</f>
        <v>5200000</v>
      </c>
      <c r="F24" s="37" t="e" vm="13">
        <v>#VALUE!</v>
      </c>
      <c r="G24" s="32" t="s">
        <v>133</v>
      </c>
      <c r="H24" s="32"/>
      <c r="I24" s="20" t="s">
        <v>17</v>
      </c>
      <c r="J24" s="87" t="s">
        <v>449</v>
      </c>
      <c r="K24" s="86" t="s">
        <v>19</v>
      </c>
      <c r="U24" s="151" t="s">
        <v>128</v>
      </c>
      <c r="V24" s="151" t="s">
        <v>121</v>
      </c>
      <c r="W24" s="151">
        <v>2</v>
      </c>
      <c r="X24" s="151" t="s">
        <v>122</v>
      </c>
      <c r="Y24" s="151"/>
      <c r="AA24" s="151"/>
      <c r="AB24" s="151" t="s">
        <v>124</v>
      </c>
      <c r="AC24" s="151">
        <v>0.97</v>
      </c>
      <c r="AD24" s="151"/>
      <c r="AE24" s="151"/>
      <c r="AP24" s="75"/>
      <c r="AS24" s="309"/>
    </row>
    <row r="25" spans="2:45" ht="16.5" customHeight="1" x14ac:dyDescent="0.25">
      <c r="B25" s="14" t="s">
        <v>136</v>
      </c>
      <c r="C25" s="34">
        <v>44060000</v>
      </c>
      <c r="D25" s="35">
        <v>2</v>
      </c>
      <c r="E25" s="36">
        <f>C25*D25</f>
        <v>88120000</v>
      </c>
      <c r="F25" s="37" t="e" vm="14">
        <v>#VALUE!</v>
      </c>
      <c r="G25" s="32" t="s">
        <v>137</v>
      </c>
      <c r="H25" s="32" t="s">
        <v>138</v>
      </c>
      <c r="I25" s="20" t="s">
        <v>17</v>
      </c>
      <c r="J25" s="87" t="s">
        <v>450</v>
      </c>
      <c r="K25" s="86" t="s">
        <v>19</v>
      </c>
      <c r="L25" s="124" t="s">
        <v>135</v>
      </c>
      <c r="M25" s="125">
        <f>M15*M17+M16*M22</f>
        <v>7.0953000000000002E-2</v>
      </c>
      <c r="P25" s="146"/>
      <c r="Q25" s="150"/>
      <c r="U25" s="151"/>
      <c r="V25" s="151" t="s">
        <v>35</v>
      </c>
      <c r="W25" s="152">
        <v>10000000</v>
      </c>
      <c r="X25" s="151" t="s">
        <v>52</v>
      </c>
      <c r="Y25" s="151"/>
      <c r="AA25" s="151"/>
      <c r="AB25" s="151" t="s">
        <v>127</v>
      </c>
      <c r="AC25" s="154">
        <f>AC22+(AC23-AC22)*AC24</f>
        <v>7.3620000000000005E-2</v>
      </c>
      <c r="AD25" s="151"/>
      <c r="AE25" s="151"/>
      <c r="AP25" s="75"/>
      <c r="AS25" s="309"/>
    </row>
    <row r="26" spans="2:45" ht="16.5" customHeight="1" x14ac:dyDescent="0.25">
      <c r="B26" s="14" t="s">
        <v>139</v>
      </c>
      <c r="C26" s="34">
        <v>10990000</v>
      </c>
      <c r="D26" s="35">
        <v>1</v>
      </c>
      <c r="E26" s="36">
        <f>C26*D26</f>
        <v>10990000</v>
      </c>
      <c r="F26" s="37" t="e" vm="15">
        <v>#VALUE!</v>
      </c>
      <c r="G26" s="32" t="s">
        <v>140</v>
      </c>
      <c r="H26" s="32"/>
      <c r="I26" s="20" t="s">
        <v>17</v>
      </c>
      <c r="J26" s="87" t="s">
        <v>451</v>
      </c>
      <c r="K26" s="86" t="s">
        <v>19</v>
      </c>
      <c r="U26" s="151" t="s">
        <v>134</v>
      </c>
      <c r="V26" s="151" t="s">
        <v>121</v>
      </c>
      <c r="W26" s="151">
        <v>2</v>
      </c>
      <c r="X26" s="151" t="s">
        <v>122</v>
      </c>
      <c r="Y26" s="151"/>
      <c r="AA26" s="151"/>
      <c r="AB26" s="151" t="s">
        <v>135</v>
      </c>
      <c r="AC26" s="154">
        <f>AC18*AC20+AC19*AC25</f>
        <v>8.4603000000000012E-2</v>
      </c>
      <c r="AD26" s="151"/>
      <c r="AE26" s="151"/>
    </row>
    <row r="27" spans="2:45" ht="16.5" customHeight="1" x14ac:dyDescent="0.25">
      <c r="B27" s="15" t="s">
        <v>68</v>
      </c>
      <c r="C27" s="2"/>
      <c r="D27" s="2"/>
      <c r="E27" s="3">
        <f>SUM(E22:E26)</f>
        <v>258482000</v>
      </c>
      <c r="F27" s="37"/>
      <c r="G27" s="32"/>
      <c r="H27" s="32"/>
      <c r="I27" s="33"/>
      <c r="J27" s="87"/>
      <c r="K27" s="86" t="s">
        <v>19</v>
      </c>
      <c r="U27" s="151"/>
      <c r="V27" s="151" t="s">
        <v>35</v>
      </c>
      <c r="W27" s="152">
        <v>5000000</v>
      </c>
      <c r="X27" s="151" t="s">
        <v>52</v>
      </c>
      <c r="Y27" s="151"/>
      <c r="AA27" s="151"/>
      <c r="AB27" s="151"/>
      <c r="AC27" s="151"/>
      <c r="AD27" s="151"/>
      <c r="AE27" s="151"/>
    </row>
    <row r="28" spans="2:45" ht="16.5" customHeight="1" x14ac:dyDescent="0.25">
      <c r="B28" s="14"/>
      <c r="C28" s="30"/>
      <c r="D28" s="30"/>
      <c r="E28" s="36"/>
      <c r="F28" s="37"/>
      <c r="G28" s="32"/>
      <c r="H28" s="32"/>
      <c r="I28" s="33"/>
      <c r="J28" s="87"/>
      <c r="K28" s="86" t="s">
        <v>19</v>
      </c>
      <c r="L28" s="176" t="s">
        <v>144</v>
      </c>
      <c r="M28" s="172"/>
      <c r="N28" s="172"/>
      <c r="U28" s="151" t="s">
        <v>141</v>
      </c>
      <c r="V28" s="151" t="s">
        <v>121</v>
      </c>
      <c r="W28" s="151">
        <v>2</v>
      </c>
      <c r="X28" s="151" t="s">
        <v>122</v>
      </c>
      <c r="Y28" s="151"/>
      <c r="AA28" s="157" t="s">
        <v>142</v>
      </c>
      <c r="AB28" s="151"/>
      <c r="AC28" s="154">
        <v>3.6299999999999999E-2</v>
      </c>
      <c r="AD28" s="151" t="s">
        <v>86</v>
      </c>
      <c r="AE28" s="151"/>
    </row>
    <row r="29" spans="2:45" ht="16.5" customHeight="1" x14ac:dyDescent="0.25">
      <c r="B29" s="13" t="s">
        <v>146</v>
      </c>
      <c r="C29" s="30"/>
      <c r="D29" s="30"/>
      <c r="E29" s="30"/>
      <c r="F29" s="31"/>
      <c r="G29" s="32"/>
      <c r="H29" s="32"/>
      <c r="I29" s="33"/>
      <c r="J29" s="87"/>
      <c r="K29" s="86" t="s">
        <v>19</v>
      </c>
      <c r="L29" s="175" t="s">
        <v>147</v>
      </c>
      <c r="M29" s="173">
        <v>0.2</v>
      </c>
      <c r="N29" s="174" t="s">
        <v>17</v>
      </c>
      <c r="U29" s="151"/>
      <c r="V29" s="151" t="s">
        <v>35</v>
      </c>
      <c r="W29" s="152">
        <v>7000000</v>
      </c>
      <c r="X29" s="151" t="s">
        <v>52</v>
      </c>
      <c r="Y29" s="151"/>
      <c r="AA29" s="157" t="s">
        <v>143</v>
      </c>
      <c r="AB29" s="151"/>
      <c r="AC29" s="153">
        <v>0.2</v>
      </c>
      <c r="AD29" s="151" t="s">
        <v>86</v>
      </c>
      <c r="AE29" s="151"/>
    </row>
    <row r="30" spans="2:45" ht="16.5" customHeight="1" x14ac:dyDescent="0.25">
      <c r="B30" s="14" t="s">
        <v>150</v>
      </c>
      <c r="C30" s="34">
        <v>39960000</v>
      </c>
      <c r="D30" s="35">
        <v>2</v>
      </c>
      <c r="E30" s="36">
        <f>C30*D30</f>
        <v>79920000</v>
      </c>
      <c r="F30" s="37" t="e" vm="16">
        <v>#VALUE!</v>
      </c>
      <c r="G30" s="32" t="s">
        <v>78</v>
      </c>
      <c r="H30" s="32" t="s">
        <v>151</v>
      </c>
      <c r="I30" s="20" t="s">
        <v>17</v>
      </c>
      <c r="J30" s="87" t="s">
        <v>453</v>
      </c>
      <c r="K30" s="86" t="s">
        <v>19</v>
      </c>
      <c r="U30" s="151"/>
      <c r="V30" s="151"/>
      <c r="W30" s="151"/>
      <c r="X30" s="151"/>
      <c r="Y30" s="151"/>
      <c r="AA30" s="151" t="s">
        <v>145</v>
      </c>
      <c r="AB30" s="151"/>
      <c r="AC30" s="151"/>
      <c r="AD30" s="151"/>
      <c r="AE30" s="151"/>
    </row>
    <row r="31" spans="2:45" ht="16.5" customHeight="1" x14ac:dyDescent="0.25">
      <c r="B31" s="14" t="s">
        <v>129</v>
      </c>
      <c r="C31" s="34">
        <v>41326000</v>
      </c>
      <c r="D31" s="35">
        <v>2</v>
      </c>
      <c r="E31" s="36">
        <f>C31*D31</f>
        <v>82652000</v>
      </c>
      <c r="F31" s="37" t="e" vm="12">
        <v>#VALUE!</v>
      </c>
      <c r="G31" s="32" t="s">
        <v>130</v>
      </c>
      <c r="H31" s="32" t="s">
        <v>131</v>
      </c>
      <c r="I31" s="20" t="s">
        <v>17</v>
      </c>
      <c r="J31" s="87" t="s">
        <v>448</v>
      </c>
      <c r="K31" s="86" t="s">
        <v>19</v>
      </c>
      <c r="U31" s="157" t="s">
        <v>148</v>
      </c>
      <c r="V31" s="151" t="s">
        <v>149</v>
      </c>
      <c r="W31" s="152">
        <v>143194000</v>
      </c>
      <c r="X31" s="151" t="s">
        <v>86</v>
      </c>
      <c r="Y31" s="151"/>
    </row>
    <row r="32" spans="2:45" ht="16.5" customHeight="1" x14ac:dyDescent="0.25">
      <c r="B32" s="14" t="s">
        <v>132</v>
      </c>
      <c r="C32" s="34">
        <v>22800000</v>
      </c>
      <c r="D32" s="35">
        <v>2</v>
      </c>
      <c r="E32" s="36">
        <f>C32*D32</f>
        <v>45600000</v>
      </c>
      <c r="F32" s="37" t="e" vm="17">
        <v>#VALUE!</v>
      </c>
      <c r="G32" s="32" t="s">
        <v>154</v>
      </c>
      <c r="H32" s="32" t="s">
        <v>155</v>
      </c>
      <c r="I32" s="20" t="s">
        <v>17</v>
      </c>
      <c r="J32" s="87" t="s">
        <v>454</v>
      </c>
      <c r="K32" s="86" t="s">
        <v>19</v>
      </c>
      <c r="U32" s="151" t="s">
        <v>152</v>
      </c>
      <c r="V32" s="151" t="s">
        <v>60</v>
      </c>
      <c r="W32" s="153">
        <v>0.3</v>
      </c>
      <c r="X32" s="151" t="s">
        <v>153</v>
      </c>
      <c r="Y32" s="151"/>
    </row>
    <row r="33" spans="2:32" ht="16.5" customHeight="1" x14ac:dyDescent="0.25">
      <c r="B33" s="14" t="s">
        <v>159</v>
      </c>
      <c r="C33" s="34">
        <v>38491200</v>
      </c>
      <c r="D33" s="35">
        <v>2</v>
      </c>
      <c r="E33" s="36">
        <f>C33*D33</f>
        <v>76982400</v>
      </c>
      <c r="F33" s="37" t="e" vm="18">
        <v>#VALUE!</v>
      </c>
      <c r="G33" s="32" t="s">
        <v>160</v>
      </c>
      <c r="H33" s="32" t="s">
        <v>161</v>
      </c>
      <c r="I33" s="20" t="s">
        <v>17</v>
      </c>
      <c r="J33" s="87" t="s">
        <v>162</v>
      </c>
      <c r="K33" s="86" t="s">
        <v>19</v>
      </c>
      <c r="U33" s="151"/>
      <c r="V33" s="151"/>
      <c r="W33" s="151"/>
      <c r="X33" s="151"/>
      <c r="Y33" s="151"/>
    </row>
    <row r="34" spans="2:32" ht="16.5" customHeight="1" x14ac:dyDescent="0.25">
      <c r="B34" s="14" t="s">
        <v>63</v>
      </c>
      <c r="C34" s="34">
        <v>3000000</v>
      </c>
      <c r="D34" s="35">
        <v>6</v>
      </c>
      <c r="E34" s="36">
        <f>C34*D34</f>
        <v>18000000</v>
      </c>
      <c r="F34" s="37" t="e" vm="5">
        <v>#VALUE!</v>
      </c>
      <c r="G34" s="32" t="s">
        <v>64</v>
      </c>
      <c r="H34" s="32" t="s">
        <v>446</v>
      </c>
      <c r="I34" s="20" t="s">
        <v>17</v>
      </c>
      <c r="J34" s="87" t="s">
        <v>112</v>
      </c>
      <c r="K34" s="86" t="s">
        <v>19</v>
      </c>
      <c r="U34" s="157" t="s">
        <v>156</v>
      </c>
      <c r="V34" s="151" t="s">
        <v>157</v>
      </c>
      <c r="W34" s="153">
        <v>0.04</v>
      </c>
      <c r="X34" s="151" t="s">
        <v>158</v>
      </c>
      <c r="Y34" s="151"/>
    </row>
    <row r="35" spans="2:32" ht="16.5" customHeight="1" x14ac:dyDescent="0.25">
      <c r="B35" s="15" t="s">
        <v>68</v>
      </c>
      <c r="C35" s="2"/>
      <c r="D35" s="2"/>
      <c r="E35" s="3">
        <f>SUM(E30:E34)</f>
        <v>303154400</v>
      </c>
      <c r="F35" s="37"/>
      <c r="G35" s="32"/>
      <c r="H35" s="32"/>
      <c r="I35" s="38"/>
      <c r="J35" s="87"/>
      <c r="K35" s="86" t="s">
        <v>19</v>
      </c>
      <c r="U35" s="151"/>
      <c r="V35" s="151" t="s">
        <v>163</v>
      </c>
      <c r="W35" s="154">
        <v>3.0000000000000001E-3</v>
      </c>
      <c r="X35" s="151" t="s">
        <v>158</v>
      </c>
      <c r="Y35" s="151"/>
    </row>
    <row r="36" spans="2:32" ht="16.5" customHeight="1" x14ac:dyDescent="0.25">
      <c r="B36" s="14"/>
      <c r="C36" s="30"/>
      <c r="D36" s="30"/>
      <c r="E36" s="36"/>
      <c r="F36" s="37"/>
      <c r="G36" s="32"/>
      <c r="H36" s="32"/>
      <c r="I36" s="38"/>
      <c r="J36" s="87"/>
      <c r="K36" s="86" t="s">
        <v>19</v>
      </c>
    </row>
    <row r="37" spans="2:32" ht="16.5" customHeight="1" x14ac:dyDescent="0.25">
      <c r="B37" s="13" t="s">
        <v>164</v>
      </c>
      <c r="C37" s="30"/>
      <c r="D37" s="30"/>
      <c r="E37" s="36"/>
      <c r="F37" s="37"/>
      <c r="G37" s="32"/>
      <c r="H37" s="32"/>
      <c r="I37" s="38"/>
      <c r="J37" s="87"/>
      <c r="K37" s="86" t="s">
        <v>19</v>
      </c>
      <c r="U37" s="204" t="s">
        <v>165</v>
      </c>
      <c r="V37" s="205"/>
      <c r="W37" s="206"/>
      <c r="X37" s="205"/>
      <c r="Y37" s="205"/>
      <c r="Z37" s="205"/>
      <c r="AA37" s="205"/>
      <c r="AB37" s="205"/>
      <c r="AC37" s="205"/>
      <c r="AD37" s="205"/>
      <c r="AE37" s="205"/>
    </row>
    <row r="38" spans="2:32" ht="16.5" customHeight="1" x14ac:dyDescent="0.25">
      <c r="B38" s="14" t="s">
        <v>166</v>
      </c>
      <c r="C38" s="34">
        <v>4275000</v>
      </c>
      <c r="D38" s="30">
        <v>1</v>
      </c>
      <c r="E38" s="36">
        <f>C38*D38</f>
        <v>4275000</v>
      </c>
      <c r="F38" s="37" t="e" vm="19">
        <v>#VALUE!</v>
      </c>
      <c r="G38" s="32" t="s">
        <v>167</v>
      </c>
      <c r="H38" s="32" t="s">
        <v>452</v>
      </c>
      <c r="I38" s="20" t="s">
        <v>17</v>
      </c>
      <c r="J38" s="87" t="s">
        <v>456</v>
      </c>
      <c r="K38" s="86" t="s">
        <v>19</v>
      </c>
      <c r="U38" s="201" t="s">
        <v>168</v>
      </c>
      <c r="V38" s="202">
        <v>0</v>
      </c>
      <c r="W38" s="202">
        <v>1</v>
      </c>
      <c r="X38" s="202">
        <v>2</v>
      </c>
      <c r="Y38" s="202">
        <v>3</v>
      </c>
      <c r="Z38" s="202">
        <v>4</v>
      </c>
      <c r="AA38" s="202">
        <v>5</v>
      </c>
      <c r="AB38" s="202">
        <v>6</v>
      </c>
      <c r="AC38" s="202">
        <v>7</v>
      </c>
      <c r="AD38" s="202">
        <v>8</v>
      </c>
      <c r="AE38" s="202">
        <v>9</v>
      </c>
      <c r="AF38" s="202">
        <v>10</v>
      </c>
    </row>
    <row r="39" spans="2:32" ht="16.5" customHeight="1" x14ac:dyDescent="0.25">
      <c r="B39" s="14" t="s">
        <v>169</v>
      </c>
      <c r="C39" s="34">
        <v>1900000</v>
      </c>
      <c r="D39" s="1">
        <v>5</v>
      </c>
      <c r="E39" s="36">
        <f>C39*D39</f>
        <v>9500000</v>
      </c>
      <c r="F39" s="37" t="e" vm="20">
        <v>#VALUE!</v>
      </c>
      <c r="G39" s="32" t="s">
        <v>170</v>
      </c>
      <c r="H39" s="32" t="s">
        <v>171</v>
      </c>
      <c r="I39" s="20" t="s">
        <v>17</v>
      </c>
      <c r="J39" s="87" t="s">
        <v>455</v>
      </c>
      <c r="K39" s="86" t="s">
        <v>19</v>
      </c>
      <c r="U39" s="178" t="s">
        <v>172</v>
      </c>
      <c r="V39" s="179">
        <v>1</v>
      </c>
      <c r="W39" s="180">
        <f t="shared" ref="W39:AF39" si="2">V39*(1+$AC$28)</f>
        <v>1.0363</v>
      </c>
      <c r="X39" s="180">
        <f t="shared" si="2"/>
        <v>1.07391769</v>
      </c>
      <c r="Y39" s="180">
        <f t="shared" si="2"/>
        <v>1.112900902147</v>
      </c>
      <c r="Z39" s="180">
        <f t="shared" si="2"/>
        <v>1.153299204894936</v>
      </c>
      <c r="AA39" s="180">
        <f t="shared" si="2"/>
        <v>1.1951639660326221</v>
      </c>
      <c r="AB39" s="180">
        <f t="shared" si="2"/>
        <v>1.2385484179996062</v>
      </c>
      <c r="AC39" s="180">
        <f t="shared" si="2"/>
        <v>1.2835077255729919</v>
      </c>
      <c r="AD39" s="180">
        <f t="shared" si="2"/>
        <v>1.3300990560112915</v>
      </c>
      <c r="AE39" s="180">
        <f t="shared" si="2"/>
        <v>1.3783816517445013</v>
      </c>
      <c r="AF39" s="180">
        <f t="shared" si="2"/>
        <v>1.4284169057028266</v>
      </c>
    </row>
    <row r="40" spans="2:32" ht="16.5" customHeight="1" thickBot="1" x14ac:dyDescent="0.3">
      <c r="B40" s="39" t="s">
        <v>68</v>
      </c>
      <c r="C40" s="40"/>
      <c r="D40" s="40"/>
      <c r="E40" s="41">
        <f>SUM(E38:E39)</f>
        <v>13775000</v>
      </c>
      <c r="F40" s="42"/>
      <c r="G40" s="43"/>
      <c r="H40" s="43"/>
      <c r="I40" s="44"/>
      <c r="J40" s="88"/>
      <c r="K40" s="86" t="s">
        <v>19</v>
      </c>
      <c r="U40" s="178" t="s">
        <v>173</v>
      </c>
      <c r="V40" s="179">
        <v>1</v>
      </c>
      <c r="W40" s="180">
        <f>V40*(1+$W$13)</f>
        <v>1.02</v>
      </c>
      <c r="X40" s="180">
        <f t="shared" ref="X40:AF40" si="3">W40*(1+$W$13)</f>
        <v>1.0404</v>
      </c>
      <c r="Y40" s="180">
        <f t="shared" si="3"/>
        <v>1.0612079999999999</v>
      </c>
      <c r="Z40" s="180">
        <f t="shared" si="3"/>
        <v>1.08243216</v>
      </c>
      <c r="AA40" s="180">
        <f t="shared" si="3"/>
        <v>1.1040808032</v>
      </c>
      <c r="AB40" s="180">
        <f t="shared" si="3"/>
        <v>1.1261624192640001</v>
      </c>
      <c r="AC40" s="180">
        <f t="shared" si="3"/>
        <v>1.14868566764928</v>
      </c>
      <c r="AD40" s="180">
        <f t="shared" si="3"/>
        <v>1.1716593810022657</v>
      </c>
      <c r="AE40" s="180">
        <f t="shared" si="3"/>
        <v>1.1950925686223111</v>
      </c>
      <c r="AF40" s="180">
        <f t="shared" si="3"/>
        <v>1.2189944199947573</v>
      </c>
    </row>
    <row r="41" spans="2:32" ht="16.5" customHeight="1" x14ac:dyDescent="0.25">
      <c r="B41" s="114"/>
      <c r="C41" s="115"/>
      <c r="D41" s="115"/>
      <c r="E41" s="116"/>
      <c r="F41" s="117"/>
      <c r="G41" s="118"/>
      <c r="H41" s="118"/>
      <c r="I41" s="119"/>
      <c r="J41" s="120"/>
      <c r="K41" s="86" t="s">
        <v>19</v>
      </c>
      <c r="U41" s="178" t="s">
        <v>87</v>
      </c>
      <c r="V41" s="179">
        <v>1</v>
      </c>
      <c r="W41" s="180">
        <f>V41*(1+$AC$13)</f>
        <v>1.03</v>
      </c>
      <c r="X41" s="180">
        <f>W41*(1+$AC$13)</f>
        <v>1.0609</v>
      </c>
      <c r="Y41" s="180">
        <f t="shared" ref="Y41:AF41" si="4">X41*(1+$AC$13)</f>
        <v>1.092727</v>
      </c>
      <c r="Z41" s="180">
        <f t="shared" si="4"/>
        <v>1.1255088100000001</v>
      </c>
      <c r="AA41" s="180">
        <f t="shared" si="4"/>
        <v>1.1592740743000001</v>
      </c>
      <c r="AB41" s="180">
        <f t="shared" si="4"/>
        <v>1.1940522965290001</v>
      </c>
      <c r="AC41" s="180">
        <f t="shared" si="4"/>
        <v>1.2298738654248702</v>
      </c>
      <c r="AD41" s="180">
        <f t="shared" si="4"/>
        <v>1.2667700813876164</v>
      </c>
      <c r="AE41" s="180">
        <f t="shared" si="4"/>
        <v>1.3047731838292449</v>
      </c>
      <c r="AF41" s="180">
        <f t="shared" si="4"/>
        <v>1.3439163793441222</v>
      </c>
    </row>
    <row r="42" spans="2:32" ht="16.5" customHeight="1" x14ac:dyDescent="0.25">
      <c r="B42" s="14"/>
      <c r="C42" s="30"/>
      <c r="D42" s="30"/>
      <c r="E42" s="36"/>
      <c r="F42" s="37"/>
      <c r="G42" s="32"/>
      <c r="H42" s="32"/>
      <c r="I42" s="38"/>
      <c r="J42" s="23"/>
      <c r="K42" s="86" t="s">
        <v>19</v>
      </c>
      <c r="U42" s="193"/>
      <c r="V42" s="200"/>
      <c r="W42" s="210"/>
      <c r="X42" s="210"/>
      <c r="Y42" s="210"/>
      <c r="Z42" s="210"/>
      <c r="AA42" s="210"/>
      <c r="AB42" s="210"/>
      <c r="AC42" s="210"/>
      <c r="AD42" s="210"/>
      <c r="AE42" s="210"/>
      <c r="AF42" s="210"/>
    </row>
    <row r="43" spans="2:32" ht="16.5" customHeight="1" thickBot="1" x14ac:dyDescent="0.3">
      <c r="B43" s="26" t="s">
        <v>174</v>
      </c>
      <c r="C43" s="27"/>
      <c r="D43" s="27"/>
      <c r="E43" s="28">
        <f>SUM(E9,E19,E27,E35,E40)</f>
        <v>748371400</v>
      </c>
      <c r="F43" s="16"/>
      <c r="G43" s="17"/>
      <c r="H43" s="17"/>
      <c r="I43" s="18"/>
      <c r="J43" s="24"/>
      <c r="K43" s="86" t="s">
        <v>19</v>
      </c>
      <c r="U43" s="194" t="s">
        <v>175</v>
      </c>
      <c r="V43" s="193"/>
      <c r="W43" s="193"/>
      <c r="X43" s="193"/>
      <c r="Y43" s="193"/>
      <c r="Z43" s="193"/>
      <c r="AA43" s="193"/>
      <c r="AB43" s="193"/>
      <c r="AC43" s="193"/>
      <c r="AD43" s="193"/>
      <c r="AE43" s="193"/>
      <c r="AF43" s="192"/>
    </row>
    <row r="44" spans="2:32" ht="16.5" customHeight="1" x14ac:dyDescent="0.25">
      <c r="U44" s="191" t="s">
        <v>168</v>
      </c>
      <c r="V44" s="191">
        <v>0</v>
      </c>
      <c r="W44" s="191">
        <v>1</v>
      </c>
      <c r="X44" s="191">
        <v>2</v>
      </c>
      <c r="Y44" s="191">
        <v>3</v>
      </c>
      <c r="Z44" s="191">
        <v>4</v>
      </c>
      <c r="AA44" s="191">
        <v>5</v>
      </c>
      <c r="AB44" s="191">
        <v>6</v>
      </c>
      <c r="AC44" s="191">
        <v>7</v>
      </c>
      <c r="AD44" s="211">
        <v>8</v>
      </c>
      <c r="AE44" s="201">
        <v>9</v>
      </c>
    </row>
    <row r="45" spans="2:32" ht="16.5" customHeight="1" x14ac:dyDescent="0.25">
      <c r="U45" s="183" t="s">
        <v>176</v>
      </c>
      <c r="V45" s="345"/>
      <c r="W45" s="345">
        <f>V48</f>
        <v>748371400</v>
      </c>
      <c r="X45" s="345">
        <f t="shared" ref="X45:AE45" si="5">W48</f>
        <v>698479973.33333337</v>
      </c>
      <c r="Y45" s="345">
        <f t="shared" si="5"/>
        <v>648588546.66666675</v>
      </c>
      <c r="Z45" s="345">
        <f t="shared" si="5"/>
        <v>598697120.00000012</v>
      </c>
      <c r="AA45" s="345">
        <f t="shared" si="5"/>
        <v>548805693.33333349</v>
      </c>
      <c r="AB45" s="345">
        <f t="shared" si="5"/>
        <v>498914266.66666681</v>
      </c>
      <c r="AC45" s="345">
        <f t="shared" si="5"/>
        <v>449022840.00000012</v>
      </c>
      <c r="AD45" s="345">
        <f t="shared" si="5"/>
        <v>399131413.33333343</v>
      </c>
      <c r="AE45" s="346">
        <f t="shared" si="5"/>
        <v>349239986.66666675</v>
      </c>
    </row>
    <row r="46" spans="2:32" ht="16.5" customHeight="1" x14ac:dyDescent="0.25">
      <c r="B46" s="1" t="s">
        <v>177</v>
      </c>
      <c r="U46" s="183" t="s">
        <v>178</v>
      </c>
      <c r="V46" s="345"/>
      <c r="W46" s="345">
        <f t="shared" ref="W46:AE46" si="6">$W$45/$W$19</f>
        <v>49891426.666666664</v>
      </c>
      <c r="X46" s="345">
        <f t="shared" si="6"/>
        <v>49891426.666666664</v>
      </c>
      <c r="Y46" s="345">
        <f t="shared" si="6"/>
        <v>49891426.666666664</v>
      </c>
      <c r="Z46" s="345">
        <f t="shared" si="6"/>
        <v>49891426.666666664</v>
      </c>
      <c r="AA46" s="345">
        <f t="shared" si="6"/>
        <v>49891426.666666664</v>
      </c>
      <c r="AB46" s="345">
        <f t="shared" si="6"/>
        <v>49891426.666666664</v>
      </c>
      <c r="AC46" s="345">
        <f t="shared" si="6"/>
        <v>49891426.666666664</v>
      </c>
      <c r="AD46" s="345">
        <f t="shared" si="6"/>
        <v>49891426.666666664</v>
      </c>
      <c r="AE46" s="345">
        <f t="shared" si="6"/>
        <v>49891426.666666664</v>
      </c>
    </row>
    <row r="47" spans="2:32" ht="16.5" customHeight="1" x14ac:dyDescent="0.25">
      <c r="B47" s="5" t="s">
        <v>179</v>
      </c>
      <c r="U47" s="183" t="s">
        <v>180</v>
      </c>
      <c r="V47" s="345"/>
      <c r="W47" s="345">
        <f>V47+W46</f>
        <v>49891426.666666664</v>
      </c>
      <c r="X47" s="345">
        <f t="shared" ref="X47:AE47" si="7">W47+X46</f>
        <v>99782853.333333328</v>
      </c>
      <c r="Y47" s="345">
        <f t="shared" si="7"/>
        <v>149674280</v>
      </c>
      <c r="Z47" s="345">
        <f t="shared" si="7"/>
        <v>199565706.66666666</v>
      </c>
      <c r="AA47" s="345">
        <f t="shared" si="7"/>
        <v>249457133.33333331</v>
      </c>
      <c r="AB47" s="345">
        <f t="shared" si="7"/>
        <v>299348560</v>
      </c>
      <c r="AC47" s="345">
        <f t="shared" si="7"/>
        <v>349239986.66666669</v>
      </c>
      <c r="AD47" s="345">
        <f t="shared" si="7"/>
        <v>399131413.33333337</v>
      </c>
      <c r="AE47" s="345">
        <f t="shared" si="7"/>
        <v>449022840.00000006</v>
      </c>
    </row>
    <row r="48" spans="2:32" ht="16.5" customHeight="1" x14ac:dyDescent="0.25">
      <c r="B48" s="6" t="s">
        <v>181</v>
      </c>
      <c r="C48" s="4" t="s">
        <v>34</v>
      </c>
      <c r="D48" s="4">
        <v>1</v>
      </c>
      <c r="E48" s="4" t="s">
        <v>182</v>
      </c>
      <c r="F48" s="1" t="s">
        <v>35</v>
      </c>
      <c r="U48" s="183" t="s">
        <v>183</v>
      </c>
      <c r="V48" s="345">
        <f>W18</f>
        <v>748371400</v>
      </c>
      <c r="W48" s="345">
        <f>W45-W46</f>
        <v>698479973.33333337</v>
      </c>
      <c r="X48" s="345">
        <f t="shared" ref="X48:AE48" si="8">X45-X46</f>
        <v>648588546.66666675</v>
      </c>
      <c r="Y48" s="345">
        <f t="shared" si="8"/>
        <v>598697120.00000012</v>
      </c>
      <c r="Z48" s="345">
        <f t="shared" si="8"/>
        <v>548805693.33333349</v>
      </c>
      <c r="AA48" s="345">
        <f>AA45-AA46</f>
        <v>498914266.66666681</v>
      </c>
      <c r="AB48" s="345">
        <f t="shared" si="8"/>
        <v>449022840.00000012</v>
      </c>
      <c r="AC48" s="345">
        <f t="shared" si="8"/>
        <v>399131413.33333343</v>
      </c>
      <c r="AD48" s="345">
        <f t="shared" si="8"/>
        <v>349239986.66666675</v>
      </c>
      <c r="AE48" s="347">
        <f t="shared" si="8"/>
        <v>299348560.00000006</v>
      </c>
    </row>
    <row r="49" spans="2:31" ht="16.5" customHeight="1" x14ac:dyDescent="0.25">
      <c r="B49" s="369" t="s">
        <v>184</v>
      </c>
      <c r="C49" s="4" t="s">
        <v>48</v>
      </c>
      <c r="D49" s="4">
        <v>9</v>
      </c>
      <c r="E49" s="4" t="s">
        <v>117</v>
      </c>
      <c r="F49" s="1" t="s">
        <v>49</v>
      </c>
    </row>
    <row r="50" spans="2:31" ht="16.5" customHeight="1" x14ac:dyDescent="0.25">
      <c r="B50" s="369"/>
      <c r="C50" s="4" t="s">
        <v>59</v>
      </c>
      <c r="D50" s="4">
        <v>1</v>
      </c>
      <c r="E50" s="4" t="s">
        <v>182</v>
      </c>
      <c r="F50" s="1" t="s">
        <v>60</v>
      </c>
    </row>
    <row r="51" spans="2:31" ht="16.5" customHeight="1" thickBot="1" x14ac:dyDescent="0.3">
      <c r="U51" s="194" t="s">
        <v>185</v>
      </c>
      <c r="V51" s="193"/>
      <c r="W51" s="193"/>
      <c r="X51" s="193"/>
      <c r="Y51" s="193"/>
      <c r="Z51" s="193"/>
      <c r="AA51" s="193"/>
      <c r="AB51" s="193"/>
      <c r="AC51" s="193"/>
      <c r="AD51" s="193"/>
      <c r="AE51" s="193"/>
    </row>
    <row r="52" spans="2:31" ht="16.5" customHeight="1" x14ac:dyDescent="0.25">
      <c r="B52" s="59" t="s">
        <v>186</v>
      </c>
      <c r="C52" s="60"/>
      <c r="D52" s="60"/>
      <c r="E52" s="60"/>
      <c r="F52" s="61"/>
      <c r="U52" s="201" t="s">
        <v>168</v>
      </c>
      <c r="V52" s="201">
        <v>0</v>
      </c>
      <c r="W52" s="201">
        <v>1</v>
      </c>
      <c r="X52" s="201">
        <v>2</v>
      </c>
      <c r="Y52" s="201">
        <v>3</v>
      </c>
      <c r="Z52" s="201">
        <v>4</v>
      </c>
      <c r="AA52" s="201">
        <v>5</v>
      </c>
      <c r="AB52" s="201">
        <v>6</v>
      </c>
      <c r="AC52" s="201">
        <v>7</v>
      </c>
      <c r="AD52" s="201">
        <v>8</v>
      </c>
      <c r="AE52" s="201">
        <v>9</v>
      </c>
    </row>
    <row r="53" spans="2:31" ht="16.5" customHeight="1" thickBot="1" x14ac:dyDescent="0.3">
      <c r="B53" s="52"/>
      <c r="C53" s="66" t="s">
        <v>187</v>
      </c>
      <c r="D53" s="66" t="s">
        <v>188</v>
      </c>
      <c r="E53" s="66" t="s">
        <v>189</v>
      </c>
      <c r="F53" s="67" t="s">
        <v>10</v>
      </c>
      <c r="U53" s="178" t="str">
        <f>AB6</f>
        <v>Standard Large</v>
      </c>
      <c r="V53" s="348">
        <f t="shared" ref="V53:V59" si="9">AC6*AE6*12</f>
        <v>900000000</v>
      </c>
      <c r="W53" s="348">
        <f>$V53*W$39*W$41</f>
        <v>960650100</v>
      </c>
      <c r="X53" s="348">
        <f t="shared" ref="X53:AE59" si="10">$V53*X$39*X$41</f>
        <v>1025387349.5889</v>
      </c>
      <c r="Y53" s="348">
        <f t="shared" si="10"/>
        <v>1094487177.6903462</v>
      </c>
      <c r="Z53" s="348">
        <f t="shared" si="10"/>
        <v>1168243574.1077211</v>
      </c>
      <c r="AA53" s="348">
        <f t="shared" si="10"/>
        <v>1246970340.3232663</v>
      </c>
      <c r="AB53" s="348">
        <f t="shared" si="10"/>
        <v>1331002424.5873108</v>
      </c>
      <c r="AC53" s="348">
        <f t="shared" si="10"/>
        <v>1420697346.9778252</v>
      </c>
      <c r="AD53" s="348">
        <f t="shared" si="10"/>
        <v>1516436720.493314</v>
      </c>
      <c r="AE53" s="348">
        <f t="shared" si="10"/>
        <v>1618627874.6506379</v>
      </c>
    </row>
    <row r="54" spans="2:31" ht="16.5" customHeight="1" thickBot="1" x14ac:dyDescent="0.3">
      <c r="B54" s="167" t="s">
        <v>181</v>
      </c>
      <c r="C54" s="168" t="s">
        <v>190</v>
      </c>
      <c r="D54" s="169" t="s">
        <v>191</v>
      </c>
      <c r="E54" s="168" t="s">
        <v>192</v>
      </c>
      <c r="F54" s="140" t="s">
        <v>17</v>
      </c>
      <c r="U54" s="178" t="str">
        <f t="shared" ref="U54:U59" si="11">AB7</f>
        <v xml:space="preserve">Special Medium </v>
      </c>
      <c r="V54" s="348">
        <f t="shared" si="9"/>
        <v>216000000</v>
      </c>
      <c r="W54" s="348">
        <f t="shared" ref="W54:W59" si="12">$V54*W$39*W$41</f>
        <v>230556024</v>
      </c>
      <c r="X54" s="348">
        <f t="shared" si="10"/>
        <v>246092963.90133601</v>
      </c>
      <c r="Y54" s="348">
        <f t="shared" si="10"/>
        <v>262676922.64568314</v>
      </c>
      <c r="Z54" s="348">
        <f t="shared" si="10"/>
        <v>280378457.78585309</v>
      </c>
      <c r="AA54" s="348">
        <f t="shared" si="10"/>
        <v>299272881.67758387</v>
      </c>
      <c r="AB54" s="348">
        <f t="shared" si="10"/>
        <v>319440581.9009546</v>
      </c>
      <c r="AC54" s="348">
        <f t="shared" si="10"/>
        <v>340967363.27467805</v>
      </c>
      <c r="AD54" s="348">
        <f t="shared" si="10"/>
        <v>363944812.91839534</v>
      </c>
      <c r="AE54" s="348">
        <f t="shared" si="10"/>
        <v>388470689.91615313</v>
      </c>
    </row>
    <row r="55" spans="2:31" ht="16.5" customHeight="1" x14ac:dyDescent="0.25">
      <c r="B55" s="371" t="s">
        <v>184</v>
      </c>
      <c r="C55" s="7" t="s">
        <v>193</v>
      </c>
      <c r="D55" s="7"/>
      <c r="F55" s="62"/>
      <c r="U55" s="178" t="str">
        <f t="shared" si="11"/>
        <v>Standard Medium</v>
      </c>
      <c r="V55" s="348">
        <f t="shared" si="9"/>
        <v>900000000</v>
      </c>
      <c r="W55" s="348">
        <f t="shared" si="12"/>
        <v>960650100</v>
      </c>
      <c r="X55" s="348">
        <f t="shared" si="10"/>
        <v>1025387349.5889</v>
      </c>
      <c r="Y55" s="348">
        <f t="shared" si="10"/>
        <v>1094487177.6903462</v>
      </c>
      <c r="Z55" s="348">
        <f t="shared" si="10"/>
        <v>1168243574.1077211</v>
      </c>
      <c r="AA55" s="348">
        <f t="shared" si="10"/>
        <v>1246970340.3232663</v>
      </c>
      <c r="AB55" s="348">
        <f t="shared" si="10"/>
        <v>1331002424.5873108</v>
      </c>
      <c r="AC55" s="348">
        <f t="shared" si="10"/>
        <v>1420697346.9778252</v>
      </c>
      <c r="AD55" s="348">
        <f t="shared" si="10"/>
        <v>1516436720.493314</v>
      </c>
      <c r="AE55" s="348">
        <f t="shared" si="10"/>
        <v>1618627874.6506379</v>
      </c>
    </row>
    <row r="56" spans="2:31" ht="16.5" customHeight="1" x14ac:dyDescent="0.25">
      <c r="B56" s="371"/>
      <c r="C56" s="7" t="s">
        <v>194</v>
      </c>
      <c r="D56" s="63" t="s">
        <v>195</v>
      </c>
      <c r="F56" s="62"/>
      <c r="U56" s="178" t="str">
        <f t="shared" si="11"/>
        <v>Standard Small</v>
      </c>
      <c r="V56" s="348">
        <f t="shared" si="9"/>
        <v>408000000</v>
      </c>
      <c r="W56" s="348">
        <f t="shared" si="12"/>
        <v>435494712</v>
      </c>
      <c r="X56" s="348">
        <f t="shared" si="10"/>
        <v>464842265.14696801</v>
      </c>
      <c r="Y56" s="348">
        <f t="shared" si="10"/>
        <v>496167520.55295706</v>
      </c>
      <c r="Z56" s="348">
        <f t="shared" si="10"/>
        <v>529603753.59550023</v>
      </c>
      <c r="AA56" s="348">
        <f t="shared" si="10"/>
        <v>565293220.94654739</v>
      </c>
      <c r="AB56" s="348">
        <f>$V56*AB$39*AB$41</f>
        <v>603387765.81291425</v>
      </c>
      <c r="AC56" s="348">
        <f t="shared" si="10"/>
        <v>644049463.9632808</v>
      </c>
      <c r="AD56" s="348">
        <f t="shared" si="10"/>
        <v>687451313.29030228</v>
      </c>
      <c r="AE56" s="348">
        <f t="shared" si="10"/>
        <v>733777969.84162247</v>
      </c>
    </row>
    <row r="57" spans="2:31" ht="16.5" customHeight="1" x14ac:dyDescent="0.25">
      <c r="B57" s="371"/>
      <c r="C57" s="7" t="s">
        <v>196</v>
      </c>
      <c r="D57" s="7" t="s">
        <v>197</v>
      </c>
      <c r="F57" s="62"/>
      <c r="U57" s="178" t="str">
        <f t="shared" si="11"/>
        <v>Special Micro</v>
      </c>
      <c r="V57" s="348">
        <f t="shared" si="9"/>
        <v>78000000</v>
      </c>
      <c r="W57" s="348">
        <f t="shared" si="12"/>
        <v>83256342</v>
      </c>
      <c r="X57" s="348">
        <f t="shared" si="10"/>
        <v>88866903.63103801</v>
      </c>
      <c r="Y57" s="348">
        <f t="shared" si="10"/>
        <v>94855555.399830028</v>
      </c>
      <c r="Z57" s="348">
        <f t="shared" si="10"/>
        <v>101247776.42266917</v>
      </c>
      <c r="AA57" s="348">
        <f t="shared" si="10"/>
        <v>108070762.82801642</v>
      </c>
      <c r="AB57" s="348">
        <f t="shared" si="10"/>
        <v>115353543.46423361</v>
      </c>
      <c r="AC57" s="348">
        <f t="shared" si="10"/>
        <v>123127103.40474485</v>
      </c>
      <c r="AD57" s="348">
        <f t="shared" si="10"/>
        <v>131424515.77608719</v>
      </c>
      <c r="AE57" s="348">
        <f t="shared" si="10"/>
        <v>140281082.46972194</v>
      </c>
    </row>
    <row r="58" spans="2:31" ht="16.5" customHeight="1" x14ac:dyDescent="0.25">
      <c r="B58" s="371"/>
      <c r="C58" s="7" t="s">
        <v>198</v>
      </c>
      <c r="D58" s="7"/>
      <c r="F58" s="62"/>
      <c r="U58" s="178" t="str">
        <f t="shared" si="11"/>
        <v>Executive Mirco</v>
      </c>
      <c r="V58" s="348">
        <f t="shared" si="9"/>
        <v>72000000</v>
      </c>
      <c r="W58" s="348">
        <f t="shared" si="12"/>
        <v>76852008</v>
      </c>
      <c r="X58" s="348">
        <f t="shared" si="10"/>
        <v>82030987.967112005</v>
      </c>
      <c r="Y58" s="348">
        <f t="shared" si="10"/>
        <v>87558974.215227708</v>
      </c>
      <c r="Z58" s="348">
        <f t="shared" si="10"/>
        <v>93459485.928617686</v>
      </c>
      <c r="AA58" s="348">
        <f t="shared" si="10"/>
        <v>99757627.225861311</v>
      </c>
      <c r="AB58" s="348">
        <f t="shared" si="10"/>
        <v>106480193.96698487</v>
      </c>
      <c r="AC58" s="348">
        <f t="shared" si="10"/>
        <v>113655787.75822601</v>
      </c>
      <c r="AD58" s="348">
        <f t="shared" si="10"/>
        <v>121314937.63946511</v>
      </c>
      <c r="AE58" s="348">
        <f t="shared" si="10"/>
        <v>129490229.97205102</v>
      </c>
    </row>
    <row r="59" spans="2:31" ht="16.5" customHeight="1" x14ac:dyDescent="0.25">
      <c r="B59" s="371"/>
      <c r="C59" s="7"/>
      <c r="D59" s="7"/>
      <c r="F59" s="62"/>
      <c r="U59" s="178" t="str">
        <f t="shared" si="11"/>
        <v>Standard Micro</v>
      </c>
      <c r="V59" s="348">
        <f t="shared" si="9"/>
        <v>528000000</v>
      </c>
      <c r="W59" s="348">
        <f t="shared" si="12"/>
        <v>563581392</v>
      </c>
      <c r="X59" s="348">
        <f t="shared" si="10"/>
        <v>601560578.425488</v>
      </c>
      <c r="Y59" s="348">
        <f t="shared" si="10"/>
        <v>642099144.24500322</v>
      </c>
      <c r="Z59" s="348">
        <f t="shared" si="10"/>
        <v>685369563.47652972</v>
      </c>
      <c r="AA59" s="348">
        <f t="shared" si="10"/>
        <v>731555932.98964942</v>
      </c>
      <c r="AB59" s="348">
        <f t="shared" si="10"/>
        <v>780854755.75788903</v>
      </c>
      <c r="AC59" s="348">
        <f>$V59*AC$39*AC$41</f>
        <v>833475776.89365733</v>
      </c>
      <c r="AD59" s="348">
        <f t="shared" si="10"/>
        <v>889642876.02274418</v>
      </c>
      <c r="AE59" s="348">
        <f t="shared" si="10"/>
        <v>949595019.79504085</v>
      </c>
    </row>
    <row r="60" spans="2:31" ht="16.5" customHeight="1" x14ac:dyDescent="0.25">
      <c r="B60" s="371"/>
      <c r="C60" s="7" t="s">
        <v>199</v>
      </c>
      <c r="D60" s="64" t="s">
        <v>200</v>
      </c>
      <c r="F60" s="62"/>
      <c r="U60" s="273" t="s">
        <v>365</v>
      </c>
      <c r="V60" s="349"/>
      <c r="W60" s="349">
        <f>SUM(W53:W59)*AC15</f>
        <v>2152176440.7000003</v>
      </c>
      <c r="X60" s="349">
        <f t="shared" ref="X60:AE60" si="13">SUM(X53:X59)*AD15</f>
        <v>2403234510.8098249</v>
      </c>
      <c r="Y60" s="349">
        <f t="shared" si="13"/>
        <v>2640632730.7075753</v>
      </c>
      <c r="Z60" s="349">
        <f t="shared" si="13"/>
        <v>3221236948.3396893</v>
      </c>
      <c r="AA60" s="349">
        <f t="shared" si="13"/>
        <v>3438312885.0513535</v>
      </c>
      <c r="AB60" s="349">
        <f t="shared" si="13"/>
        <v>3670017352.0620785</v>
      </c>
      <c r="AC60" s="349">
        <f t="shared" si="13"/>
        <v>4651836679.7877254</v>
      </c>
      <c r="AD60" s="349">
        <f t="shared" si="13"/>
        <v>4965319301.8019409</v>
      </c>
      <c r="AE60" s="349">
        <f t="shared" si="13"/>
        <v>5299927204.2310715</v>
      </c>
    </row>
    <row r="61" spans="2:31" ht="16.5" customHeight="1" x14ac:dyDescent="0.25">
      <c r="B61" s="371"/>
      <c r="C61" s="7"/>
      <c r="D61" s="7"/>
      <c r="F61" s="62"/>
      <c r="U61" s="196"/>
      <c r="V61" s="196"/>
      <c r="W61" s="196"/>
      <c r="X61" s="196"/>
      <c r="Y61" s="196"/>
      <c r="Z61" s="196"/>
      <c r="AA61" s="196"/>
      <c r="AB61" s="196"/>
      <c r="AC61" s="196"/>
      <c r="AD61" s="196"/>
      <c r="AE61" s="196"/>
    </row>
    <row r="62" spans="2:31" ht="16.5" customHeight="1" x14ac:dyDescent="0.25">
      <c r="B62" s="371"/>
      <c r="C62" s="7"/>
      <c r="D62" s="7"/>
      <c r="F62" s="62"/>
      <c r="U62" s="193"/>
      <c r="V62" s="195"/>
      <c r="W62" s="195"/>
      <c r="X62" s="195"/>
      <c r="Y62" s="195"/>
      <c r="Z62" s="195"/>
      <c r="AA62" s="195"/>
      <c r="AB62" s="195"/>
      <c r="AC62" s="195"/>
      <c r="AD62" s="195"/>
      <c r="AE62" s="195"/>
    </row>
    <row r="63" spans="2:31" ht="16.5" customHeight="1" x14ac:dyDescent="0.25">
      <c r="B63" s="371"/>
      <c r="C63" s="7"/>
      <c r="D63" s="7"/>
      <c r="F63" s="62"/>
      <c r="U63" s="194" t="s">
        <v>202</v>
      </c>
      <c r="V63" s="193"/>
      <c r="W63" s="193"/>
      <c r="X63" s="193"/>
      <c r="Y63" s="193"/>
      <c r="Z63" s="193"/>
      <c r="AA63" s="193"/>
      <c r="AB63" s="193"/>
      <c r="AC63" s="193"/>
      <c r="AD63" s="193"/>
      <c r="AE63" s="195"/>
    </row>
    <row r="64" spans="2:31" ht="16.5" customHeight="1" x14ac:dyDescent="0.25">
      <c r="B64" s="371"/>
      <c r="C64" s="7"/>
      <c r="D64" s="7"/>
      <c r="F64" s="62"/>
      <c r="U64" s="197" t="s">
        <v>168</v>
      </c>
      <c r="V64" s="197">
        <v>0</v>
      </c>
      <c r="W64" s="197">
        <v>1</v>
      </c>
      <c r="X64" s="197">
        <v>2</v>
      </c>
      <c r="Y64" s="197">
        <v>3</v>
      </c>
      <c r="Z64" s="197">
        <v>4</v>
      </c>
      <c r="AA64" s="197">
        <v>5</v>
      </c>
      <c r="AB64" s="197">
        <v>6</v>
      </c>
      <c r="AC64" s="197">
        <v>7</v>
      </c>
      <c r="AD64" s="207">
        <v>8</v>
      </c>
      <c r="AE64" s="201">
        <v>9</v>
      </c>
    </row>
    <row r="65" spans="2:32" ht="16.5" customHeight="1" x14ac:dyDescent="0.25">
      <c r="B65" s="371"/>
      <c r="C65" s="7"/>
      <c r="D65" s="7"/>
      <c r="F65" s="62"/>
      <c r="U65" s="185" t="s">
        <v>120</v>
      </c>
      <c r="V65" s="345"/>
      <c r="W65" s="345">
        <f t="shared" ref="W65:AE65" si="14">$W$23*$W$22*W39</f>
        <v>18653400</v>
      </c>
      <c r="X65" s="345">
        <f t="shared" si="14"/>
        <v>19330518.420000002</v>
      </c>
      <c r="Y65" s="345">
        <f t="shared" si="14"/>
        <v>20032216.238646001</v>
      </c>
      <c r="Z65" s="345">
        <f t="shared" si="14"/>
        <v>20759385.688108847</v>
      </c>
      <c r="AA65" s="345">
        <f t="shared" si="14"/>
        <v>21512951.388587199</v>
      </c>
      <c r="AB65" s="345">
        <f t="shared" si="14"/>
        <v>22293871.523992911</v>
      </c>
      <c r="AC65" s="345">
        <f t="shared" si="14"/>
        <v>23103139.060313854</v>
      </c>
      <c r="AD65" s="345">
        <f t="shared" si="14"/>
        <v>23941783.008203246</v>
      </c>
      <c r="AE65" s="346">
        <f t="shared" si="14"/>
        <v>24810869.731401023</v>
      </c>
    </row>
    <row r="66" spans="2:32" ht="16.5" customHeight="1" x14ac:dyDescent="0.25">
      <c r="B66" s="371"/>
      <c r="C66" s="7"/>
      <c r="D66" s="7"/>
      <c r="F66" s="62"/>
      <c r="U66" s="185" t="s">
        <v>128</v>
      </c>
      <c r="V66" s="345"/>
      <c r="W66" s="345">
        <f t="shared" ref="W66:AE66" si="15">$W$24*$W$25*W39</f>
        <v>20726000</v>
      </c>
      <c r="X66" s="345">
        <f t="shared" si="15"/>
        <v>21478353.800000001</v>
      </c>
      <c r="Y66" s="345">
        <f t="shared" si="15"/>
        <v>22258018.042939998</v>
      </c>
      <c r="Z66" s="345">
        <f t="shared" si="15"/>
        <v>23065984.097898718</v>
      </c>
      <c r="AA66" s="345">
        <f t="shared" si="15"/>
        <v>23903279.32065244</v>
      </c>
      <c r="AB66" s="345">
        <f t="shared" si="15"/>
        <v>24770968.359992124</v>
      </c>
      <c r="AC66" s="345">
        <f t="shared" si="15"/>
        <v>25670154.511459839</v>
      </c>
      <c r="AD66" s="345">
        <f t="shared" si="15"/>
        <v>26601981.120225832</v>
      </c>
      <c r="AE66" s="345">
        <f t="shared" si="15"/>
        <v>27567633.034890026</v>
      </c>
    </row>
    <row r="67" spans="2:32" ht="16.5" customHeight="1" x14ac:dyDescent="0.25">
      <c r="B67" s="371"/>
      <c r="C67" s="7"/>
      <c r="D67" s="7"/>
      <c r="F67" s="62"/>
      <c r="U67" s="185" t="s">
        <v>134</v>
      </c>
      <c r="V67" s="345"/>
      <c r="W67" s="345">
        <f t="shared" ref="W67:AE67" si="16">$W$26*$W$27*W39</f>
        <v>10363000</v>
      </c>
      <c r="X67" s="345">
        <f t="shared" si="16"/>
        <v>10739176.9</v>
      </c>
      <c r="Y67" s="345">
        <f t="shared" si="16"/>
        <v>11129009.021469999</v>
      </c>
      <c r="Z67" s="345">
        <f t="shared" si="16"/>
        <v>11532992.048949359</v>
      </c>
      <c r="AA67" s="345">
        <f t="shared" si="16"/>
        <v>11951639.66032622</v>
      </c>
      <c r="AB67" s="345">
        <f t="shared" si="16"/>
        <v>12385484.179996062</v>
      </c>
      <c r="AC67" s="345">
        <f t="shared" si="16"/>
        <v>12835077.255729919</v>
      </c>
      <c r="AD67" s="345">
        <f t="shared" si="16"/>
        <v>13300990.560112916</v>
      </c>
      <c r="AE67" s="345">
        <f t="shared" si="16"/>
        <v>13783816.517445013</v>
      </c>
    </row>
    <row r="68" spans="2:32" ht="16.5" customHeight="1" x14ac:dyDescent="0.25">
      <c r="B68" s="371"/>
      <c r="C68" s="7"/>
      <c r="D68" s="7"/>
      <c r="F68" s="62"/>
      <c r="U68" s="185" t="s">
        <v>141</v>
      </c>
      <c r="V68" s="345"/>
      <c r="W68" s="345">
        <f t="shared" ref="W68:AE68" si="17">$W$28*$W$29*W39</f>
        <v>14508200</v>
      </c>
      <c r="X68" s="345">
        <f t="shared" si="17"/>
        <v>15034847.66</v>
      </c>
      <c r="Y68" s="345">
        <f t="shared" si="17"/>
        <v>15580612.630058</v>
      </c>
      <c r="Z68" s="345">
        <f t="shared" si="17"/>
        <v>16146188.868529104</v>
      </c>
      <c r="AA68" s="345">
        <f t="shared" si="17"/>
        <v>16732295.52445671</v>
      </c>
      <c r="AB68" s="345">
        <f t="shared" si="17"/>
        <v>17339677.851994488</v>
      </c>
      <c r="AC68" s="345">
        <f t="shared" si="17"/>
        <v>17969108.158021886</v>
      </c>
      <c r="AD68" s="345">
        <f t="shared" si="17"/>
        <v>18621386.784158081</v>
      </c>
      <c r="AE68" s="345">
        <f t="shared" si="17"/>
        <v>19297343.12442302</v>
      </c>
    </row>
    <row r="69" spans="2:32" ht="16.5" customHeight="1" x14ac:dyDescent="0.25">
      <c r="B69" s="371"/>
      <c r="C69" s="7"/>
      <c r="D69" s="7"/>
      <c r="F69" s="62"/>
      <c r="U69" s="186" t="s">
        <v>203</v>
      </c>
      <c r="V69" s="351"/>
      <c r="W69" s="351">
        <f>SUM(W65:W68)</f>
        <v>64250600</v>
      </c>
      <c r="X69" s="351">
        <f t="shared" ref="X69:AE69" si="18">SUM(X65:X68)</f>
        <v>66582896.780000001</v>
      </c>
      <c r="Y69" s="351">
        <f t="shared" si="18"/>
        <v>68999855.933114007</v>
      </c>
      <c r="Z69" s="351">
        <f t="shared" si="18"/>
        <v>71504550.703486025</v>
      </c>
      <c r="AA69" s="351">
        <f t="shared" si="18"/>
        <v>74100165.894022569</v>
      </c>
      <c r="AB69" s="351">
        <f t="shared" si="18"/>
        <v>76790001.915975586</v>
      </c>
      <c r="AC69" s="351">
        <f t="shared" si="18"/>
        <v>79577478.985525504</v>
      </c>
      <c r="AD69" s="351">
        <f t="shared" si="18"/>
        <v>82466141.472700074</v>
      </c>
      <c r="AE69" s="351">
        <f t="shared" si="18"/>
        <v>85459662.408159077</v>
      </c>
    </row>
    <row r="70" spans="2:32" ht="16.5" customHeight="1" x14ac:dyDescent="0.25">
      <c r="B70" s="371"/>
      <c r="C70" s="7"/>
      <c r="D70" s="7"/>
      <c r="F70" s="62"/>
    </row>
    <row r="71" spans="2:32" ht="16.5" customHeight="1" thickBot="1" x14ac:dyDescent="0.3">
      <c r="B71" s="372"/>
      <c r="C71" s="27"/>
      <c r="D71" s="57"/>
      <c r="E71" s="27"/>
      <c r="F71" s="65"/>
    </row>
    <row r="72" spans="2:32" ht="16.5" customHeight="1" thickBot="1" x14ac:dyDescent="0.3">
      <c r="D72" s="7"/>
      <c r="J72" s="90" t="s">
        <v>369</v>
      </c>
      <c r="K72" s="48"/>
      <c r="L72" s="48"/>
      <c r="M72" s="48"/>
      <c r="N72" s="48"/>
      <c r="O72" s="49"/>
      <c r="U72" s="194" t="s">
        <v>204</v>
      </c>
      <c r="V72" s="193"/>
      <c r="W72" s="193"/>
      <c r="X72" s="193"/>
      <c r="Y72" s="193"/>
      <c r="Z72" s="193"/>
      <c r="AA72" s="193"/>
      <c r="AB72" s="193"/>
      <c r="AC72" s="193"/>
      <c r="AD72" s="193"/>
      <c r="AE72" s="193"/>
    </row>
    <row r="73" spans="2:32" ht="16.5" customHeight="1" x14ac:dyDescent="0.25">
      <c r="B73" s="59" t="s">
        <v>156</v>
      </c>
      <c r="C73" s="48"/>
      <c r="D73" s="68"/>
      <c r="E73" s="48"/>
      <c r="F73" s="48"/>
      <c r="G73" s="49"/>
      <c r="J73" s="91" t="s">
        <v>205</v>
      </c>
      <c r="K73" s="48" t="s">
        <v>206</v>
      </c>
      <c r="L73" s="48"/>
      <c r="M73" s="48"/>
      <c r="N73" s="48" t="s">
        <v>207</v>
      </c>
      <c r="O73" s="49"/>
      <c r="U73" s="201" t="s">
        <v>168</v>
      </c>
      <c r="V73" s="202">
        <v>0</v>
      </c>
      <c r="W73" s="202">
        <v>1</v>
      </c>
      <c r="X73" s="202">
        <v>2</v>
      </c>
      <c r="Y73" s="202">
        <v>3</v>
      </c>
      <c r="Z73" s="202">
        <v>4</v>
      </c>
      <c r="AA73" s="202">
        <v>5</v>
      </c>
      <c r="AB73" s="202">
        <v>6</v>
      </c>
      <c r="AC73" s="202">
        <v>7</v>
      </c>
      <c r="AD73" s="202">
        <v>8</v>
      </c>
      <c r="AE73" s="202">
        <v>9</v>
      </c>
      <c r="AF73" s="202">
        <v>10</v>
      </c>
    </row>
    <row r="74" spans="2:32" ht="16.5" customHeight="1" thickBot="1" x14ac:dyDescent="0.3">
      <c r="B74" s="106" t="s">
        <v>208</v>
      </c>
      <c r="C74" s="93"/>
      <c r="D74" s="75"/>
      <c r="E74" s="93"/>
      <c r="F74" s="93"/>
      <c r="G74" s="107"/>
      <c r="J74" s="94" t="s">
        <v>209</v>
      </c>
      <c r="K74" s="5" t="s">
        <v>210</v>
      </c>
      <c r="L74" s="5" t="s">
        <v>211</v>
      </c>
      <c r="M74" s="5" t="s">
        <v>212</v>
      </c>
      <c r="N74" s="5" t="s">
        <v>213</v>
      </c>
      <c r="O74" s="50" t="s">
        <v>214</v>
      </c>
      <c r="U74" s="178" t="s">
        <v>215</v>
      </c>
      <c r="V74" s="348">
        <f>W10*W12*12</f>
        <v>450000000</v>
      </c>
      <c r="W74" s="348">
        <f>$W$10*12*W40*W39</f>
        <v>951323400</v>
      </c>
      <c r="X74" s="348">
        <f t="shared" ref="X74:AE74" si="19">$W$10*12*X40*X39</f>
        <v>1005573568.2084</v>
      </c>
      <c r="Y74" s="348">
        <f t="shared" si="19"/>
        <v>1062917406.509052</v>
      </c>
      <c r="Z74" s="348">
        <f>$W$10*12*Z40*Z39</f>
        <v>1123531334.5326374</v>
      </c>
      <c r="AA74" s="348">
        <f t="shared" si="19"/>
        <v>1187601832.4156954</v>
      </c>
      <c r="AB74" s="348">
        <f t="shared" si="19"/>
        <v>1255326014.5110331</v>
      </c>
      <c r="AC74" s="348">
        <f t="shared" si="19"/>
        <v>1326912235.814539</v>
      </c>
      <c r="AD74" s="348">
        <f t="shared" si="19"/>
        <v>1402580732.9740989</v>
      </c>
      <c r="AE74" s="348">
        <f t="shared" si="19"/>
        <v>1482564301.8526797</v>
      </c>
      <c r="AF74" s="348"/>
    </row>
    <row r="75" spans="2:32" ht="16.5" customHeight="1" thickTop="1" thickBot="1" x14ac:dyDescent="0.3">
      <c r="B75" s="106" t="s">
        <v>216</v>
      </c>
      <c r="C75" s="93"/>
      <c r="D75" s="75"/>
      <c r="E75" s="93"/>
      <c r="F75" s="93"/>
      <c r="G75" s="107"/>
      <c r="J75" s="160" t="s">
        <v>217</v>
      </c>
      <c r="K75" s="95" t="s">
        <v>218</v>
      </c>
      <c r="L75" s="96">
        <v>3</v>
      </c>
      <c r="M75" s="97">
        <f>10*6</f>
        <v>60</v>
      </c>
      <c r="N75" s="98">
        <v>25000000</v>
      </c>
      <c r="O75" s="161" t="s">
        <v>219</v>
      </c>
      <c r="U75" s="178" t="s">
        <v>220</v>
      </c>
      <c r="V75" s="348"/>
      <c r="W75" s="348">
        <f t="shared" ref="W75:AE75" si="20">W69</f>
        <v>64250600</v>
      </c>
      <c r="X75" s="348">
        <f t="shared" si="20"/>
        <v>66582896.780000001</v>
      </c>
      <c r="Y75" s="348">
        <f t="shared" si="20"/>
        <v>68999855.933114007</v>
      </c>
      <c r="Z75" s="348">
        <f t="shared" si="20"/>
        <v>71504550.703486025</v>
      </c>
      <c r="AA75" s="348">
        <f t="shared" si="20"/>
        <v>74100165.894022569</v>
      </c>
      <c r="AB75" s="348">
        <f t="shared" si="20"/>
        <v>76790001.915975586</v>
      </c>
      <c r="AC75" s="348">
        <f t="shared" si="20"/>
        <v>79577478.985525504</v>
      </c>
      <c r="AD75" s="348">
        <f t="shared" si="20"/>
        <v>82466141.472700074</v>
      </c>
      <c r="AE75" s="348">
        <f t="shared" si="20"/>
        <v>85459662.408159077</v>
      </c>
      <c r="AF75" s="348"/>
    </row>
    <row r="76" spans="2:32" ht="16.5" customHeight="1" thickTop="1" thickBot="1" x14ac:dyDescent="0.3">
      <c r="B76" s="106" t="s">
        <v>221</v>
      </c>
      <c r="C76" s="93"/>
      <c r="D76" s="75"/>
      <c r="E76" s="93"/>
      <c r="F76" s="93"/>
      <c r="G76" s="107"/>
      <c r="J76" s="162" t="s">
        <v>222</v>
      </c>
      <c r="K76" s="163" t="s">
        <v>223</v>
      </c>
      <c r="L76" s="75">
        <v>1</v>
      </c>
      <c r="M76" s="93">
        <v>30</v>
      </c>
      <c r="N76" s="76">
        <v>18000000</v>
      </c>
      <c r="O76" s="164" t="s">
        <v>224</v>
      </c>
      <c r="U76" s="198" t="s">
        <v>225</v>
      </c>
      <c r="V76" s="352">
        <f>SUM(V74:V75)</f>
        <v>450000000</v>
      </c>
      <c r="W76" s="352">
        <f t="shared" ref="W76:AE76" si="21">SUM(W74:W75)</f>
        <v>1015574000</v>
      </c>
      <c r="X76" s="352">
        <f t="shared" si="21"/>
        <v>1072156464.9884</v>
      </c>
      <c r="Y76" s="352">
        <f t="shared" si="21"/>
        <v>1131917262.4421661</v>
      </c>
      <c r="Z76" s="352">
        <f t="shared" si="21"/>
        <v>1195035885.2361233</v>
      </c>
      <c r="AA76" s="352">
        <f t="shared" si="21"/>
        <v>1261701998.3097179</v>
      </c>
      <c r="AB76" s="352">
        <f t="shared" si="21"/>
        <v>1332116016.4270086</v>
      </c>
      <c r="AC76" s="352">
        <f t="shared" si="21"/>
        <v>1406489714.8000646</v>
      </c>
      <c r="AD76" s="352">
        <f t="shared" si="21"/>
        <v>1485046874.446799</v>
      </c>
      <c r="AE76" s="352">
        <f t="shared" si="21"/>
        <v>1568023964.2608387</v>
      </c>
      <c r="AF76" s="353"/>
    </row>
    <row r="77" spans="2:32" ht="16.5" customHeight="1" thickTop="1" thickBot="1" x14ac:dyDescent="0.3">
      <c r="B77" s="106" t="s">
        <v>226</v>
      </c>
      <c r="C77" s="93"/>
      <c r="D77" s="93"/>
      <c r="E77" s="93"/>
      <c r="F77" s="93"/>
      <c r="G77" s="107"/>
      <c r="J77" s="165" t="s">
        <v>227</v>
      </c>
      <c r="K77" s="103" t="s">
        <v>228</v>
      </c>
      <c r="L77" s="99">
        <v>5</v>
      </c>
      <c r="M77" s="100">
        <v>30</v>
      </c>
      <c r="N77" s="101">
        <v>15000000</v>
      </c>
      <c r="O77" s="166" t="s">
        <v>229</v>
      </c>
      <c r="U77" s="178" t="s">
        <v>230</v>
      </c>
      <c r="V77" s="348"/>
      <c r="W77" s="348">
        <f t="shared" ref="W77:AE77" si="22">$W$31*W39</f>
        <v>148391942.19999999</v>
      </c>
      <c r="X77" s="348">
        <f t="shared" si="22"/>
        <v>153778569.70186001</v>
      </c>
      <c r="Y77" s="348">
        <f t="shared" si="22"/>
        <v>159360731.78203753</v>
      </c>
      <c r="Z77" s="348">
        <f t="shared" si="22"/>
        <v>165145526.34572548</v>
      </c>
      <c r="AA77" s="348">
        <f t="shared" si="22"/>
        <v>171140308.9520753</v>
      </c>
      <c r="AB77" s="348">
        <f t="shared" si="22"/>
        <v>177352702.16703561</v>
      </c>
      <c r="AC77" s="348">
        <f t="shared" si="22"/>
        <v>183790605.25569901</v>
      </c>
      <c r="AD77" s="348">
        <f t="shared" si="22"/>
        <v>190462204.22648087</v>
      </c>
      <c r="AE77" s="348">
        <f t="shared" si="22"/>
        <v>197375982.23990214</v>
      </c>
      <c r="AF77" s="348">
        <f>AE77*W32</f>
        <v>59212794.671970643</v>
      </c>
    </row>
    <row r="78" spans="2:32" ht="16.5" customHeight="1" thickTop="1" thickBot="1" x14ac:dyDescent="0.3">
      <c r="B78" s="106" t="s">
        <v>231</v>
      </c>
      <c r="C78" s="93"/>
      <c r="D78" s="93"/>
      <c r="E78" s="93"/>
      <c r="F78" s="93"/>
      <c r="G78" s="107"/>
      <c r="J78" s="165" t="s">
        <v>232</v>
      </c>
      <c r="K78" s="103" t="s">
        <v>233</v>
      </c>
      <c r="L78" s="99">
        <v>4</v>
      </c>
      <c r="M78" s="100">
        <v>20</v>
      </c>
      <c r="N78" s="101">
        <v>8500000</v>
      </c>
      <c r="O78" s="166" t="s">
        <v>234</v>
      </c>
      <c r="U78" s="209" t="s">
        <v>235</v>
      </c>
      <c r="V78" s="354">
        <f t="shared" ref="V78:AF78" si="23">SUM(V77,V76)</f>
        <v>450000000</v>
      </c>
      <c r="W78" s="354">
        <f t="shared" si="23"/>
        <v>1163965942.2</v>
      </c>
      <c r="X78" s="354">
        <f t="shared" si="23"/>
        <v>1225935034.6902599</v>
      </c>
      <c r="Y78" s="354">
        <f t="shared" si="23"/>
        <v>1291277994.2242036</v>
      </c>
      <c r="Z78" s="354">
        <f t="shared" si="23"/>
        <v>1360181411.5818489</v>
      </c>
      <c r="AA78" s="354">
        <f t="shared" si="23"/>
        <v>1432842307.2617931</v>
      </c>
      <c r="AB78" s="354">
        <f t="shared" si="23"/>
        <v>1509468718.5940442</v>
      </c>
      <c r="AC78" s="354">
        <f t="shared" si="23"/>
        <v>1590280320.0557635</v>
      </c>
      <c r="AD78" s="354">
        <f t="shared" si="23"/>
        <v>1675509078.67328</v>
      </c>
      <c r="AE78" s="354">
        <f t="shared" si="23"/>
        <v>1765399946.500741</v>
      </c>
      <c r="AF78" s="354">
        <f t="shared" si="23"/>
        <v>59212794.671970643</v>
      </c>
    </row>
    <row r="79" spans="2:32" ht="16.5" customHeight="1" thickTop="1" thickBot="1" x14ac:dyDescent="0.3">
      <c r="B79" s="108" t="s">
        <v>236</v>
      </c>
      <c r="C79" s="109" t="s">
        <v>237</v>
      </c>
      <c r="D79" s="93"/>
      <c r="E79" s="93"/>
      <c r="F79" s="93"/>
      <c r="G79" s="107"/>
      <c r="J79" s="165" t="s">
        <v>238</v>
      </c>
      <c r="K79" s="103" t="s">
        <v>239</v>
      </c>
      <c r="L79" s="99">
        <v>1</v>
      </c>
      <c r="M79" s="100">
        <v>9</v>
      </c>
      <c r="N79" s="101">
        <v>6500000</v>
      </c>
      <c r="O79" s="166" t="s">
        <v>240</v>
      </c>
    </row>
    <row r="80" spans="2:32" ht="16.5" customHeight="1" thickTop="1" thickBot="1" x14ac:dyDescent="0.3">
      <c r="B80" s="110" t="s">
        <v>241</v>
      </c>
      <c r="C80" s="111" t="s">
        <v>242</v>
      </c>
      <c r="D80" s="70"/>
      <c r="E80" s="70"/>
      <c r="F80" s="70"/>
      <c r="G80" s="112"/>
      <c r="J80" s="160" t="s">
        <v>243</v>
      </c>
      <c r="K80" s="102" t="s">
        <v>244</v>
      </c>
      <c r="L80" s="96">
        <v>1</v>
      </c>
      <c r="M80" s="97">
        <v>9</v>
      </c>
      <c r="N80" s="98">
        <v>6000000</v>
      </c>
      <c r="O80" s="161" t="s">
        <v>245</v>
      </c>
    </row>
    <row r="81" spans="1:31" ht="16.5" customHeight="1" thickTop="1" thickBot="1" x14ac:dyDescent="0.3">
      <c r="J81" s="160" t="s">
        <v>246</v>
      </c>
      <c r="K81" s="105" t="s">
        <v>247</v>
      </c>
      <c r="L81" s="96">
        <v>8</v>
      </c>
      <c r="M81" s="97">
        <v>9</v>
      </c>
      <c r="N81" s="98">
        <v>5500000</v>
      </c>
      <c r="O81" s="161" t="s">
        <v>248</v>
      </c>
      <c r="U81" s="177" t="s">
        <v>249</v>
      </c>
      <c r="V81" s="193"/>
      <c r="W81" s="193"/>
      <c r="X81" s="193"/>
      <c r="Y81" s="193"/>
      <c r="Z81" s="193"/>
      <c r="AA81" s="195"/>
      <c r="AB81" s="195"/>
      <c r="AC81" s="195"/>
      <c r="AD81" s="195"/>
      <c r="AE81" s="195"/>
    </row>
    <row r="82" spans="1:31" ht="16.5" customHeight="1" thickTop="1" thickBot="1" x14ac:dyDescent="0.3">
      <c r="J82" s="104" t="s">
        <v>250</v>
      </c>
      <c r="K82" s="373">
        <f>SUMPRODUCT(L75:L81,N75:N81)+SUM(M75:M81)*18200</f>
        <v>261539400</v>
      </c>
      <c r="L82" s="373"/>
      <c r="M82" s="373"/>
      <c r="N82" s="373"/>
      <c r="O82" s="374"/>
      <c r="U82" s="201" t="s">
        <v>168</v>
      </c>
      <c r="V82" s="213">
        <v>0</v>
      </c>
      <c r="W82" s="213">
        <v>1</v>
      </c>
      <c r="X82" s="213">
        <v>2</v>
      </c>
      <c r="Y82" s="213">
        <v>3</v>
      </c>
      <c r="Z82" s="213">
        <v>4</v>
      </c>
      <c r="AA82" s="195"/>
      <c r="AB82" s="195"/>
      <c r="AC82" s="195"/>
      <c r="AD82" s="195"/>
      <c r="AE82" s="195"/>
    </row>
    <row r="83" spans="1:31" ht="16.5" customHeight="1" x14ac:dyDescent="0.25">
      <c r="J83" s="74"/>
      <c r="K83" s="75"/>
      <c r="L83" s="75"/>
      <c r="M83" s="76"/>
      <c r="N83" s="75"/>
      <c r="O83" s="75"/>
      <c r="U83" s="178" t="s">
        <v>251</v>
      </c>
      <c r="V83" s="348"/>
      <c r="W83" s="348">
        <f>V88</f>
        <v>419137197.5</v>
      </c>
      <c r="X83" s="348">
        <f>W88</f>
        <v>329487122.33435607</v>
      </c>
      <c r="Y83" s="348">
        <f t="shared" ref="Y83:Z83" si="24">X88</f>
        <v>230423789.2763195</v>
      </c>
      <c r="Z83" s="348">
        <f t="shared" si="24"/>
        <v>120958806.24718909</v>
      </c>
      <c r="AA83" s="193"/>
      <c r="AB83" s="181"/>
      <c r="AC83" s="199"/>
      <c r="AD83" s="199"/>
      <c r="AE83" s="199"/>
    </row>
    <row r="84" spans="1:31" ht="16.5" customHeight="1" thickBot="1" x14ac:dyDescent="0.3">
      <c r="B84" s="5" t="s">
        <v>252</v>
      </c>
      <c r="J84" s="74"/>
      <c r="K84" s="75"/>
      <c r="L84" s="75"/>
      <c r="M84" s="76"/>
      <c r="N84" s="75"/>
      <c r="O84" s="75"/>
      <c r="U84" s="178" t="s">
        <v>253</v>
      </c>
      <c r="V84" s="348"/>
      <c r="W84" s="348">
        <f>W83*$AC$20</f>
        <v>44009405.737499997</v>
      </c>
      <c r="X84" s="348">
        <f>X83*$AC$20</f>
        <v>34596147.845107384</v>
      </c>
      <c r="Y84" s="348">
        <f>Y83*$AC$20</f>
        <v>24194497.874013547</v>
      </c>
      <c r="Z84" s="348">
        <f>Z83*$AC$20</f>
        <v>12700674.655954855</v>
      </c>
      <c r="AA84" s="195"/>
      <c r="AB84" s="195"/>
      <c r="AC84" s="195"/>
      <c r="AD84" s="195"/>
      <c r="AE84" s="195"/>
    </row>
    <row r="85" spans="1:31" ht="16.5" customHeight="1" thickBot="1" x14ac:dyDescent="0.3">
      <c r="B85" s="47" t="s">
        <v>254</v>
      </c>
      <c r="C85" s="48" t="s">
        <v>255</v>
      </c>
      <c r="D85" s="48"/>
      <c r="E85" s="48"/>
      <c r="F85" s="49"/>
      <c r="J85" s="129" t="s">
        <v>256</v>
      </c>
      <c r="K85" s="377" t="s">
        <v>257</v>
      </c>
      <c r="L85" s="377"/>
      <c r="M85" s="377"/>
      <c r="N85" s="378"/>
      <c r="O85" s="75"/>
      <c r="U85" s="178" t="s">
        <v>258</v>
      </c>
      <c r="V85" s="348"/>
      <c r="W85" s="348">
        <f>-PMT($AC$20,$AC$21,$W$83)</f>
        <v>133659480.90314396</v>
      </c>
      <c r="X85" s="348">
        <f>-PMT($AC$20,$AC$21,$W$83)</f>
        <v>133659480.90314396</v>
      </c>
      <c r="Y85" s="348">
        <f>-PMT($AC$20,$AC$21,$W$83)</f>
        <v>133659480.90314396</v>
      </c>
      <c r="Z85" s="348">
        <f>-PMT($AC$20,$AC$21,$W$83)</f>
        <v>133659480.90314396</v>
      </c>
      <c r="AA85" s="195"/>
      <c r="AB85" s="195"/>
      <c r="AC85" s="200"/>
      <c r="AD85" s="200"/>
      <c r="AE85" s="195"/>
    </row>
    <row r="86" spans="1:31" ht="16.5" customHeight="1" thickBot="1" x14ac:dyDescent="0.3">
      <c r="B86" s="55" t="s">
        <v>259</v>
      </c>
      <c r="C86" s="53" t="s">
        <v>260</v>
      </c>
      <c r="D86" s="158" t="s">
        <v>261</v>
      </c>
      <c r="E86" s="53" t="s">
        <v>262</v>
      </c>
      <c r="F86" s="54" t="s">
        <v>11</v>
      </c>
      <c r="I86" s="5"/>
      <c r="J86" s="131" t="s">
        <v>263</v>
      </c>
      <c r="K86" s="132" t="s">
        <v>8</v>
      </c>
      <c r="L86" s="132" t="s">
        <v>264</v>
      </c>
      <c r="M86" s="133" t="s">
        <v>6</v>
      </c>
      <c r="N86" s="134" t="s">
        <v>17</v>
      </c>
      <c r="O86" s="75"/>
      <c r="U86" s="178" t="s">
        <v>265</v>
      </c>
      <c r="V86" s="348"/>
      <c r="W86" s="348">
        <f>W85-W87</f>
        <v>89650075.16564396</v>
      </c>
      <c r="X86" s="348">
        <f t="shared" ref="X86:Z86" si="25">X85-X87</f>
        <v>99063333.058036566</v>
      </c>
      <c r="Y86" s="348">
        <f t="shared" si="25"/>
        <v>109464983.02913041</v>
      </c>
      <c r="Z86" s="348">
        <f t="shared" si="25"/>
        <v>120958806.2471891</v>
      </c>
      <c r="AA86" s="195"/>
      <c r="AB86" s="195"/>
      <c r="AC86" s="195"/>
      <c r="AD86" s="195"/>
      <c r="AE86" s="195"/>
    </row>
    <row r="87" spans="1:31" ht="16.5" customHeight="1" thickBot="1" x14ac:dyDescent="0.3">
      <c r="B87" s="159" t="s">
        <v>266</v>
      </c>
      <c r="C87" s="69" t="s">
        <v>267</v>
      </c>
      <c r="D87" s="72">
        <v>1</v>
      </c>
      <c r="E87" s="73">
        <v>18000000</v>
      </c>
      <c r="F87" s="71" t="s">
        <v>268</v>
      </c>
      <c r="J87" s="375" t="s">
        <v>269</v>
      </c>
      <c r="K87" s="135" t="s">
        <v>270</v>
      </c>
      <c r="L87" s="135" t="s">
        <v>271</v>
      </c>
      <c r="M87" s="136">
        <f>22*26000*12</f>
        <v>6864000</v>
      </c>
      <c r="N87" s="137" t="s">
        <v>17</v>
      </c>
      <c r="O87" s="75"/>
      <c r="U87" s="178" t="s">
        <v>272</v>
      </c>
      <c r="V87" s="348"/>
      <c r="W87" s="348">
        <f>W84</f>
        <v>44009405.737499997</v>
      </c>
      <c r="X87" s="348">
        <f t="shared" ref="X87:Z87" si="26">X84</f>
        <v>34596147.845107384</v>
      </c>
      <c r="Y87" s="348">
        <f t="shared" si="26"/>
        <v>24194497.874013547</v>
      </c>
      <c r="Z87" s="348">
        <f t="shared" si="26"/>
        <v>12700674.655954855</v>
      </c>
      <c r="AA87" s="195"/>
      <c r="AB87" s="195"/>
    </row>
    <row r="88" spans="1:31" ht="16.5" customHeight="1" thickBot="1" x14ac:dyDescent="0.3">
      <c r="B88" s="56" t="s">
        <v>128</v>
      </c>
      <c r="C88" s="69" t="s">
        <v>273</v>
      </c>
      <c r="D88" s="72">
        <v>2</v>
      </c>
      <c r="E88" s="73">
        <v>10000000</v>
      </c>
      <c r="F88" s="71" t="s">
        <v>274</v>
      </c>
      <c r="J88" s="376"/>
      <c r="K88" s="130" t="s">
        <v>275</v>
      </c>
      <c r="L88" s="130" t="s">
        <v>276</v>
      </c>
      <c r="M88" s="128">
        <v>4650000</v>
      </c>
      <c r="N88" s="127" t="s">
        <v>17</v>
      </c>
      <c r="O88" s="75"/>
      <c r="U88" s="178" t="s">
        <v>277</v>
      </c>
      <c r="V88" s="348">
        <f>AC17*AC18</f>
        <v>419137197.5</v>
      </c>
      <c r="W88" s="348">
        <f>W83-W86</f>
        <v>329487122.33435607</v>
      </c>
      <c r="X88" s="348">
        <f t="shared" ref="X88:Z88" si="27">X83-X86</f>
        <v>230423789.2763195</v>
      </c>
      <c r="Y88" s="348">
        <f t="shared" si="27"/>
        <v>120958806.24718909</v>
      </c>
      <c r="Z88" s="354">
        <f t="shared" si="27"/>
        <v>0</v>
      </c>
      <c r="AA88" s="195"/>
      <c r="AB88" s="195"/>
    </row>
    <row r="89" spans="1:31" ht="16.5" customHeight="1" thickBot="1" x14ac:dyDescent="0.3">
      <c r="B89" s="56" t="s">
        <v>134</v>
      </c>
      <c r="C89" s="69" t="s">
        <v>278</v>
      </c>
      <c r="D89" s="72">
        <v>2</v>
      </c>
      <c r="E89" s="73">
        <v>5000000</v>
      </c>
      <c r="F89" s="71" t="s">
        <v>279</v>
      </c>
      <c r="J89" s="142" t="s">
        <v>280</v>
      </c>
      <c r="K89" s="138" t="s">
        <v>281</v>
      </c>
      <c r="L89" s="138" t="s">
        <v>282</v>
      </c>
      <c r="M89" s="139">
        <f>220000*12</f>
        <v>2640000</v>
      </c>
      <c r="N89" s="140" t="s">
        <v>17</v>
      </c>
      <c r="O89" s="75"/>
    </row>
    <row r="90" spans="1:31" ht="16.5" customHeight="1" thickBot="1" x14ac:dyDescent="0.3">
      <c r="B90" s="56" t="s">
        <v>141</v>
      </c>
      <c r="C90" s="69" t="s">
        <v>283</v>
      </c>
      <c r="D90" s="72">
        <v>2</v>
      </c>
      <c r="E90" s="73">
        <v>7000000</v>
      </c>
      <c r="F90" s="71" t="s">
        <v>284</v>
      </c>
      <c r="J90" s="142" t="s">
        <v>285</v>
      </c>
      <c r="K90" s="141" t="s">
        <v>286</v>
      </c>
      <c r="L90" s="141" t="s">
        <v>287</v>
      </c>
      <c r="M90" s="139">
        <f>7920000*12</f>
        <v>95040000</v>
      </c>
      <c r="N90" s="140" t="s">
        <v>17</v>
      </c>
      <c r="O90" s="75"/>
      <c r="U90" s="194" t="s">
        <v>288</v>
      </c>
      <c r="V90" s="193"/>
      <c r="W90" s="193"/>
      <c r="X90" s="212"/>
      <c r="Y90" s="193"/>
      <c r="Z90" s="193"/>
      <c r="AA90" s="193"/>
      <c r="AB90" s="193"/>
      <c r="AC90" s="193"/>
      <c r="AD90" s="193"/>
      <c r="AE90" s="193"/>
    </row>
    <row r="91" spans="1:31" ht="16.5" customHeight="1" thickBot="1" x14ac:dyDescent="0.3">
      <c r="A91" s="8"/>
      <c r="B91" s="58" t="s">
        <v>289</v>
      </c>
      <c r="C91" s="370">
        <f>SUMPRODUCT(D87:D90,E87:E90)</f>
        <v>62000000</v>
      </c>
      <c r="D91" s="370"/>
      <c r="E91" s="370"/>
      <c r="F91" s="370"/>
      <c r="J91" s="142" t="s">
        <v>290</v>
      </c>
      <c r="K91" s="170" t="s">
        <v>291</v>
      </c>
      <c r="L91" s="170" t="s">
        <v>292</v>
      </c>
      <c r="M91" s="128">
        <v>10000000</v>
      </c>
      <c r="N91" s="127" t="s">
        <v>17</v>
      </c>
      <c r="O91" s="75"/>
      <c r="U91" s="203" t="s">
        <v>168</v>
      </c>
      <c r="V91" s="202">
        <v>0</v>
      </c>
      <c r="W91" s="202">
        <v>1</v>
      </c>
      <c r="X91" s="202">
        <v>2</v>
      </c>
      <c r="Y91" s="202">
        <v>3</v>
      </c>
      <c r="Z91" s="202">
        <v>4</v>
      </c>
      <c r="AA91" s="203">
        <v>5</v>
      </c>
      <c r="AB91" s="202">
        <v>6</v>
      </c>
      <c r="AC91" s="202">
        <v>7</v>
      </c>
      <c r="AD91" s="202">
        <v>8</v>
      </c>
      <c r="AE91" s="202">
        <v>9</v>
      </c>
    </row>
    <row r="92" spans="1:31" ht="16.5" customHeight="1" thickBot="1" x14ac:dyDescent="0.3">
      <c r="E92" s="45"/>
      <c r="J92" s="171" t="s">
        <v>293</v>
      </c>
      <c r="K92" s="130" t="s">
        <v>294</v>
      </c>
      <c r="L92" s="130" t="s">
        <v>295</v>
      </c>
      <c r="M92" s="128">
        <f>2000000*12</f>
        <v>24000000</v>
      </c>
      <c r="N92" s="127" t="s">
        <v>17</v>
      </c>
      <c r="U92" s="187" t="s">
        <v>201</v>
      </c>
      <c r="V92" s="345"/>
      <c r="W92" s="356">
        <f t="shared" ref="W92:AE92" si="28">W60</f>
        <v>2152176440.7000003</v>
      </c>
      <c r="X92" s="345">
        <f t="shared" si="28"/>
        <v>2403234510.8098249</v>
      </c>
      <c r="Y92" s="345">
        <f t="shared" si="28"/>
        <v>2640632730.7075753</v>
      </c>
      <c r="Z92" s="345">
        <f t="shared" si="28"/>
        <v>3221236948.3396893</v>
      </c>
      <c r="AA92" s="345">
        <f t="shared" si="28"/>
        <v>3438312885.0513535</v>
      </c>
      <c r="AB92" s="345">
        <f t="shared" si="28"/>
        <v>3670017352.0620785</v>
      </c>
      <c r="AC92" s="345">
        <f t="shared" si="28"/>
        <v>4651836679.7877254</v>
      </c>
      <c r="AD92" s="345">
        <f t="shared" si="28"/>
        <v>4965319301.8019409</v>
      </c>
      <c r="AE92" s="345">
        <f t="shared" si="28"/>
        <v>5299927204.2310715</v>
      </c>
    </row>
    <row r="93" spans="1:31" ht="16.5" customHeight="1" thickBot="1" x14ac:dyDescent="0.3">
      <c r="E93" s="45"/>
      <c r="I93" s="5"/>
      <c r="J93" s="142" t="s">
        <v>68</v>
      </c>
      <c r="K93" s="143"/>
      <c r="L93" s="143"/>
      <c r="M93" s="144">
        <f>SUM(M87:M92)</f>
        <v>143194000</v>
      </c>
      <c r="N93" s="145"/>
      <c r="U93" s="183" t="s">
        <v>296</v>
      </c>
      <c r="V93" s="345"/>
      <c r="W93" s="345">
        <f t="shared" ref="W93:AE93" si="29">W77</f>
        <v>148391942.19999999</v>
      </c>
      <c r="X93" s="345">
        <f t="shared" si="29"/>
        <v>153778569.70186001</v>
      </c>
      <c r="Y93" s="345">
        <f t="shared" si="29"/>
        <v>159360731.78203753</v>
      </c>
      <c r="Z93" s="345">
        <f t="shared" si="29"/>
        <v>165145526.34572548</v>
      </c>
      <c r="AA93" s="345">
        <f t="shared" si="29"/>
        <v>171140308.9520753</v>
      </c>
      <c r="AB93" s="345">
        <f t="shared" si="29"/>
        <v>177352702.16703561</v>
      </c>
      <c r="AC93" s="345">
        <f t="shared" si="29"/>
        <v>183790605.25569901</v>
      </c>
      <c r="AD93" s="345">
        <f t="shared" si="29"/>
        <v>190462204.22648087</v>
      </c>
      <c r="AE93" s="345">
        <f t="shared" si="29"/>
        <v>197375982.23990214</v>
      </c>
    </row>
    <row r="94" spans="1:31" ht="16.5" customHeight="1" x14ac:dyDescent="0.25">
      <c r="E94" s="45"/>
      <c r="J94" s="1"/>
      <c r="U94" s="183" t="s">
        <v>297</v>
      </c>
      <c r="V94" s="345">
        <f t="shared" ref="V94:AE94" si="30">V76</f>
        <v>450000000</v>
      </c>
      <c r="W94" s="345">
        <f t="shared" si="30"/>
        <v>1015574000</v>
      </c>
      <c r="X94" s="345">
        <f t="shared" si="30"/>
        <v>1072156464.9884</v>
      </c>
      <c r="Y94" s="345">
        <f t="shared" si="30"/>
        <v>1131917262.4421661</v>
      </c>
      <c r="Z94" s="345">
        <f t="shared" si="30"/>
        <v>1195035885.2361233</v>
      </c>
      <c r="AA94" s="345">
        <f t="shared" si="30"/>
        <v>1261701998.3097179</v>
      </c>
      <c r="AB94" s="345">
        <f t="shared" si="30"/>
        <v>1332116016.4270086</v>
      </c>
      <c r="AC94" s="345">
        <f t="shared" si="30"/>
        <v>1406489714.8000646</v>
      </c>
      <c r="AD94" s="345">
        <f t="shared" si="30"/>
        <v>1485046874.446799</v>
      </c>
      <c r="AE94" s="345">
        <f t="shared" si="30"/>
        <v>1568023964.2608387</v>
      </c>
    </row>
    <row r="95" spans="1:31" ht="16.5" customHeight="1" x14ac:dyDescent="0.25">
      <c r="E95" s="45"/>
      <c r="J95" s="5"/>
      <c r="U95" s="183" t="s">
        <v>298</v>
      </c>
      <c r="V95" s="351">
        <f>V92-SUM(V93:V94)</f>
        <v>-450000000</v>
      </c>
      <c r="W95" s="351">
        <f t="shared" ref="W95:AE95" si="31">W92-SUM(W93:W94)</f>
        <v>988210498.50000024</v>
      </c>
      <c r="X95" s="351">
        <f t="shared" si="31"/>
        <v>1177299476.119565</v>
      </c>
      <c r="Y95" s="351">
        <f t="shared" si="31"/>
        <v>1349354736.4833717</v>
      </c>
      <c r="Z95" s="351">
        <f t="shared" si="31"/>
        <v>1861055536.7578404</v>
      </c>
      <c r="AA95" s="351">
        <f t="shared" si="31"/>
        <v>2005470577.7895603</v>
      </c>
      <c r="AB95" s="351">
        <f t="shared" si="31"/>
        <v>2160548633.4680343</v>
      </c>
      <c r="AC95" s="351">
        <f t="shared" si="31"/>
        <v>3061556359.7319622</v>
      </c>
      <c r="AD95" s="351">
        <f t="shared" si="31"/>
        <v>3289810223.1286612</v>
      </c>
      <c r="AE95" s="351">
        <f t="shared" si="31"/>
        <v>3534527257.7303305</v>
      </c>
    </row>
    <row r="96" spans="1:31" ht="16.5" customHeight="1" x14ac:dyDescent="0.25">
      <c r="J96" s="1"/>
      <c r="U96" s="183" t="s">
        <v>299</v>
      </c>
      <c r="V96" s="345"/>
      <c r="W96" s="345">
        <f>W87</f>
        <v>44009405.737499997</v>
      </c>
      <c r="X96" s="345">
        <f>X87</f>
        <v>34596147.845107384</v>
      </c>
      <c r="Y96" s="345">
        <f>Y87</f>
        <v>24194497.874013547</v>
      </c>
      <c r="Z96" s="345">
        <f>Z87</f>
        <v>12700674.655954855</v>
      </c>
      <c r="AA96" s="345"/>
      <c r="AB96" s="345"/>
      <c r="AC96" s="345"/>
      <c r="AD96" s="345"/>
      <c r="AE96" s="345"/>
    </row>
    <row r="97" spans="10:32" ht="16.5" customHeight="1" x14ac:dyDescent="0.25">
      <c r="J97" s="1"/>
      <c r="U97" s="183" t="s">
        <v>300</v>
      </c>
      <c r="V97" s="351">
        <f>V95-V96</f>
        <v>-450000000</v>
      </c>
      <c r="W97" s="351">
        <f>W95-W96</f>
        <v>944201092.76250029</v>
      </c>
      <c r="X97" s="351">
        <f t="shared" ref="X97:AE97" si="32">X95-X96</f>
        <v>1142703328.2744577</v>
      </c>
      <c r="Y97" s="351">
        <f t="shared" si="32"/>
        <v>1325160238.6093581</v>
      </c>
      <c r="Z97" s="351">
        <f t="shared" si="32"/>
        <v>1848354862.1018856</v>
      </c>
      <c r="AA97" s="351">
        <f t="shared" si="32"/>
        <v>2005470577.7895603</v>
      </c>
      <c r="AB97" s="351">
        <f t="shared" si="32"/>
        <v>2160548633.4680343</v>
      </c>
      <c r="AC97" s="351">
        <f t="shared" si="32"/>
        <v>3061556359.7319622</v>
      </c>
      <c r="AD97" s="351">
        <f t="shared" si="32"/>
        <v>3289810223.1286612</v>
      </c>
      <c r="AE97" s="351">
        <f t="shared" si="32"/>
        <v>3534527257.7303305</v>
      </c>
    </row>
    <row r="98" spans="10:32" ht="16.5" customHeight="1" x14ac:dyDescent="0.25">
      <c r="J98" s="1"/>
      <c r="U98" s="183" t="s">
        <v>301</v>
      </c>
      <c r="V98" s="345">
        <f t="shared" ref="V98:AE98" si="33">IF(V97&lt;0,0,IF(U97*V97&lt;0,V97+U97,V97))</f>
        <v>0</v>
      </c>
      <c r="W98" s="345">
        <f t="shared" si="33"/>
        <v>494201092.76250029</v>
      </c>
      <c r="X98" s="345">
        <f t="shared" si="33"/>
        <v>1142703328.2744577</v>
      </c>
      <c r="Y98" s="345">
        <f t="shared" si="33"/>
        <v>1325160238.6093581</v>
      </c>
      <c r="Z98" s="345">
        <f t="shared" si="33"/>
        <v>1848354862.1018856</v>
      </c>
      <c r="AA98" s="345">
        <f t="shared" si="33"/>
        <v>2005470577.7895603</v>
      </c>
      <c r="AB98" s="345">
        <f t="shared" si="33"/>
        <v>2160548633.4680343</v>
      </c>
      <c r="AC98" s="345">
        <f t="shared" si="33"/>
        <v>3061556359.7319622</v>
      </c>
      <c r="AD98" s="345">
        <f t="shared" si="33"/>
        <v>3289810223.1286612</v>
      </c>
      <c r="AE98" s="345">
        <f t="shared" si="33"/>
        <v>3534527257.7303305</v>
      </c>
    </row>
    <row r="99" spans="10:32" ht="16.5" customHeight="1" x14ac:dyDescent="0.25">
      <c r="P99" s="208"/>
      <c r="U99" s="183" t="s">
        <v>302</v>
      </c>
      <c r="V99" s="345">
        <f t="shared" ref="V99:AE99" si="34">V98*$AC$29</f>
        <v>0</v>
      </c>
      <c r="W99" s="345">
        <f t="shared" si="34"/>
        <v>98840218.552500069</v>
      </c>
      <c r="X99" s="345">
        <f t="shared" si="34"/>
        <v>228540665.65489155</v>
      </c>
      <c r="Y99" s="345">
        <f t="shared" si="34"/>
        <v>265032047.72187161</v>
      </c>
      <c r="Z99" s="345">
        <f t="shared" si="34"/>
        <v>369670972.42037714</v>
      </c>
      <c r="AA99" s="345">
        <f t="shared" si="34"/>
        <v>401094115.55791211</v>
      </c>
      <c r="AB99" s="345">
        <f t="shared" si="34"/>
        <v>432109726.69360685</v>
      </c>
      <c r="AC99" s="345">
        <f t="shared" si="34"/>
        <v>612311271.94639242</v>
      </c>
      <c r="AD99" s="345">
        <f t="shared" si="34"/>
        <v>657962044.6257323</v>
      </c>
      <c r="AE99" s="345">
        <f t="shared" si="34"/>
        <v>706905451.54606616</v>
      </c>
    </row>
    <row r="100" spans="10:32" ht="16.5" customHeight="1" x14ac:dyDescent="0.25">
      <c r="U100" s="183" t="s">
        <v>303</v>
      </c>
      <c r="V100" s="351">
        <f>V97-V99</f>
        <v>-450000000</v>
      </c>
      <c r="W100" s="351">
        <f t="shared" ref="W100:AE100" si="35">W97-W99</f>
        <v>845360874.21000028</v>
      </c>
      <c r="X100" s="351">
        <f t="shared" si="35"/>
        <v>914162662.6195662</v>
      </c>
      <c r="Y100" s="351">
        <f t="shared" si="35"/>
        <v>1060128190.8874865</v>
      </c>
      <c r="Z100" s="351">
        <f t="shared" si="35"/>
        <v>1478683889.6815085</v>
      </c>
      <c r="AA100" s="351">
        <f t="shared" si="35"/>
        <v>1604376462.2316482</v>
      </c>
      <c r="AB100" s="351">
        <f t="shared" si="35"/>
        <v>1728438906.7744274</v>
      </c>
      <c r="AC100" s="351">
        <f t="shared" si="35"/>
        <v>2449245087.7855697</v>
      </c>
      <c r="AD100" s="351">
        <f t="shared" si="35"/>
        <v>2631848178.5029287</v>
      </c>
      <c r="AE100" s="351">
        <f t="shared" si="35"/>
        <v>2827621806.1842642</v>
      </c>
    </row>
    <row r="101" spans="10:32" ht="16.5" customHeight="1" x14ac:dyDescent="0.25">
      <c r="U101" s="181"/>
      <c r="V101" s="182"/>
      <c r="W101" s="182"/>
      <c r="X101" s="182"/>
      <c r="Y101" s="182"/>
      <c r="Z101" s="182"/>
      <c r="AA101" s="182"/>
      <c r="AB101" s="182"/>
      <c r="AC101" s="182"/>
      <c r="AD101" s="182"/>
      <c r="AE101" s="182"/>
    </row>
    <row r="102" spans="10:32" ht="16.5" customHeight="1" x14ac:dyDescent="0.25">
      <c r="U102" s="177" t="s">
        <v>304</v>
      </c>
      <c r="V102" s="181"/>
      <c r="W102" s="181"/>
      <c r="X102" s="181"/>
      <c r="Y102" s="181"/>
      <c r="Z102" s="181"/>
      <c r="AA102" s="181"/>
      <c r="AB102" s="181"/>
      <c r="AC102" s="181"/>
      <c r="AD102" s="181"/>
      <c r="AE102" s="181"/>
    </row>
    <row r="103" spans="10:32" ht="16.5" customHeight="1" x14ac:dyDescent="0.25">
      <c r="U103" s="203" t="s">
        <v>168</v>
      </c>
      <c r="V103" s="203">
        <v>0</v>
      </c>
      <c r="W103" s="203">
        <v>1</v>
      </c>
      <c r="X103" s="203">
        <v>2</v>
      </c>
      <c r="Y103" s="203">
        <v>3</v>
      </c>
      <c r="Z103" s="203">
        <v>4</v>
      </c>
      <c r="AA103" s="203">
        <v>5</v>
      </c>
      <c r="AB103" s="203">
        <v>6</v>
      </c>
      <c r="AC103" s="203">
        <v>7</v>
      </c>
      <c r="AD103" s="203">
        <v>8</v>
      </c>
      <c r="AE103" s="203">
        <v>9</v>
      </c>
    </row>
    <row r="104" spans="10:32" ht="16.5" customHeight="1" x14ac:dyDescent="0.25">
      <c r="U104" s="183" t="s">
        <v>305</v>
      </c>
      <c r="V104" s="184"/>
      <c r="W104" s="345">
        <f t="shared" ref="W104:AE104" si="36">$W$34*W60</f>
        <v>86087057.628000006</v>
      </c>
      <c r="X104" s="345">
        <f t="shared" si="36"/>
        <v>96129380.432393</v>
      </c>
      <c r="Y104" s="345">
        <f t="shared" si="36"/>
        <v>105625309.22830302</v>
      </c>
      <c r="Z104" s="345">
        <f t="shared" si="36"/>
        <v>128849477.93358757</v>
      </c>
      <c r="AA104" s="345">
        <f t="shared" si="36"/>
        <v>137532515.40205413</v>
      </c>
      <c r="AB104" s="345">
        <f t="shared" si="36"/>
        <v>146800694.08248314</v>
      </c>
      <c r="AC104" s="345">
        <f t="shared" si="36"/>
        <v>186073467.19150901</v>
      </c>
      <c r="AD104" s="345">
        <f t="shared" si="36"/>
        <v>198612772.07207763</v>
      </c>
      <c r="AE104" s="345">
        <f t="shared" si="36"/>
        <v>211997088.16924286</v>
      </c>
    </row>
    <row r="105" spans="10:32" ht="16.5" customHeight="1" x14ac:dyDescent="0.25">
      <c r="U105" s="183" t="s">
        <v>306</v>
      </c>
      <c r="V105" s="184"/>
      <c r="W105" s="345">
        <f>V104-W104</f>
        <v>-86087057.628000006</v>
      </c>
      <c r="X105" s="345">
        <f t="shared" ref="X105:AE105" si="37">W104-X104</f>
        <v>-10042322.804392993</v>
      </c>
      <c r="Y105" s="345">
        <f t="shared" si="37"/>
        <v>-9495928.7959100157</v>
      </c>
      <c r="Z105" s="345">
        <f t="shared" si="37"/>
        <v>-23224168.705284551</v>
      </c>
      <c r="AA105" s="345">
        <f t="shared" si="37"/>
        <v>-8683037.468466565</v>
      </c>
      <c r="AB105" s="345">
        <f t="shared" si="37"/>
        <v>-9268178.6804290116</v>
      </c>
      <c r="AC105" s="345">
        <f t="shared" si="37"/>
        <v>-39272773.109025866</v>
      </c>
      <c r="AD105" s="345">
        <f t="shared" si="37"/>
        <v>-12539304.880568624</v>
      </c>
      <c r="AE105" s="345">
        <f t="shared" si="37"/>
        <v>-13384316.097165227</v>
      </c>
    </row>
    <row r="106" spans="10:32" ht="16.5" customHeight="1" x14ac:dyDescent="0.25">
      <c r="U106" s="183" t="s">
        <v>307</v>
      </c>
      <c r="V106" s="184"/>
      <c r="W106" s="345">
        <f t="shared" ref="W106:AE106" si="38">$W$35*W60</f>
        <v>6456529.3221000014</v>
      </c>
      <c r="X106" s="345">
        <f t="shared" si="38"/>
        <v>7209703.5324294753</v>
      </c>
      <c r="Y106" s="345">
        <f t="shared" si="38"/>
        <v>7921898.1921227258</v>
      </c>
      <c r="Z106" s="345">
        <f t="shared" si="38"/>
        <v>9663710.8450190686</v>
      </c>
      <c r="AA106" s="345">
        <f t="shared" si="38"/>
        <v>10314938.655154061</v>
      </c>
      <c r="AB106" s="345">
        <f t="shared" si="38"/>
        <v>11010052.056186236</v>
      </c>
      <c r="AC106" s="345">
        <f t="shared" si="38"/>
        <v>13955510.039363177</v>
      </c>
      <c r="AD106" s="345">
        <f t="shared" si="38"/>
        <v>14895957.905405823</v>
      </c>
      <c r="AE106" s="345">
        <f t="shared" si="38"/>
        <v>15899781.612693215</v>
      </c>
    </row>
    <row r="107" spans="10:32" ht="16.5" customHeight="1" x14ac:dyDescent="0.25">
      <c r="U107" s="183" t="s">
        <v>308</v>
      </c>
      <c r="V107" s="184"/>
      <c r="W107" s="345">
        <f>W106-V106</f>
        <v>6456529.3221000014</v>
      </c>
      <c r="X107" s="345">
        <f t="shared" ref="X107:AE107" si="39">X106-W106</f>
        <v>753174.21032947395</v>
      </c>
      <c r="Y107" s="345">
        <f t="shared" si="39"/>
        <v>712194.65969325043</v>
      </c>
      <c r="Z107" s="345">
        <f t="shared" si="39"/>
        <v>1741812.6528963428</v>
      </c>
      <c r="AA107" s="345">
        <f t="shared" si="39"/>
        <v>651227.810134992</v>
      </c>
      <c r="AB107" s="345">
        <f t="shared" si="39"/>
        <v>695113.40103217587</v>
      </c>
      <c r="AC107" s="345">
        <f t="shared" si="39"/>
        <v>2945457.9831769411</v>
      </c>
      <c r="AD107" s="345">
        <f t="shared" si="39"/>
        <v>940447.86604264565</v>
      </c>
      <c r="AE107" s="345">
        <f t="shared" si="39"/>
        <v>1003823.7072873916</v>
      </c>
    </row>
    <row r="108" spans="10:32" ht="16.5" customHeight="1" x14ac:dyDescent="0.25">
      <c r="U108" s="215"/>
      <c r="V108" s="215"/>
      <c r="W108" s="193"/>
      <c r="X108" s="193"/>
      <c r="Y108" s="193"/>
      <c r="Z108" s="193"/>
      <c r="AA108" s="193"/>
      <c r="AB108" s="193"/>
      <c r="AC108" s="193"/>
      <c r="AD108" s="193"/>
      <c r="AE108" s="193"/>
    </row>
    <row r="109" spans="10:32" ht="16.5" customHeight="1" x14ac:dyDescent="0.25">
      <c r="U109" s="216"/>
      <c r="V109" s="216"/>
      <c r="W109" s="216"/>
      <c r="X109" s="216"/>
      <c r="Y109" s="216"/>
      <c r="Z109" s="216"/>
      <c r="AA109" s="216"/>
      <c r="AB109" s="216"/>
      <c r="AC109" s="216"/>
      <c r="AD109" s="216"/>
      <c r="AE109" s="216"/>
    </row>
    <row r="110" spans="10:32" ht="16.5" customHeight="1" x14ac:dyDescent="0.25">
      <c r="U110" s="194" t="s">
        <v>309</v>
      </c>
      <c r="V110" s="193"/>
      <c r="W110" s="193"/>
      <c r="X110" s="193"/>
      <c r="Y110" s="193"/>
      <c r="Z110" s="193"/>
      <c r="AA110" s="193"/>
      <c r="AB110" s="193"/>
      <c r="AC110" s="193"/>
      <c r="AD110" s="193"/>
      <c r="AE110" s="193"/>
    </row>
    <row r="111" spans="10:32" ht="16.5" customHeight="1" x14ac:dyDescent="0.25">
      <c r="U111" s="203" t="s">
        <v>168</v>
      </c>
      <c r="V111" s="203">
        <v>0</v>
      </c>
      <c r="W111" s="203">
        <v>1</v>
      </c>
      <c r="X111" s="203">
        <v>2</v>
      </c>
      <c r="Y111" s="203">
        <v>3</v>
      </c>
      <c r="Z111" s="203">
        <v>4</v>
      </c>
      <c r="AA111" s="203">
        <v>5</v>
      </c>
      <c r="AB111" s="203">
        <v>6</v>
      </c>
      <c r="AC111" s="203">
        <v>7</v>
      </c>
      <c r="AD111" s="203">
        <v>8</v>
      </c>
      <c r="AE111" s="203">
        <v>9</v>
      </c>
      <c r="AF111" s="203">
        <v>10</v>
      </c>
    </row>
    <row r="112" spans="10:32" ht="16.5" customHeight="1" x14ac:dyDescent="0.25">
      <c r="U112" s="188" t="s">
        <v>310</v>
      </c>
      <c r="V112" s="350"/>
      <c r="W112" s="355"/>
      <c r="X112" s="350"/>
      <c r="Y112" s="350"/>
      <c r="Z112" s="350"/>
      <c r="AA112" s="350"/>
      <c r="AB112" s="350"/>
      <c r="AC112" s="350"/>
      <c r="AD112" s="350"/>
      <c r="AE112" s="350"/>
      <c r="AF112" s="350"/>
    </row>
    <row r="113" spans="21:32" ht="16.5" customHeight="1" x14ac:dyDescent="0.25">
      <c r="U113" s="183" t="s">
        <v>311</v>
      </c>
      <c r="V113" s="345">
        <f t="shared" ref="V113:AF113" si="40">V60</f>
        <v>0</v>
      </c>
      <c r="W113" s="345">
        <f t="shared" si="40"/>
        <v>2152176440.7000003</v>
      </c>
      <c r="X113" s="345">
        <f t="shared" si="40"/>
        <v>2403234510.8098249</v>
      </c>
      <c r="Y113" s="345">
        <f t="shared" si="40"/>
        <v>2640632730.7075753</v>
      </c>
      <c r="Z113" s="345">
        <f t="shared" si="40"/>
        <v>3221236948.3396893</v>
      </c>
      <c r="AA113" s="345">
        <f t="shared" si="40"/>
        <v>3438312885.0513535</v>
      </c>
      <c r="AB113" s="345">
        <f t="shared" si="40"/>
        <v>3670017352.0620785</v>
      </c>
      <c r="AC113" s="345">
        <f t="shared" si="40"/>
        <v>4651836679.7877254</v>
      </c>
      <c r="AD113" s="345">
        <f t="shared" si="40"/>
        <v>4965319301.8019409</v>
      </c>
      <c r="AE113" s="345">
        <f t="shared" si="40"/>
        <v>5299927204.2310715</v>
      </c>
      <c r="AF113" s="345">
        <f t="shared" si="40"/>
        <v>0</v>
      </c>
    </row>
    <row r="114" spans="21:32" ht="16.5" customHeight="1" x14ac:dyDescent="0.25">
      <c r="U114" s="183" t="s">
        <v>312</v>
      </c>
      <c r="V114" s="345"/>
      <c r="W114" s="345"/>
      <c r="X114" s="345"/>
      <c r="Y114" s="345"/>
      <c r="Z114" s="345"/>
      <c r="AA114" s="345"/>
      <c r="AB114" s="345"/>
      <c r="AC114" s="345"/>
      <c r="AD114" s="345"/>
      <c r="AE114" s="345"/>
      <c r="AF114" s="345">
        <f>AE48*AF39</f>
        <v>427594543.80179703</v>
      </c>
    </row>
    <row r="115" spans="21:32" ht="16.5" customHeight="1" x14ac:dyDescent="0.25">
      <c r="U115" s="183" t="s">
        <v>313</v>
      </c>
      <c r="V115" s="345"/>
      <c r="W115" s="345"/>
      <c r="X115" s="345"/>
      <c r="Y115" s="345"/>
      <c r="Z115" s="345"/>
      <c r="AA115" s="345"/>
      <c r="AB115" s="345"/>
      <c r="AC115" s="345"/>
      <c r="AD115" s="345"/>
      <c r="AE115" s="345"/>
      <c r="AF115" s="345">
        <f>W10*W11</f>
        <v>150000000</v>
      </c>
    </row>
    <row r="116" spans="21:32" ht="16.5" customHeight="1" x14ac:dyDescent="0.25">
      <c r="U116" s="183" t="s">
        <v>314</v>
      </c>
      <c r="V116" s="345"/>
      <c r="W116" s="345">
        <f t="shared" ref="W116:AF116" si="41">W105</f>
        <v>-86087057.628000006</v>
      </c>
      <c r="X116" s="345">
        <f t="shared" si="41"/>
        <v>-10042322.804392993</v>
      </c>
      <c r="Y116" s="345">
        <f t="shared" si="41"/>
        <v>-9495928.7959100157</v>
      </c>
      <c r="Z116" s="345">
        <f t="shared" si="41"/>
        <v>-23224168.705284551</v>
      </c>
      <c r="AA116" s="345">
        <f t="shared" si="41"/>
        <v>-8683037.468466565</v>
      </c>
      <c r="AB116" s="345">
        <f t="shared" si="41"/>
        <v>-9268178.6804290116</v>
      </c>
      <c r="AC116" s="345">
        <f t="shared" si="41"/>
        <v>-39272773.109025866</v>
      </c>
      <c r="AD116" s="345">
        <f t="shared" si="41"/>
        <v>-12539304.880568624</v>
      </c>
      <c r="AE116" s="345">
        <f t="shared" si="41"/>
        <v>-13384316.097165227</v>
      </c>
      <c r="AF116" s="345">
        <f t="shared" si="41"/>
        <v>0</v>
      </c>
    </row>
    <row r="117" spans="21:32" ht="16.5" customHeight="1" x14ac:dyDescent="0.25">
      <c r="U117" s="188" t="s">
        <v>315</v>
      </c>
      <c r="V117" s="351">
        <f t="shared" ref="V117:AF117" si="42">SUM(V113:V116)</f>
        <v>0</v>
      </c>
      <c r="W117" s="351">
        <f t="shared" si="42"/>
        <v>2066089383.0720003</v>
      </c>
      <c r="X117" s="351">
        <f t="shared" si="42"/>
        <v>2393192188.0054321</v>
      </c>
      <c r="Y117" s="351">
        <f t="shared" si="42"/>
        <v>2631136801.9116654</v>
      </c>
      <c r="Z117" s="351">
        <f t="shared" si="42"/>
        <v>3198012779.6344047</v>
      </c>
      <c r="AA117" s="351">
        <f t="shared" si="42"/>
        <v>3429629847.5828867</v>
      </c>
      <c r="AB117" s="351">
        <f t="shared" si="42"/>
        <v>3660749173.3816495</v>
      </c>
      <c r="AC117" s="351">
        <f t="shared" si="42"/>
        <v>4612563906.6786995</v>
      </c>
      <c r="AD117" s="351">
        <f t="shared" si="42"/>
        <v>4952779996.9213724</v>
      </c>
      <c r="AE117" s="351">
        <f t="shared" si="42"/>
        <v>5286542888.1339064</v>
      </c>
      <c r="AF117" s="351">
        <f t="shared" si="42"/>
        <v>577594543.80179703</v>
      </c>
    </row>
    <row r="118" spans="21:32" ht="16.5" customHeight="1" x14ac:dyDescent="0.25">
      <c r="U118" s="189" t="s">
        <v>316</v>
      </c>
      <c r="V118" s="345"/>
      <c r="W118" s="345"/>
      <c r="X118" s="345"/>
      <c r="Y118" s="345"/>
      <c r="Z118" s="345"/>
      <c r="AA118" s="345"/>
      <c r="AB118" s="345"/>
      <c r="AC118" s="345"/>
      <c r="AD118" s="345"/>
      <c r="AE118" s="345"/>
      <c r="AF118" s="345"/>
    </row>
    <row r="119" spans="21:32" ht="16.5" customHeight="1" x14ac:dyDescent="0.25">
      <c r="U119" s="183" t="s">
        <v>317</v>
      </c>
      <c r="V119" s="345">
        <f>W17</f>
        <v>299163450</v>
      </c>
      <c r="W119" s="345"/>
      <c r="X119" s="345"/>
      <c r="Y119" s="345"/>
      <c r="Z119" s="345"/>
      <c r="AA119" s="345"/>
      <c r="AB119" s="345"/>
      <c r="AC119" s="345"/>
      <c r="AD119" s="345"/>
      <c r="AE119" s="345"/>
      <c r="AF119" s="345"/>
    </row>
    <row r="120" spans="21:32" ht="16.5" customHeight="1" x14ac:dyDescent="0.25">
      <c r="U120" s="183" t="s">
        <v>318</v>
      </c>
      <c r="V120" s="345">
        <f>W18</f>
        <v>748371400</v>
      </c>
      <c r="W120" s="345">
        <f>W13</f>
        <v>0.02</v>
      </c>
      <c r="X120" s="345"/>
      <c r="Y120" s="345"/>
      <c r="Z120" s="345"/>
      <c r="AA120" s="345"/>
      <c r="AB120" s="345"/>
      <c r="AC120" s="345"/>
      <c r="AD120" s="345"/>
      <c r="AE120" s="345"/>
      <c r="AF120" s="345"/>
    </row>
    <row r="121" spans="21:32" ht="16.5" customHeight="1" x14ac:dyDescent="0.25">
      <c r="U121" s="183" t="s">
        <v>319</v>
      </c>
      <c r="V121" s="345">
        <f t="shared" ref="V121:AF121" si="43">V74</f>
        <v>450000000</v>
      </c>
      <c r="W121" s="345">
        <f t="shared" si="43"/>
        <v>951323400</v>
      </c>
      <c r="X121" s="345">
        <f t="shared" si="43"/>
        <v>1005573568.2084</v>
      </c>
      <c r="Y121" s="345">
        <f t="shared" si="43"/>
        <v>1062917406.509052</v>
      </c>
      <c r="Z121" s="345">
        <f t="shared" si="43"/>
        <v>1123531334.5326374</v>
      </c>
      <c r="AA121" s="345">
        <f t="shared" si="43"/>
        <v>1187601832.4156954</v>
      </c>
      <c r="AB121" s="345">
        <f t="shared" si="43"/>
        <v>1255326014.5110331</v>
      </c>
      <c r="AC121" s="345">
        <f t="shared" si="43"/>
        <v>1326912235.814539</v>
      </c>
      <c r="AD121" s="345">
        <f t="shared" si="43"/>
        <v>1402580732.9740989</v>
      </c>
      <c r="AE121" s="345">
        <f t="shared" si="43"/>
        <v>1482564301.8526797</v>
      </c>
      <c r="AF121" s="345">
        <f t="shared" si="43"/>
        <v>0</v>
      </c>
    </row>
    <row r="122" spans="21:32" ht="16.5" customHeight="1" x14ac:dyDescent="0.25">
      <c r="U122" s="183" t="s">
        <v>320</v>
      </c>
      <c r="V122" s="345">
        <f>W10*W11</f>
        <v>150000000</v>
      </c>
      <c r="W122" s="345"/>
      <c r="X122" s="345"/>
      <c r="Y122" s="345"/>
      <c r="Z122" s="345"/>
      <c r="AA122" s="345"/>
      <c r="AB122" s="345"/>
      <c r="AC122" s="345"/>
      <c r="AD122" s="345"/>
      <c r="AE122" s="345"/>
      <c r="AF122" s="345"/>
    </row>
    <row r="123" spans="21:32" ht="16.5" customHeight="1" x14ac:dyDescent="0.25">
      <c r="U123" s="183" t="s">
        <v>225</v>
      </c>
      <c r="V123" s="345">
        <f t="shared" ref="V123:AF123" si="44">V76</f>
        <v>450000000</v>
      </c>
      <c r="W123" s="345">
        <f t="shared" si="44"/>
        <v>1015574000</v>
      </c>
      <c r="X123" s="345">
        <f t="shared" si="44"/>
        <v>1072156464.9884</v>
      </c>
      <c r="Y123" s="345">
        <f t="shared" si="44"/>
        <v>1131917262.4421661</v>
      </c>
      <c r="Z123" s="345">
        <f t="shared" si="44"/>
        <v>1195035885.2361233</v>
      </c>
      <c r="AA123" s="345">
        <f t="shared" si="44"/>
        <v>1261701998.3097179</v>
      </c>
      <c r="AB123" s="345">
        <f t="shared" si="44"/>
        <v>1332116016.4270086</v>
      </c>
      <c r="AC123" s="345">
        <f t="shared" si="44"/>
        <v>1406489714.8000646</v>
      </c>
      <c r="AD123" s="345">
        <f t="shared" si="44"/>
        <v>1485046874.446799</v>
      </c>
      <c r="AE123" s="345">
        <f t="shared" si="44"/>
        <v>1568023964.2608387</v>
      </c>
      <c r="AF123" s="345">
        <f t="shared" si="44"/>
        <v>0</v>
      </c>
    </row>
    <row r="124" spans="21:32" ht="16.5" customHeight="1" x14ac:dyDescent="0.25">
      <c r="U124" s="183" t="s">
        <v>321</v>
      </c>
      <c r="V124" s="345">
        <f t="shared" ref="V124:AF124" si="45">V77</f>
        <v>0</v>
      </c>
      <c r="W124" s="345">
        <f t="shared" si="45"/>
        <v>148391942.19999999</v>
      </c>
      <c r="X124" s="345">
        <f t="shared" si="45"/>
        <v>153778569.70186001</v>
      </c>
      <c r="Y124" s="345">
        <f t="shared" si="45"/>
        <v>159360731.78203753</v>
      </c>
      <c r="Z124" s="345">
        <f t="shared" si="45"/>
        <v>165145526.34572548</v>
      </c>
      <c r="AA124" s="345">
        <f t="shared" si="45"/>
        <v>171140308.9520753</v>
      </c>
      <c r="AB124" s="345">
        <f t="shared" si="45"/>
        <v>177352702.16703561</v>
      </c>
      <c r="AC124" s="345">
        <f t="shared" si="45"/>
        <v>183790605.25569901</v>
      </c>
      <c r="AD124" s="345">
        <f t="shared" si="45"/>
        <v>190462204.22648087</v>
      </c>
      <c r="AE124" s="345">
        <f t="shared" si="45"/>
        <v>197375982.23990214</v>
      </c>
      <c r="AF124" s="345">
        <f t="shared" si="45"/>
        <v>59212794.671970643</v>
      </c>
    </row>
    <row r="125" spans="21:32" ht="16.5" customHeight="1" x14ac:dyDescent="0.25">
      <c r="U125" s="183" t="s">
        <v>322</v>
      </c>
      <c r="V125" s="345">
        <f t="shared" ref="V125:AF125" si="46">V107</f>
        <v>0</v>
      </c>
      <c r="W125" s="345">
        <f t="shared" si="46"/>
        <v>6456529.3221000014</v>
      </c>
      <c r="X125" s="345">
        <f t="shared" si="46"/>
        <v>753174.21032947395</v>
      </c>
      <c r="Y125" s="345">
        <f t="shared" si="46"/>
        <v>712194.65969325043</v>
      </c>
      <c r="Z125" s="345">
        <f t="shared" si="46"/>
        <v>1741812.6528963428</v>
      </c>
      <c r="AA125" s="345">
        <f t="shared" si="46"/>
        <v>651227.810134992</v>
      </c>
      <c r="AB125" s="345">
        <f t="shared" si="46"/>
        <v>695113.40103217587</v>
      </c>
      <c r="AC125" s="345">
        <f t="shared" si="46"/>
        <v>2945457.9831769411</v>
      </c>
      <c r="AD125" s="345">
        <f t="shared" si="46"/>
        <v>940447.86604264565</v>
      </c>
      <c r="AE125" s="345">
        <f t="shared" si="46"/>
        <v>1003823.7072873916</v>
      </c>
      <c r="AF125" s="345">
        <f t="shared" si="46"/>
        <v>0</v>
      </c>
    </row>
    <row r="126" spans="21:32" ht="16.5" customHeight="1" x14ac:dyDescent="0.25">
      <c r="U126" s="183" t="s">
        <v>323</v>
      </c>
      <c r="V126" s="345">
        <f t="shared" ref="V126:AF126" si="47">V99</f>
        <v>0</v>
      </c>
      <c r="W126" s="345">
        <f t="shared" si="47"/>
        <v>98840218.552500069</v>
      </c>
      <c r="X126" s="345">
        <f t="shared" si="47"/>
        <v>228540665.65489155</v>
      </c>
      <c r="Y126" s="345">
        <f t="shared" si="47"/>
        <v>265032047.72187161</v>
      </c>
      <c r="Z126" s="345">
        <f t="shared" si="47"/>
        <v>369670972.42037714</v>
      </c>
      <c r="AA126" s="345">
        <f t="shared" si="47"/>
        <v>401094115.55791211</v>
      </c>
      <c r="AB126" s="345">
        <f t="shared" si="47"/>
        <v>432109726.69360685</v>
      </c>
      <c r="AC126" s="345">
        <f t="shared" si="47"/>
        <v>612311271.94639242</v>
      </c>
      <c r="AD126" s="345">
        <f t="shared" si="47"/>
        <v>657962044.6257323</v>
      </c>
      <c r="AE126" s="345">
        <f t="shared" si="47"/>
        <v>706905451.54606616</v>
      </c>
      <c r="AF126" s="345">
        <f t="shared" si="47"/>
        <v>0</v>
      </c>
    </row>
    <row r="127" spans="21:32" ht="16.5" customHeight="1" x14ac:dyDescent="0.25">
      <c r="U127" s="190" t="s">
        <v>324</v>
      </c>
      <c r="V127" s="357">
        <f>SUM(V119:V126)</f>
        <v>2097534850</v>
      </c>
      <c r="W127" s="357">
        <f t="shared" ref="W127:AF127" si="48">SUM(W119:W126)</f>
        <v>2220586090.0946002</v>
      </c>
      <c r="X127" s="357">
        <f t="shared" si="48"/>
        <v>2460802442.7638812</v>
      </c>
      <c r="Y127" s="357">
        <f t="shared" si="48"/>
        <v>2619939643.1148205</v>
      </c>
      <c r="Z127" s="357">
        <f t="shared" si="48"/>
        <v>2855125531.1877599</v>
      </c>
      <c r="AA127" s="357">
        <f t="shared" si="48"/>
        <v>3022189483.045536</v>
      </c>
      <c r="AB127" s="357">
        <f t="shared" si="48"/>
        <v>3197599573.1997161</v>
      </c>
      <c r="AC127" s="357">
        <f t="shared" si="48"/>
        <v>3532449285.7998719</v>
      </c>
      <c r="AD127" s="357">
        <f t="shared" si="48"/>
        <v>3736992304.139154</v>
      </c>
      <c r="AE127" s="357">
        <f t="shared" si="48"/>
        <v>3955873523.6067743</v>
      </c>
      <c r="AF127" s="357">
        <f t="shared" si="48"/>
        <v>59212794.671970643</v>
      </c>
    </row>
    <row r="128" spans="21:32" ht="16.5" customHeight="1" x14ac:dyDescent="0.25">
      <c r="U128" s="198" t="s">
        <v>325</v>
      </c>
      <c r="V128" s="354">
        <f>V117-V127</f>
        <v>-2097534850</v>
      </c>
      <c r="W128" s="354">
        <f t="shared" ref="W128:AF128" si="49">W117-W127</f>
        <v>-154496707.02259994</v>
      </c>
      <c r="X128" s="354">
        <f t="shared" si="49"/>
        <v>-67610254.758449078</v>
      </c>
      <c r="Y128" s="354">
        <f t="shared" si="49"/>
        <v>11197158.796844959</v>
      </c>
      <c r="Z128" s="354">
        <f t="shared" si="49"/>
        <v>342887248.44664478</v>
      </c>
      <c r="AA128" s="354">
        <f t="shared" si="49"/>
        <v>407440364.53735065</v>
      </c>
      <c r="AB128" s="354">
        <f t="shared" si="49"/>
        <v>463149600.1819334</v>
      </c>
      <c r="AC128" s="354">
        <f t="shared" si="49"/>
        <v>1080114620.8788276</v>
      </c>
      <c r="AD128" s="354">
        <f t="shared" si="49"/>
        <v>1215787692.7822185</v>
      </c>
      <c r="AE128" s="354">
        <f t="shared" si="49"/>
        <v>1330669364.527132</v>
      </c>
      <c r="AF128" s="354">
        <f t="shared" si="49"/>
        <v>518381749.12982637</v>
      </c>
    </row>
    <row r="129" spans="21:32" ht="16.5" customHeight="1" x14ac:dyDescent="0.25">
      <c r="U129" s="360"/>
      <c r="V129" s="360"/>
      <c r="W129" s="193"/>
      <c r="X129" s="195"/>
      <c r="Y129" s="361"/>
      <c r="Z129" s="360"/>
      <c r="AA129" s="360"/>
      <c r="AB129" s="360"/>
      <c r="AC129" s="360"/>
      <c r="AD129" s="360"/>
      <c r="AE129" s="360"/>
    </row>
    <row r="130" spans="21:32" ht="16.5" customHeight="1" x14ac:dyDescent="0.25">
      <c r="U130" s="194" t="s">
        <v>326</v>
      </c>
      <c r="V130" s="360"/>
      <c r="W130" s="360"/>
      <c r="X130" s="360"/>
      <c r="Y130" s="360"/>
      <c r="Z130" s="360"/>
      <c r="AA130" s="360"/>
      <c r="AB130" s="360"/>
      <c r="AC130" s="360"/>
      <c r="AD130" s="360"/>
      <c r="AE130" s="360"/>
    </row>
    <row r="131" spans="21:32" ht="16.5" customHeight="1" x14ac:dyDescent="0.25">
      <c r="U131" s="203" t="str">
        <f t="shared" ref="U131:AF131" si="50">U111</f>
        <v>Year</v>
      </c>
      <c r="V131" s="203">
        <f t="shared" si="50"/>
        <v>0</v>
      </c>
      <c r="W131" s="203">
        <f t="shared" si="50"/>
        <v>1</v>
      </c>
      <c r="X131" s="203">
        <f t="shared" si="50"/>
        <v>2</v>
      </c>
      <c r="Y131" s="203">
        <f t="shared" si="50"/>
        <v>3</v>
      </c>
      <c r="Z131" s="203">
        <f t="shared" si="50"/>
        <v>4</v>
      </c>
      <c r="AA131" s="203">
        <f t="shared" si="50"/>
        <v>5</v>
      </c>
      <c r="AB131" s="203">
        <f t="shared" si="50"/>
        <v>6</v>
      </c>
      <c r="AC131" s="203">
        <f t="shared" si="50"/>
        <v>7</v>
      </c>
      <c r="AD131" s="203">
        <f t="shared" si="50"/>
        <v>8</v>
      </c>
      <c r="AE131" s="203">
        <f t="shared" si="50"/>
        <v>9</v>
      </c>
      <c r="AF131" s="203">
        <f t="shared" si="50"/>
        <v>10</v>
      </c>
    </row>
    <row r="132" spans="21:32" ht="16.5" customHeight="1" x14ac:dyDescent="0.25">
      <c r="U132" s="188" t="str">
        <f>U112</f>
        <v>CASH INFLOWS (CIFs)</v>
      </c>
      <c r="V132" s="345"/>
      <c r="W132" s="356"/>
      <c r="X132" s="345"/>
      <c r="Y132" s="345"/>
      <c r="Z132" s="345"/>
      <c r="AA132" s="345"/>
      <c r="AB132" s="345"/>
      <c r="AC132" s="345"/>
      <c r="AD132" s="345"/>
      <c r="AE132" s="345"/>
      <c r="AF132" s="345"/>
    </row>
    <row r="133" spans="21:32" ht="16.5" customHeight="1" x14ac:dyDescent="0.25">
      <c r="U133" s="183" t="str">
        <f t="shared" ref="U133:AF133" si="51">U113</f>
        <v>Total sales</v>
      </c>
      <c r="V133" s="345">
        <f t="shared" si="51"/>
        <v>0</v>
      </c>
      <c r="W133" s="345">
        <f>W113</f>
        <v>2152176440.7000003</v>
      </c>
      <c r="X133" s="345">
        <f t="shared" si="51"/>
        <v>2403234510.8098249</v>
      </c>
      <c r="Y133" s="345">
        <f t="shared" si="51"/>
        <v>2640632730.7075753</v>
      </c>
      <c r="Z133" s="345">
        <f t="shared" si="51"/>
        <v>3221236948.3396893</v>
      </c>
      <c r="AA133" s="345">
        <f t="shared" si="51"/>
        <v>3438312885.0513535</v>
      </c>
      <c r="AB133" s="345">
        <f t="shared" si="51"/>
        <v>3670017352.0620785</v>
      </c>
      <c r="AC133" s="345">
        <f t="shared" si="51"/>
        <v>4651836679.7877254</v>
      </c>
      <c r="AD133" s="345">
        <f t="shared" si="51"/>
        <v>4965319301.8019409</v>
      </c>
      <c r="AE133" s="345">
        <f t="shared" si="51"/>
        <v>5299927204.2310715</v>
      </c>
      <c r="AF133" s="345">
        <f t="shared" si="51"/>
        <v>0</v>
      </c>
    </row>
    <row r="134" spans="21:32" ht="16.5" customHeight="1" x14ac:dyDescent="0.25">
      <c r="U134" s="183" t="str">
        <f t="shared" ref="U134:AF134" si="52">U114</f>
        <v>Salvage value</v>
      </c>
      <c r="V134" s="345">
        <f t="shared" si="52"/>
        <v>0</v>
      </c>
      <c r="W134" s="345">
        <f t="shared" si="52"/>
        <v>0</v>
      </c>
      <c r="X134" s="345">
        <f t="shared" si="52"/>
        <v>0</v>
      </c>
      <c r="Y134" s="345">
        <f t="shared" si="52"/>
        <v>0</v>
      </c>
      <c r="Z134" s="345">
        <f t="shared" si="52"/>
        <v>0</v>
      </c>
      <c r="AA134" s="345">
        <f t="shared" si="52"/>
        <v>0</v>
      </c>
      <c r="AB134" s="345">
        <f t="shared" si="52"/>
        <v>0</v>
      </c>
      <c r="AC134" s="345">
        <f t="shared" si="52"/>
        <v>0</v>
      </c>
      <c r="AD134" s="345">
        <f t="shared" si="52"/>
        <v>0</v>
      </c>
      <c r="AE134" s="345">
        <f t="shared" si="52"/>
        <v>0</v>
      </c>
      <c r="AF134" s="345">
        <f t="shared" si="52"/>
        <v>427594543.80179703</v>
      </c>
    </row>
    <row r="135" spans="21:32" ht="16.5" customHeight="1" x14ac:dyDescent="0.25">
      <c r="U135" s="183" t="str">
        <f t="shared" ref="U135:AF135" si="53">U115</f>
        <v>Rental deposit refund</v>
      </c>
      <c r="V135" s="345">
        <f t="shared" si="53"/>
        <v>0</v>
      </c>
      <c r="W135" s="345">
        <f t="shared" si="53"/>
        <v>0</v>
      </c>
      <c r="X135" s="345">
        <f t="shared" si="53"/>
        <v>0</v>
      </c>
      <c r="Y135" s="345">
        <f t="shared" si="53"/>
        <v>0</v>
      </c>
      <c r="Z135" s="345">
        <f t="shared" si="53"/>
        <v>0</v>
      </c>
      <c r="AA135" s="345">
        <f t="shared" si="53"/>
        <v>0</v>
      </c>
      <c r="AB135" s="345">
        <f t="shared" si="53"/>
        <v>0</v>
      </c>
      <c r="AC135" s="345">
        <f t="shared" si="53"/>
        <v>0</v>
      </c>
      <c r="AD135" s="345">
        <f t="shared" si="53"/>
        <v>0</v>
      </c>
      <c r="AE135" s="345">
        <f t="shared" si="53"/>
        <v>0</v>
      </c>
      <c r="AF135" s="345">
        <f t="shared" si="53"/>
        <v>150000000</v>
      </c>
    </row>
    <row r="136" spans="21:32" ht="16.5" customHeight="1" x14ac:dyDescent="0.25">
      <c r="U136" s="183" t="str">
        <f t="shared" ref="U136:AF136" si="54">U116</f>
        <v>Change in AR</v>
      </c>
      <c r="V136" s="345">
        <f t="shared" si="54"/>
        <v>0</v>
      </c>
      <c r="W136" s="345">
        <f t="shared" si="54"/>
        <v>-86087057.628000006</v>
      </c>
      <c r="X136" s="345">
        <f t="shared" si="54"/>
        <v>-10042322.804392993</v>
      </c>
      <c r="Y136" s="345">
        <f t="shared" si="54"/>
        <v>-9495928.7959100157</v>
      </c>
      <c r="Z136" s="345">
        <f t="shared" si="54"/>
        <v>-23224168.705284551</v>
      </c>
      <c r="AA136" s="345">
        <f t="shared" si="54"/>
        <v>-8683037.468466565</v>
      </c>
      <c r="AB136" s="345">
        <f t="shared" si="54"/>
        <v>-9268178.6804290116</v>
      </c>
      <c r="AC136" s="345">
        <f t="shared" si="54"/>
        <v>-39272773.109025866</v>
      </c>
      <c r="AD136" s="345">
        <f t="shared" si="54"/>
        <v>-12539304.880568624</v>
      </c>
      <c r="AE136" s="345">
        <f t="shared" si="54"/>
        <v>-13384316.097165227</v>
      </c>
      <c r="AF136" s="345">
        <f t="shared" si="54"/>
        <v>0</v>
      </c>
    </row>
    <row r="137" spans="21:32" ht="16.5" customHeight="1" x14ac:dyDescent="0.25">
      <c r="U137" s="183" t="s">
        <v>327</v>
      </c>
      <c r="V137" s="345">
        <f>V88</f>
        <v>419137197.5</v>
      </c>
      <c r="W137" s="345"/>
      <c r="X137" s="345"/>
      <c r="Y137" s="345"/>
      <c r="Z137" s="345"/>
      <c r="AA137" s="345"/>
      <c r="AB137" s="345"/>
      <c r="AC137" s="345"/>
      <c r="AD137" s="345"/>
      <c r="AE137" s="345"/>
      <c r="AF137" s="345"/>
    </row>
    <row r="138" spans="21:32" ht="16.5" customHeight="1" x14ac:dyDescent="0.25">
      <c r="U138" s="188" t="str">
        <f>U117</f>
        <v>Total cash inflows</v>
      </c>
      <c r="V138" s="351">
        <f>SUM(V133:V137)</f>
        <v>419137197.5</v>
      </c>
      <c r="W138" s="351">
        <f t="shared" ref="W138:AF138" si="55">SUM(W133:W137)</f>
        <v>2066089383.0720003</v>
      </c>
      <c r="X138" s="351">
        <f t="shared" si="55"/>
        <v>2393192188.0054321</v>
      </c>
      <c r="Y138" s="351">
        <f t="shared" si="55"/>
        <v>2631136801.9116654</v>
      </c>
      <c r="Z138" s="351">
        <f t="shared" si="55"/>
        <v>3198012779.6344047</v>
      </c>
      <c r="AA138" s="351">
        <f t="shared" si="55"/>
        <v>3429629847.5828867</v>
      </c>
      <c r="AB138" s="351">
        <f t="shared" si="55"/>
        <v>3660749173.3816495</v>
      </c>
      <c r="AC138" s="351">
        <f t="shared" si="55"/>
        <v>4612563906.6786995</v>
      </c>
      <c r="AD138" s="351">
        <f t="shared" si="55"/>
        <v>4952779996.9213724</v>
      </c>
      <c r="AE138" s="351">
        <f t="shared" si="55"/>
        <v>5286542888.1339064</v>
      </c>
      <c r="AF138" s="351">
        <f t="shared" si="55"/>
        <v>577594543.80179703</v>
      </c>
    </row>
    <row r="139" spans="21:32" ht="16.5" customHeight="1" x14ac:dyDescent="0.25">
      <c r="U139" s="189" t="str">
        <f>U118</f>
        <v>CASH OUTFLOWS (COFs)</v>
      </c>
      <c r="V139" s="345"/>
      <c r="W139" s="345"/>
      <c r="X139" s="345"/>
      <c r="Y139" s="345"/>
      <c r="Z139" s="345"/>
      <c r="AA139" s="345"/>
      <c r="AB139" s="345"/>
      <c r="AC139" s="345"/>
      <c r="AD139" s="345"/>
      <c r="AE139" s="345"/>
      <c r="AF139" s="345"/>
    </row>
    <row r="140" spans="21:32" ht="16.5" customHeight="1" x14ac:dyDescent="0.25">
      <c r="U140" s="183" t="str">
        <f t="shared" ref="U140:AF140" si="56">U119</f>
        <v>Renovation and setup</v>
      </c>
      <c r="V140" s="345">
        <f>W17</f>
        <v>299163450</v>
      </c>
      <c r="W140" s="345">
        <f t="shared" si="56"/>
        <v>0</v>
      </c>
      <c r="X140" s="345">
        <f t="shared" si="56"/>
        <v>0</v>
      </c>
      <c r="Y140" s="345">
        <f t="shared" si="56"/>
        <v>0</v>
      </c>
      <c r="Z140" s="345">
        <f t="shared" si="56"/>
        <v>0</v>
      </c>
      <c r="AA140" s="345">
        <f t="shared" si="56"/>
        <v>0</v>
      </c>
      <c r="AB140" s="345">
        <f t="shared" si="56"/>
        <v>0</v>
      </c>
      <c r="AC140" s="345">
        <f t="shared" si="56"/>
        <v>0</v>
      </c>
      <c r="AD140" s="345">
        <f t="shared" si="56"/>
        <v>0</v>
      </c>
      <c r="AE140" s="345">
        <f t="shared" si="56"/>
        <v>0</v>
      </c>
      <c r="AF140" s="345">
        <f t="shared" si="56"/>
        <v>0</v>
      </c>
    </row>
    <row r="141" spans="21:32" ht="16.5" customHeight="1" x14ac:dyDescent="0.25">
      <c r="U141" s="183" t="str">
        <f t="shared" ref="U141:AF141" si="57">U120</f>
        <v>Machinery and equipments</v>
      </c>
      <c r="V141" s="345">
        <f t="shared" si="57"/>
        <v>748371400</v>
      </c>
      <c r="W141" s="345">
        <f t="shared" si="57"/>
        <v>0.02</v>
      </c>
      <c r="X141" s="345">
        <f t="shared" si="57"/>
        <v>0</v>
      </c>
      <c r="Y141" s="345">
        <f t="shared" si="57"/>
        <v>0</v>
      </c>
      <c r="Z141" s="345">
        <f t="shared" si="57"/>
        <v>0</v>
      </c>
      <c r="AA141" s="345">
        <f t="shared" si="57"/>
        <v>0</v>
      </c>
      <c r="AB141" s="345">
        <f t="shared" si="57"/>
        <v>0</v>
      </c>
      <c r="AC141" s="345">
        <f t="shared" si="57"/>
        <v>0</v>
      </c>
      <c r="AD141" s="345">
        <f t="shared" si="57"/>
        <v>0</v>
      </c>
      <c r="AE141" s="345">
        <f t="shared" si="57"/>
        <v>0</v>
      </c>
      <c r="AF141" s="345">
        <f t="shared" si="57"/>
        <v>0</v>
      </c>
    </row>
    <row r="142" spans="21:32" ht="16.5" customHeight="1" x14ac:dyDescent="0.25">
      <c r="U142" s="183" t="str">
        <f t="shared" ref="U142:AF142" si="58">U121</f>
        <v>Rental</v>
      </c>
      <c r="V142" s="345">
        <f t="shared" si="58"/>
        <v>450000000</v>
      </c>
      <c r="W142" s="345">
        <f t="shared" si="58"/>
        <v>951323400</v>
      </c>
      <c r="X142" s="345">
        <f t="shared" si="58"/>
        <v>1005573568.2084</v>
      </c>
      <c r="Y142" s="345">
        <f t="shared" si="58"/>
        <v>1062917406.509052</v>
      </c>
      <c r="Z142" s="345">
        <f t="shared" si="58"/>
        <v>1123531334.5326374</v>
      </c>
      <c r="AA142" s="345">
        <f t="shared" si="58"/>
        <v>1187601832.4156954</v>
      </c>
      <c r="AB142" s="345">
        <f t="shared" si="58"/>
        <v>1255326014.5110331</v>
      </c>
      <c r="AC142" s="345">
        <f t="shared" si="58"/>
        <v>1326912235.814539</v>
      </c>
      <c r="AD142" s="345">
        <f t="shared" si="58"/>
        <v>1402580732.9740989</v>
      </c>
      <c r="AE142" s="345">
        <f t="shared" si="58"/>
        <v>1482564301.8526797</v>
      </c>
      <c r="AF142" s="345">
        <f t="shared" si="58"/>
        <v>0</v>
      </c>
    </row>
    <row r="143" spans="21:32" ht="16.5" customHeight="1" x14ac:dyDescent="0.25">
      <c r="U143" s="183" t="str">
        <f t="shared" ref="U143:AF143" si="59">U122</f>
        <v>Rental deposit</v>
      </c>
      <c r="V143" s="345">
        <f t="shared" si="59"/>
        <v>150000000</v>
      </c>
      <c r="W143" s="345">
        <f t="shared" si="59"/>
        <v>0</v>
      </c>
      <c r="X143" s="345">
        <f t="shared" si="59"/>
        <v>0</v>
      </c>
      <c r="Y143" s="345">
        <f t="shared" si="59"/>
        <v>0</v>
      </c>
      <c r="Z143" s="345">
        <f t="shared" si="59"/>
        <v>0</v>
      </c>
      <c r="AA143" s="345">
        <f t="shared" si="59"/>
        <v>0</v>
      </c>
      <c r="AB143" s="345">
        <f t="shared" si="59"/>
        <v>0</v>
      </c>
      <c r="AC143" s="345">
        <f t="shared" si="59"/>
        <v>0</v>
      </c>
      <c r="AD143" s="345">
        <f t="shared" si="59"/>
        <v>0</v>
      </c>
      <c r="AE143" s="345">
        <f t="shared" si="59"/>
        <v>0</v>
      </c>
      <c r="AF143" s="345">
        <f t="shared" si="59"/>
        <v>0</v>
      </c>
    </row>
    <row r="144" spans="21:32" ht="16.5" customHeight="1" x14ac:dyDescent="0.25">
      <c r="U144" s="183" t="str">
        <f t="shared" ref="U144:AF144" si="60">U123</f>
        <v>Total operating cost</v>
      </c>
      <c r="V144" s="345">
        <f t="shared" si="60"/>
        <v>450000000</v>
      </c>
      <c r="W144" s="345">
        <f t="shared" si="60"/>
        <v>1015574000</v>
      </c>
      <c r="X144" s="345">
        <f t="shared" si="60"/>
        <v>1072156464.9884</v>
      </c>
      <c r="Y144" s="345">
        <f t="shared" si="60"/>
        <v>1131917262.4421661</v>
      </c>
      <c r="Z144" s="345">
        <f t="shared" si="60"/>
        <v>1195035885.2361233</v>
      </c>
      <c r="AA144" s="345">
        <f t="shared" si="60"/>
        <v>1261701998.3097179</v>
      </c>
      <c r="AB144" s="345">
        <f t="shared" si="60"/>
        <v>1332116016.4270086</v>
      </c>
      <c r="AC144" s="345">
        <f t="shared" si="60"/>
        <v>1406489714.8000646</v>
      </c>
      <c r="AD144" s="345">
        <f t="shared" si="60"/>
        <v>1485046874.446799</v>
      </c>
      <c r="AE144" s="345">
        <f t="shared" si="60"/>
        <v>1568023964.2608387</v>
      </c>
      <c r="AF144" s="345">
        <f t="shared" si="60"/>
        <v>0</v>
      </c>
    </row>
    <row r="145" spans="21:32" ht="16.5" customHeight="1" x14ac:dyDescent="0.25">
      <c r="U145" s="183" t="str">
        <f t="shared" ref="U145:AF145" si="61">U124</f>
        <v>Management and sales cost</v>
      </c>
      <c r="V145" s="345">
        <f t="shared" si="61"/>
        <v>0</v>
      </c>
      <c r="W145" s="345">
        <f t="shared" si="61"/>
        <v>148391942.19999999</v>
      </c>
      <c r="X145" s="345">
        <f t="shared" si="61"/>
        <v>153778569.70186001</v>
      </c>
      <c r="Y145" s="345">
        <f t="shared" si="61"/>
        <v>159360731.78203753</v>
      </c>
      <c r="Z145" s="345">
        <f t="shared" si="61"/>
        <v>165145526.34572548</v>
      </c>
      <c r="AA145" s="345">
        <f t="shared" si="61"/>
        <v>171140308.9520753</v>
      </c>
      <c r="AB145" s="345">
        <f t="shared" si="61"/>
        <v>177352702.16703561</v>
      </c>
      <c r="AC145" s="345">
        <f t="shared" si="61"/>
        <v>183790605.25569901</v>
      </c>
      <c r="AD145" s="345">
        <f t="shared" si="61"/>
        <v>190462204.22648087</v>
      </c>
      <c r="AE145" s="345">
        <f t="shared" si="61"/>
        <v>197375982.23990214</v>
      </c>
      <c r="AF145" s="345">
        <f t="shared" si="61"/>
        <v>59212794.671970643</v>
      </c>
    </row>
    <row r="146" spans="21:32" ht="16.5" customHeight="1" x14ac:dyDescent="0.25">
      <c r="U146" s="183" t="str">
        <f t="shared" ref="U146:AF146" si="62">U125</f>
        <v>Change in CB</v>
      </c>
      <c r="V146" s="345">
        <f t="shared" si="62"/>
        <v>0</v>
      </c>
      <c r="W146" s="345">
        <f t="shared" si="62"/>
        <v>6456529.3221000014</v>
      </c>
      <c r="X146" s="345">
        <f t="shared" si="62"/>
        <v>753174.21032947395</v>
      </c>
      <c r="Y146" s="345">
        <f t="shared" si="62"/>
        <v>712194.65969325043</v>
      </c>
      <c r="Z146" s="345">
        <f t="shared" si="62"/>
        <v>1741812.6528963428</v>
      </c>
      <c r="AA146" s="345">
        <f t="shared" si="62"/>
        <v>651227.810134992</v>
      </c>
      <c r="AB146" s="345">
        <f t="shared" si="62"/>
        <v>695113.40103217587</v>
      </c>
      <c r="AC146" s="345">
        <f t="shared" si="62"/>
        <v>2945457.9831769411</v>
      </c>
      <c r="AD146" s="345">
        <f t="shared" si="62"/>
        <v>940447.86604264565</v>
      </c>
      <c r="AE146" s="345">
        <f t="shared" si="62"/>
        <v>1003823.7072873916</v>
      </c>
      <c r="AF146" s="345">
        <f t="shared" si="62"/>
        <v>0</v>
      </c>
    </row>
    <row r="147" spans="21:32" ht="16.5" customHeight="1" x14ac:dyDescent="0.25">
      <c r="U147" s="183" t="str">
        <f t="shared" ref="U147:AF147" si="63">U126</f>
        <v>Tax</v>
      </c>
      <c r="V147" s="345">
        <f t="shared" si="63"/>
        <v>0</v>
      </c>
      <c r="W147" s="345">
        <f t="shared" si="63"/>
        <v>98840218.552500069</v>
      </c>
      <c r="X147" s="345">
        <f t="shared" si="63"/>
        <v>228540665.65489155</v>
      </c>
      <c r="Y147" s="345">
        <f t="shared" si="63"/>
        <v>265032047.72187161</v>
      </c>
      <c r="Z147" s="345">
        <f t="shared" si="63"/>
        <v>369670972.42037714</v>
      </c>
      <c r="AA147" s="345">
        <f t="shared" si="63"/>
        <v>401094115.55791211</v>
      </c>
      <c r="AB147" s="345">
        <f t="shared" si="63"/>
        <v>432109726.69360685</v>
      </c>
      <c r="AC147" s="345">
        <f t="shared" si="63"/>
        <v>612311271.94639242</v>
      </c>
      <c r="AD147" s="345">
        <f t="shared" si="63"/>
        <v>657962044.6257323</v>
      </c>
      <c r="AE147" s="345">
        <f t="shared" si="63"/>
        <v>706905451.54606616</v>
      </c>
      <c r="AF147" s="345">
        <f t="shared" si="63"/>
        <v>0</v>
      </c>
    </row>
    <row r="148" spans="21:32" ht="16.5" customHeight="1" x14ac:dyDescent="0.25">
      <c r="U148" s="183" t="s">
        <v>328</v>
      </c>
      <c r="V148" s="345"/>
      <c r="W148" s="345">
        <f>W85</f>
        <v>133659480.90314396</v>
      </c>
      <c r="X148" s="345">
        <f t="shared" ref="X148:Z148" si="64">X85</f>
        <v>133659480.90314396</v>
      </c>
      <c r="Y148" s="345">
        <f t="shared" si="64"/>
        <v>133659480.90314396</v>
      </c>
      <c r="Z148" s="345">
        <f t="shared" si="64"/>
        <v>133659480.90314396</v>
      </c>
      <c r="AA148" s="345"/>
      <c r="AB148" s="345"/>
      <c r="AC148" s="345"/>
      <c r="AD148" s="345"/>
      <c r="AE148" s="345"/>
      <c r="AF148" s="345"/>
    </row>
    <row r="149" spans="21:32" ht="16.5" customHeight="1" x14ac:dyDescent="0.25">
      <c r="U149" s="190" t="str">
        <f>U127</f>
        <v>Total cash outflows</v>
      </c>
      <c r="V149" s="357">
        <f>SUM(V140:V148)</f>
        <v>2097534850</v>
      </c>
      <c r="W149" s="357">
        <f t="shared" ref="W149:AF149" si="65">SUM(W140:W148)</f>
        <v>2354245570.9977441</v>
      </c>
      <c r="X149" s="357">
        <f t="shared" si="65"/>
        <v>2594461923.6670251</v>
      </c>
      <c r="Y149" s="357">
        <f t="shared" si="65"/>
        <v>2753599124.0179644</v>
      </c>
      <c r="Z149" s="357">
        <f t="shared" si="65"/>
        <v>2988785012.0909038</v>
      </c>
      <c r="AA149" s="357">
        <f t="shared" si="65"/>
        <v>3022189483.045536</v>
      </c>
      <c r="AB149" s="357">
        <f t="shared" si="65"/>
        <v>3197599573.1997161</v>
      </c>
      <c r="AC149" s="357">
        <f t="shared" si="65"/>
        <v>3532449285.7998719</v>
      </c>
      <c r="AD149" s="357">
        <f t="shared" si="65"/>
        <v>3736992304.139154</v>
      </c>
      <c r="AE149" s="357">
        <f t="shared" si="65"/>
        <v>3955873523.6067743</v>
      </c>
      <c r="AF149" s="357">
        <f t="shared" si="65"/>
        <v>59212794.671970643</v>
      </c>
    </row>
    <row r="150" spans="21:32" ht="16.5" customHeight="1" x14ac:dyDescent="0.25">
      <c r="U150" s="198" t="s">
        <v>329</v>
      </c>
      <c r="V150" s="354">
        <f>V138-V149</f>
        <v>-1678397652.5</v>
      </c>
      <c r="W150" s="354">
        <f t="shared" ref="W150:AF150" si="66">W138-W149</f>
        <v>-288156187.92574382</v>
      </c>
      <c r="X150" s="354">
        <f t="shared" si="66"/>
        <v>-201269735.66159296</v>
      </c>
      <c r="Y150" s="354">
        <f t="shared" si="66"/>
        <v>-122462322.10629892</v>
      </c>
      <c r="Z150" s="354">
        <f t="shared" si="66"/>
        <v>209227767.5435009</v>
      </c>
      <c r="AA150" s="354">
        <f t="shared" si="66"/>
        <v>407440364.53735065</v>
      </c>
      <c r="AB150" s="354">
        <f t="shared" si="66"/>
        <v>463149600.1819334</v>
      </c>
      <c r="AC150" s="354">
        <f t="shared" si="66"/>
        <v>1080114620.8788276</v>
      </c>
      <c r="AD150" s="354">
        <f t="shared" si="66"/>
        <v>1215787692.7822185</v>
      </c>
      <c r="AE150" s="354">
        <f t="shared" si="66"/>
        <v>1330669364.527132</v>
      </c>
      <c r="AF150" s="354">
        <f t="shared" si="66"/>
        <v>518381749.12982637</v>
      </c>
    </row>
    <row r="151" spans="21:32" ht="16.5" customHeight="1" x14ac:dyDescent="0.25"/>
    <row r="152" spans="21:32" ht="16.5" customHeight="1" x14ac:dyDescent="0.25">
      <c r="U152" s="177" t="s">
        <v>330</v>
      </c>
    </row>
    <row r="153" spans="21:32" ht="16.5" customHeight="1" x14ac:dyDescent="0.25">
      <c r="U153" s="365" t="s">
        <v>331</v>
      </c>
      <c r="V153" s="366"/>
    </row>
    <row r="154" spans="21:32" ht="16.5" customHeight="1" x14ac:dyDescent="0.25">
      <c r="U154" s="178" t="s">
        <v>332</v>
      </c>
      <c r="V154" s="311">
        <f>NPV(AC26,W128:AF128)+V128</f>
        <v>632485856.91907358</v>
      </c>
    </row>
    <row r="155" spans="21:32" ht="16.5" customHeight="1" x14ac:dyDescent="0.25">
      <c r="U155" s="178" t="s">
        <v>333</v>
      </c>
      <c r="V155" s="311">
        <f>NPV(AC26,W150:AF150)+V150</f>
        <v>613424046.21039581</v>
      </c>
    </row>
    <row r="156" spans="21:32" ht="16.5" customHeight="1" x14ac:dyDescent="0.25"/>
    <row r="157" spans="21:32" ht="16.5" customHeight="1" x14ac:dyDescent="0.25"/>
    <row r="158" spans="21:32" ht="16.5" customHeight="1" x14ac:dyDescent="0.25">
      <c r="U158" s="365" t="s">
        <v>334</v>
      </c>
      <c r="V158" s="366"/>
    </row>
    <row r="159" spans="21:32" ht="16.5" customHeight="1" x14ac:dyDescent="0.25">
      <c r="U159" s="178" t="s">
        <v>335</v>
      </c>
      <c r="V159" s="312">
        <f>(NPV(AC26,W117:AF117)+V117)/(NPV(AC26,W127:AF127)+V127)</f>
        <v>1.0312890778959938</v>
      </c>
    </row>
    <row r="160" spans="21:32" ht="16.5" customHeight="1" x14ac:dyDescent="0.25">
      <c r="U160" s="178" t="s">
        <v>336</v>
      </c>
      <c r="V160" s="312">
        <f>NPV(AC26,W128:AF128)/(-V128)</f>
        <v>1.3015377107651267</v>
      </c>
    </row>
    <row r="161" spans="21:32" ht="16.5" customHeight="1" x14ac:dyDescent="0.25"/>
    <row r="162" spans="21:32" ht="16.5" customHeight="1" x14ac:dyDescent="0.25"/>
    <row r="163" spans="21:32" ht="16.5" customHeight="1" x14ac:dyDescent="0.25">
      <c r="U163" s="365" t="s">
        <v>337</v>
      </c>
      <c r="V163" s="366"/>
    </row>
    <row r="164" spans="21:32" ht="16.5" customHeight="1" x14ac:dyDescent="0.25">
      <c r="U164" s="178" t="s">
        <v>338</v>
      </c>
      <c r="V164" s="214">
        <f>IRR(V128:AF128)</f>
        <v>0.12195891697368522</v>
      </c>
    </row>
    <row r="165" spans="21:32" ht="16.5" customHeight="1" x14ac:dyDescent="0.25">
      <c r="U165" s="178" t="s">
        <v>339</v>
      </c>
      <c r="V165" s="214">
        <f>IRR(V150:AF150)</f>
        <v>0.12304634640479462</v>
      </c>
    </row>
    <row r="166" spans="21:32" ht="16.5" customHeight="1" x14ac:dyDescent="0.25"/>
    <row r="167" spans="21:32" ht="16.5" customHeight="1" x14ac:dyDescent="0.25"/>
    <row r="168" spans="21:32" ht="16.5" customHeight="1" thickBot="1" x14ac:dyDescent="0.3">
      <c r="U168" s="1" t="s">
        <v>340</v>
      </c>
    </row>
    <row r="169" spans="21:32" ht="16.5" customHeight="1" x14ac:dyDescent="0.25">
      <c r="U169" s="248" t="s">
        <v>168</v>
      </c>
      <c r="V169" s="249">
        <v>0</v>
      </c>
      <c r="W169" s="249">
        <v>1</v>
      </c>
      <c r="X169" s="249">
        <v>2</v>
      </c>
      <c r="Y169" s="249">
        <v>3</v>
      </c>
      <c r="Z169" s="249">
        <v>4</v>
      </c>
      <c r="AA169" s="249">
        <v>5</v>
      </c>
      <c r="AB169" s="249">
        <v>6</v>
      </c>
      <c r="AC169" s="249">
        <v>7</v>
      </c>
      <c r="AD169" s="249">
        <v>8</v>
      </c>
      <c r="AE169" s="249">
        <v>9</v>
      </c>
      <c r="AF169" s="250">
        <v>10</v>
      </c>
    </row>
    <row r="170" spans="21:32" ht="16.5" customHeight="1" x14ac:dyDescent="0.25">
      <c r="U170" s="244" t="s">
        <v>341</v>
      </c>
      <c r="V170" s="358">
        <f>V128</f>
        <v>-2097534850</v>
      </c>
      <c r="W170" s="358">
        <f>V128+W128</f>
        <v>-2252031557.0226002</v>
      </c>
      <c r="X170" s="358">
        <f t="shared" ref="X170:AF170" si="67">W128+X128</f>
        <v>-222106961.78104901</v>
      </c>
      <c r="Y170" s="358">
        <f t="shared" si="67"/>
        <v>-56413095.961604118</v>
      </c>
      <c r="Z170" s="358">
        <f t="shared" si="67"/>
        <v>354084407.24348974</v>
      </c>
      <c r="AA170" s="358">
        <f t="shared" si="67"/>
        <v>750327612.98399544</v>
      </c>
      <c r="AB170" s="358">
        <f t="shared" si="67"/>
        <v>870589964.71928406</v>
      </c>
      <c r="AC170" s="358">
        <f t="shared" si="67"/>
        <v>1543264221.060761</v>
      </c>
      <c r="AD170" s="358">
        <f t="shared" si="67"/>
        <v>2295902313.661046</v>
      </c>
      <c r="AE170" s="358">
        <f t="shared" si="67"/>
        <v>2546457057.3093505</v>
      </c>
      <c r="AF170" s="359">
        <f t="shared" si="67"/>
        <v>1849051113.6569583</v>
      </c>
    </row>
    <row r="171" spans="21:32" ht="16.5" customHeight="1" x14ac:dyDescent="0.25">
      <c r="U171" s="244" t="s">
        <v>342</v>
      </c>
      <c r="V171" s="358">
        <f>V150</f>
        <v>-1678397652.5</v>
      </c>
      <c r="W171" s="358">
        <f>V150+W150</f>
        <v>-1966553840.4257438</v>
      </c>
      <c r="X171" s="358">
        <f t="shared" ref="X171:AF171" si="68">W150+X150</f>
        <v>-489425923.58733678</v>
      </c>
      <c r="Y171" s="358">
        <f t="shared" si="68"/>
        <v>-323732057.76789188</v>
      </c>
      <c r="Z171" s="358">
        <f t="shared" si="68"/>
        <v>86765445.437201977</v>
      </c>
      <c r="AA171" s="358">
        <f t="shared" si="68"/>
        <v>616668132.08085155</v>
      </c>
      <c r="AB171" s="358">
        <f t="shared" si="68"/>
        <v>870589964.71928406</v>
      </c>
      <c r="AC171" s="358">
        <f t="shared" si="68"/>
        <v>1543264221.060761</v>
      </c>
      <c r="AD171" s="358">
        <f t="shared" si="68"/>
        <v>2295902313.661046</v>
      </c>
      <c r="AE171" s="358">
        <f t="shared" si="68"/>
        <v>2546457057.3093505</v>
      </c>
      <c r="AF171" s="359">
        <f t="shared" si="68"/>
        <v>1849051113.6569583</v>
      </c>
    </row>
    <row r="172" spans="21:32" ht="16.5" customHeight="1" x14ac:dyDescent="0.25">
      <c r="U172" s="244" t="s">
        <v>343</v>
      </c>
      <c r="V172" s="313" cm="1">
        <f t="array" ref="V172">_xlfn.LET(_xlpm.pvAccum, V170:AF170,
  _xlpm.periods, V169:AF169,
  _xlpm.negIndex, _xlfn.XMATCH(TRUE, _xlpm.pvAccum &lt; 0, 0, -1),
  _xlpm.pvBefore, INDEX(_xlpm.pvAccum, _xlpm.negIndex),
  _xlpm.pvAfter, INDEX(_xlpm.pvAccum,_xlpm.negIndex + 1),
  _xlpm.periodBefore, INDEX(_xlpm.periods,_xlpm.negIndex),
  _xlpm.fraction, -_xlpm.pvBefore / (_xlpm.pvAfter - _xlpm.pvBefore),
  _xlpm.periodBefore + _xlpm.fraction)</f>
        <v>3.1374261609903602</v>
      </c>
      <c r="AF172" s="251"/>
    </row>
    <row r="173" spans="21:32" ht="16.5" customHeight="1" thickBot="1" x14ac:dyDescent="0.3">
      <c r="U173" s="245" t="s">
        <v>344</v>
      </c>
      <c r="V173" s="314" cm="1">
        <f t="array" ref="V173">_xlfn.LET(_xlpm.pvAccum, V171:AF171,
  _xlpm.periods, V169:AF169,
  _xlpm.negIndex, _xlfn.XMATCH(TRUE, _xlpm.pvAccum &lt; 0, 0, -1),
  _xlpm.pvBefore, INDEX(_xlpm.pvAccum, _xlpm.negIndex),
  _xlpm.pvAfter, INDEX(_xlpm.pvAccum,_xlpm.negIndex + 1),
  _xlpm.periodBefore, INDEX(_xlpm.periods,_xlpm.negIndex),
  _xlpm.fraction, -_xlpm.pvBefore / (_xlpm.pvAfter - _xlpm.pvBefore),
  _xlpm.periodBefore + _xlpm.fraction)</f>
        <v>3.7886334392785526</v>
      </c>
      <c r="W173" s="222"/>
      <c r="X173" s="222"/>
      <c r="Y173" s="222"/>
      <c r="Z173" s="222"/>
      <c r="AA173" s="222"/>
      <c r="AB173" s="222"/>
      <c r="AC173" s="222"/>
      <c r="AD173" s="222"/>
      <c r="AE173" s="222"/>
      <c r="AF173" s="252"/>
    </row>
    <row r="174" spans="21:32" ht="16.5" customHeight="1" x14ac:dyDescent="0.25"/>
    <row r="175" spans="21:32" ht="16.5" customHeight="1" x14ac:dyDescent="0.25">
      <c r="U175" s="1" t="s">
        <v>345</v>
      </c>
    </row>
    <row r="176" spans="21:32" ht="16.5" customHeight="1" x14ac:dyDescent="0.25">
      <c r="U176" s="367" t="s">
        <v>346</v>
      </c>
      <c r="V176" s="238" t="s">
        <v>111</v>
      </c>
      <c r="W176" s="238" t="s">
        <v>347</v>
      </c>
      <c r="X176" s="238" t="s">
        <v>348</v>
      </c>
    </row>
    <row r="177" spans="21:34" ht="16.5" customHeight="1" x14ac:dyDescent="0.25">
      <c r="U177" s="367"/>
      <c r="V177" s="239">
        <f>INT(V172)</f>
        <v>3</v>
      </c>
      <c r="W177" s="238">
        <f>INT((V172-V177)*12)</f>
        <v>1</v>
      </c>
      <c r="X177" s="238">
        <f>INT(((V172-V177)*12-W177)*30)</f>
        <v>19</v>
      </c>
    </row>
    <row r="178" spans="21:34" ht="16.5" customHeight="1" x14ac:dyDescent="0.25">
      <c r="U178" s="367" t="s">
        <v>349</v>
      </c>
      <c r="V178" s="238" t="s">
        <v>111</v>
      </c>
      <c r="W178" s="238" t="s">
        <v>347</v>
      </c>
      <c r="X178" s="238" t="s">
        <v>348</v>
      </c>
    </row>
    <row r="179" spans="21:34" ht="16.5" customHeight="1" x14ac:dyDescent="0.25">
      <c r="U179" s="367"/>
      <c r="V179" s="239">
        <f>INT(V173)</f>
        <v>3</v>
      </c>
      <c r="W179" s="238">
        <f>INT((V173-V179)*12)</f>
        <v>9</v>
      </c>
      <c r="X179" s="238">
        <f>INT(((V173-V179)*12-W179)*30)</f>
        <v>13</v>
      </c>
    </row>
    <row r="180" spans="21:34" ht="16.5" customHeight="1" x14ac:dyDescent="0.25"/>
    <row r="181" spans="21:34" ht="16.5" customHeight="1" x14ac:dyDescent="0.25"/>
    <row r="182" spans="21:34" ht="16.5" customHeight="1" x14ac:dyDescent="0.25">
      <c r="U182" s="1" t="s">
        <v>350</v>
      </c>
    </row>
    <row r="183" spans="21:34" ht="16.5" customHeight="1" x14ac:dyDescent="0.25">
      <c r="U183" s="236" t="s">
        <v>168</v>
      </c>
      <c r="V183" s="236">
        <v>0</v>
      </c>
      <c r="W183" s="236">
        <v>1</v>
      </c>
      <c r="X183" s="236">
        <v>2</v>
      </c>
      <c r="Y183" s="236">
        <v>3</v>
      </c>
      <c r="Z183" s="236">
        <v>4</v>
      </c>
    </row>
    <row r="184" spans="21:34" ht="16.5" customHeight="1" x14ac:dyDescent="0.25">
      <c r="U184" s="175" t="s">
        <v>351</v>
      </c>
      <c r="V184" s="172"/>
      <c r="W184" s="237">
        <f>W128/W86</f>
        <v>-1.7233304795020044</v>
      </c>
      <c r="X184" s="237">
        <f>X128/X86</f>
        <v>-0.68249525501872021</v>
      </c>
      <c r="Y184" s="237">
        <f>Y128/Y86</f>
        <v>0.10228986920744521</v>
      </c>
      <c r="Z184" s="237">
        <f>Z128/Z86</f>
        <v>2.834743985038402</v>
      </c>
    </row>
    <row r="185" spans="21:34" ht="16.5" customHeight="1" x14ac:dyDescent="0.25"/>
    <row r="187" spans="21:34" ht="19.5" x14ac:dyDescent="0.25">
      <c r="U187" s="177" t="s">
        <v>352</v>
      </c>
    </row>
    <row r="188" spans="21:34" x14ac:dyDescent="0.25">
      <c r="U188" s="1" t="s">
        <v>353</v>
      </c>
    </row>
    <row r="189" spans="21:34" ht="15.75" thickBot="1" x14ac:dyDescent="0.3">
      <c r="U189" s="1" t="s">
        <v>354</v>
      </c>
      <c r="AC189" s="1" t="s">
        <v>355</v>
      </c>
    </row>
    <row r="190" spans="21:34" x14ac:dyDescent="0.25">
      <c r="U190" s="229" t="s">
        <v>356</v>
      </c>
      <c r="V190" s="230" t="s">
        <v>332</v>
      </c>
      <c r="W190" s="230" t="s">
        <v>333</v>
      </c>
      <c r="X190" s="230" t="s">
        <v>335</v>
      </c>
      <c r="Y190" s="230" t="s">
        <v>336</v>
      </c>
      <c r="Z190" s="230" t="s">
        <v>338</v>
      </c>
      <c r="AA190" s="230" t="s">
        <v>339</v>
      </c>
      <c r="AB190" s="257" t="s">
        <v>356</v>
      </c>
      <c r="AC190" s="258" t="s">
        <v>332</v>
      </c>
      <c r="AD190" s="258" t="s">
        <v>333</v>
      </c>
      <c r="AE190" s="258" t="s">
        <v>335</v>
      </c>
      <c r="AF190" s="258" t="s">
        <v>336</v>
      </c>
      <c r="AG190" s="258" t="s">
        <v>338</v>
      </c>
      <c r="AH190" s="259" t="s">
        <v>339</v>
      </c>
    </row>
    <row r="191" spans="21:34" x14ac:dyDescent="0.25">
      <c r="U191" s="217">
        <f>AC6</f>
        <v>25000000</v>
      </c>
      <c r="V191" s="208">
        <f>$V$154</f>
        <v>632485856.91907358</v>
      </c>
      <c r="W191" s="208">
        <f>$V$155</f>
        <v>613424046.21039581</v>
      </c>
      <c r="X191" s="218">
        <f>$V$159</f>
        <v>1.0312890778959938</v>
      </c>
      <c r="Y191" s="218">
        <f>$V$160</f>
        <v>1.3015377107651267</v>
      </c>
      <c r="Z191" s="219">
        <f>$V$164</f>
        <v>0.12195891697368522</v>
      </c>
      <c r="AA191" s="219">
        <f>$V$165</f>
        <v>0.12304634640479462</v>
      </c>
      <c r="AB191" s="260">
        <f>(U191-$AC$6)/$AC$6</f>
        <v>0</v>
      </c>
      <c r="AC191" s="226">
        <f>(V191-V$191)/V$191</f>
        <v>0</v>
      </c>
      <c r="AD191" s="226">
        <f t="shared" ref="AD191:AD220" si="69">(W191-W$191)/W$191</f>
        <v>0</v>
      </c>
      <c r="AE191" s="226">
        <f t="shared" ref="AE191:AE220" si="70">(X191-X$191)/X$191</f>
        <v>0</v>
      </c>
      <c r="AF191" s="226">
        <f t="shared" ref="AF191:AF220" si="71">(Y191-Y$191)/Y$191</f>
        <v>0</v>
      </c>
      <c r="AG191" s="226">
        <f t="shared" ref="AG191:AG220" si="72">(Z191-Z$191)/Z$191</f>
        <v>0</v>
      </c>
      <c r="AH191" s="261">
        <f t="shared" ref="AH191:AH220" si="73">(AA191-AA$191)/AA$191</f>
        <v>0</v>
      </c>
    </row>
    <row r="192" spans="21:34" x14ac:dyDescent="0.25">
      <c r="U192" s="220">
        <v>28000000</v>
      </c>
      <c r="V192" s="208">
        <f t="dataTable" ref="V192:AA220" dt2D="0" dtr="0" r1="AC6" ca="1"/>
        <v>1204468156.1516147</v>
      </c>
      <c r="W192" s="208">
        <v>1185406345.4429364</v>
      </c>
      <c r="X192" s="218">
        <v>1.0591609763552097</v>
      </c>
      <c r="Y192" s="218">
        <v>1.574230342895907</v>
      </c>
      <c r="Z192" s="219">
        <v>0.1543708176808547</v>
      </c>
      <c r="AA192" s="219">
        <v>0.15772583172852195</v>
      </c>
      <c r="AB192" s="260">
        <f t="shared" ref="AB192:AB220" si="74">(U192-$AC$6)/$AC$6</f>
        <v>0.12</v>
      </c>
      <c r="AC192" s="226">
        <f t="shared" ref="AC192:AC220" si="75">(V192-V$191)/V$191</f>
        <v>0.90434006227229535</v>
      </c>
      <c r="AD192" s="226">
        <f t="shared" si="69"/>
        <v>0.93244192621095712</v>
      </c>
      <c r="AE192" s="226">
        <f t="shared" si="70"/>
        <v>2.7026271349716354E-2</v>
      </c>
      <c r="AF192" s="226">
        <f t="shared" si="71"/>
        <v>0.20951573655939193</v>
      </c>
      <c r="AG192" s="226">
        <f t="shared" si="72"/>
        <v>0.26576081119318995</v>
      </c>
      <c r="AH192" s="261">
        <f t="shared" si="73"/>
        <v>0.28184083751369327</v>
      </c>
    </row>
    <row r="193" spans="21:34" x14ac:dyDescent="0.25">
      <c r="U193" s="220">
        <f>U192-500000</f>
        <v>27500000</v>
      </c>
      <c r="V193" s="208">
        <v>1109137772.9461923</v>
      </c>
      <c r="W193" s="208">
        <v>1090075962.2375135</v>
      </c>
      <c r="X193" s="218">
        <v>1.0545432433543889</v>
      </c>
      <c r="Y193" s="218">
        <v>1.5287815708741108</v>
      </c>
      <c r="Z193" s="219">
        <v>0.14904827975875623</v>
      </c>
      <c r="AA193" s="219">
        <v>0.15201374337436468</v>
      </c>
      <c r="AB193" s="260">
        <f t="shared" si="74"/>
        <v>0.1</v>
      </c>
      <c r="AC193" s="226">
        <f t="shared" si="75"/>
        <v>0.75361671856024792</v>
      </c>
      <c r="AD193" s="226">
        <f t="shared" si="69"/>
        <v>0.77703493850913175</v>
      </c>
      <c r="AE193" s="226">
        <f t="shared" si="70"/>
        <v>2.2548639326072928E-2</v>
      </c>
      <c r="AF193" s="226">
        <f t="shared" si="71"/>
        <v>0.17459644713282699</v>
      </c>
      <c r="AG193" s="226">
        <f t="shared" si="72"/>
        <v>0.22211875488297442</v>
      </c>
      <c r="AH193" s="261">
        <f t="shared" si="73"/>
        <v>0.23541858670288263</v>
      </c>
    </row>
    <row r="194" spans="21:34" x14ac:dyDescent="0.25">
      <c r="U194" s="220">
        <f t="shared" ref="U194:U220" si="76">U193-500000</f>
        <v>27000000</v>
      </c>
      <c r="V194" s="208">
        <v>1013807389.740766</v>
      </c>
      <c r="W194" s="208">
        <v>994745579.0320878</v>
      </c>
      <c r="X194" s="218">
        <v>1.0499145294642442</v>
      </c>
      <c r="Y194" s="218">
        <v>1.4833327988523128</v>
      </c>
      <c r="Z194" s="219">
        <v>0.14369531962380333</v>
      </c>
      <c r="AA194" s="219">
        <v>0.14627583852229198</v>
      </c>
      <c r="AB194" s="260">
        <f t="shared" si="74"/>
        <v>0.08</v>
      </c>
      <c r="AC194" s="226">
        <f t="shared" si="75"/>
        <v>0.60289337484819439</v>
      </c>
      <c r="AD194" s="226">
        <f t="shared" si="69"/>
        <v>0.62162795080730182</v>
      </c>
      <c r="AE194" s="226">
        <f t="shared" si="70"/>
        <v>1.8060359570809738E-2</v>
      </c>
      <c r="AF194" s="226">
        <f t="shared" si="71"/>
        <v>0.13967715770626071</v>
      </c>
      <c r="AG194" s="226">
        <f t="shared" si="72"/>
        <v>0.17822725217220586</v>
      </c>
      <c r="AH194" s="261">
        <f t="shared" si="73"/>
        <v>0.18878652472197424</v>
      </c>
    </row>
    <row r="195" spans="21:34" x14ac:dyDescent="0.25">
      <c r="U195" s="220">
        <f t="shared" si="76"/>
        <v>26500000</v>
      </c>
      <c r="V195" s="208">
        <v>918477006.53534317</v>
      </c>
      <c r="W195" s="208">
        <v>899415195.82666492</v>
      </c>
      <c r="X195" s="218">
        <v>1.0452747954696029</v>
      </c>
      <c r="Y195" s="218">
        <v>1.4378840268305164</v>
      </c>
      <c r="Z195" s="219">
        <v>0.13831094921021947</v>
      </c>
      <c r="AA195" s="219">
        <v>0.14051115877277209</v>
      </c>
      <c r="AB195" s="260">
        <f t="shared" si="74"/>
        <v>0.06</v>
      </c>
      <c r="AC195" s="226">
        <f t="shared" si="75"/>
        <v>0.45217003113614618</v>
      </c>
      <c r="AD195" s="226">
        <f t="shared" si="69"/>
        <v>0.46622096310547656</v>
      </c>
      <c r="AE195" s="226">
        <f t="shared" si="70"/>
        <v>1.3561394058533394E-2</v>
      </c>
      <c r="AF195" s="226">
        <f t="shared" si="71"/>
        <v>0.10475786827969562</v>
      </c>
      <c r="AG195" s="226">
        <f t="shared" si="72"/>
        <v>0.1340782014328849</v>
      </c>
      <c r="AH195" s="261">
        <f t="shared" si="73"/>
        <v>0.14193686263972602</v>
      </c>
    </row>
    <row r="196" spans="21:34" x14ac:dyDescent="0.25">
      <c r="U196" s="220">
        <f t="shared" si="76"/>
        <v>26000000</v>
      </c>
      <c r="V196" s="208">
        <v>823146623.32992125</v>
      </c>
      <c r="W196" s="208">
        <v>804084812.621243</v>
      </c>
      <c r="X196" s="218">
        <v>1.0406240019683395</v>
      </c>
      <c r="Y196" s="218">
        <v>1.3924352548087204</v>
      </c>
      <c r="Z196" s="219">
        <v>0.13289414258979049</v>
      </c>
      <c r="AA196" s="219">
        <v>0.13471871036909966</v>
      </c>
      <c r="AB196" s="260">
        <f t="shared" si="74"/>
        <v>0.04</v>
      </c>
      <c r="AC196" s="226">
        <f t="shared" si="75"/>
        <v>0.30144668742409947</v>
      </c>
      <c r="AD196" s="226">
        <f t="shared" si="69"/>
        <v>0.31081397540365285</v>
      </c>
      <c r="AE196" s="226">
        <f t="shared" si="70"/>
        <v>9.0517045825701456E-3</v>
      </c>
      <c r="AF196" s="226">
        <f t="shared" si="71"/>
        <v>6.983857885313087E-2</v>
      </c>
      <c r="AG196" s="226">
        <f t="shared" si="72"/>
        <v>8.9663190584619065E-2</v>
      </c>
      <c r="AH196" s="261">
        <f t="shared" si="73"/>
        <v>9.4861524176472575E-2</v>
      </c>
    </row>
    <row r="197" spans="21:34" x14ac:dyDescent="0.25">
      <c r="U197" s="220">
        <f t="shared" si="76"/>
        <v>25500000</v>
      </c>
      <c r="V197" s="208">
        <v>727816240.12449694</v>
      </c>
      <c r="W197" s="208">
        <v>708754429.41581869</v>
      </c>
      <c r="X197" s="218">
        <v>1.0359621093702633</v>
      </c>
      <c r="Y197" s="218">
        <v>1.3469864827869233</v>
      </c>
      <c r="Z197" s="219">
        <v>0.12744383419914285</v>
      </c>
      <c r="AA197" s="219">
        <v>0.12889746264632884</v>
      </c>
      <c r="AB197" s="260">
        <f t="shared" si="74"/>
        <v>0.02</v>
      </c>
      <c r="AC197" s="226">
        <f t="shared" si="75"/>
        <v>0.15072334371204898</v>
      </c>
      <c r="AD197" s="226">
        <f t="shared" si="69"/>
        <v>0.15540698770182526</v>
      </c>
      <c r="AE197" s="226">
        <f t="shared" si="70"/>
        <v>4.5312527538867633E-3</v>
      </c>
      <c r="AF197" s="226">
        <f t="shared" si="71"/>
        <v>3.4919289426565261E-2</v>
      </c>
      <c r="AG197" s="226">
        <f t="shared" si="72"/>
        <v>4.4973482559221956E-2</v>
      </c>
      <c r="AH197" s="261">
        <f t="shared" si="73"/>
        <v>4.7552133098575547E-2</v>
      </c>
    </row>
    <row r="198" spans="21:34" x14ac:dyDescent="0.25">
      <c r="U198" s="220">
        <f t="shared" si="76"/>
        <v>25000000</v>
      </c>
      <c r="V198" s="208">
        <v>632485856.91907358</v>
      </c>
      <c r="W198" s="208">
        <v>613424046.21039581</v>
      </c>
      <c r="X198" s="218">
        <v>1.0312890778959938</v>
      </c>
      <c r="Y198" s="218">
        <v>1.3015377107651267</v>
      </c>
      <c r="Z198" s="219">
        <v>0.12195891697368522</v>
      </c>
      <c r="AA198" s="219">
        <v>0.12304634640479462</v>
      </c>
      <c r="AB198" s="260">
        <f t="shared" si="74"/>
        <v>0</v>
      </c>
      <c r="AC198" s="226">
        <f t="shared" si="75"/>
        <v>0</v>
      </c>
      <c r="AD198" s="226">
        <f t="shared" si="69"/>
        <v>0</v>
      </c>
      <c r="AE198" s="226">
        <f t="shared" si="70"/>
        <v>0</v>
      </c>
      <c r="AF198" s="226">
        <f t="shared" si="71"/>
        <v>0</v>
      </c>
      <c r="AG198" s="226">
        <f t="shared" si="72"/>
        <v>0</v>
      </c>
      <c r="AH198" s="261">
        <f t="shared" si="73"/>
        <v>0</v>
      </c>
    </row>
    <row r="199" spans="21:34" x14ac:dyDescent="0.25">
      <c r="U199" s="220">
        <f t="shared" si="76"/>
        <v>24500000</v>
      </c>
      <c r="V199" s="208">
        <v>537155473.7136507</v>
      </c>
      <c r="W199" s="208">
        <v>518093663.00497246</v>
      </c>
      <c r="X199" s="218">
        <v>1.0266048675758301</v>
      </c>
      <c r="Y199" s="218">
        <v>1.2560889387433305</v>
      </c>
      <c r="Z199" s="219">
        <v>0.11643824038358463</v>
      </c>
      <c r="AA199" s="219">
        <v>0.11716425220516036</v>
      </c>
      <c r="AB199" s="260">
        <f t="shared" si="74"/>
        <v>-0.02</v>
      </c>
      <c r="AC199" s="226">
        <f t="shared" si="75"/>
        <v>-0.15072334371204821</v>
      </c>
      <c r="AD199" s="226">
        <f t="shared" si="69"/>
        <v>-0.15540698770182604</v>
      </c>
      <c r="AE199" s="226">
        <f t="shared" si="70"/>
        <v>-4.5420924361191054E-3</v>
      </c>
      <c r="AF199" s="226">
        <f t="shared" si="71"/>
        <v>-3.4919289426564921E-2</v>
      </c>
      <c r="AG199" s="226">
        <f t="shared" si="72"/>
        <v>-4.5266690842226523E-2</v>
      </c>
      <c r="AH199" s="261">
        <f t="shared" si="73"/>
        <v>-4.7803891553866218E-2</v>
      </c>
    </row>
    <row r="200" spans="21:34" x14ac:dyDescent="0.25">
      <c r="U200" s="220">
        <f t="shared" si="76"/>
        <v>24000000</v>
      </c>
      <c r="V200" s="208">
        <v>441825090.50822592</v>
      </c>
      <c r="W200" s="208">
        <v>422763279.79954767</v>
      </c>
      <c r="X200" s="218">
        <v>1.0219094382486114</v>
      </c>
      <c r="Y200" s="218">
        <v>1.2106401667215332</v>
      </c>
      <c r="Z200" s="219">
        <v>0.11088060836708435</v>
      </c>
      <c r="AA200" s="219">
        <v>0.11125002858196087</v>
      </c>
      <c r="AB200" s="260">
        <f t="shared" si="74"/>
        <v>-0.04</v>
      </c>
      <c r="AC200" s="226">
        <f t="shared" si="75"/>
        <v>-0.30144668742409947</v>
      </c>
      <c r="AD200" s="226">
        <f t="shared" si="69"/>
        <v>-0.31081397540365441</v>
      </c>
      <c r="AE200" s="226">
        <f t="shared" si="70"/>
        <v>-9.0950634971510517E-3</v>
      </c>
      <c r="AF200" s="226">
        <f t="shared" si="71"/>
        <v>-6.9838578853130703E-2</v>
      </c>
      <c r="AG200" s="226">
        <f t="shared" si="72"/>
        <v>-9.0836397054847598E-2</v>
      </c>
      <c r="AH200" s="261">
        <f t="shared" si="73"/>
        <v>-9.5868899544782352E-2</v>
      </c>
    </row>
    <row r="201" spans="21:34" x14ac:dyDescent="0.25">
      <c r="U201" s="220">
        <f t="shared" si="76"/>
        <v>23500000</v>
      </c>
      <c r="V201" s="208">
        <v>346494707.30280352</v>
      </c>
      <c r="W201" s="208">
        <v>327432896.59412527</v>
      </c>
      <c r="X201" s="218">
        <v>1.0172027495605678</v>
      </c>
      <c r="Y201" s="218">
        <v>1.165191394699737</v>
      </c>
      <c r="Z201" s="219">
        <v>0.10528477715642026</v>
      </c>
      <c r="AA201" s="219">
        <v>0.10530248017274624</v>
      </c>
      <c r="AB201" s="260">
        <f t="shared" si="74"/>
        <v>-0.06</v>
      </c>
      <c r="AC201" s="226">
        <f t="shared" si="75"/>
        <v>-0.4521700311361469</v>
      </c>
      <c r="AD201" s="226">
        <f t="shared" si="69"/>
        <v>-0.46622096310547895</v>
      </c>
      <c r="AE201" s="226">
        <f t="shared" si="70"/>
        <v>-1.3658952312541234E-2</v>
      </c>
      <c r="AF201" s="226">
        <f t="shared" si="71"/>
        <v>-0.10475786827969562</v>
      </c>
      <c r="AG201" s="226">
        <f t="shared" si="72"/>
        <v>-0.13671931688982358</v>
      </c>
      <c r="AH201" s="261">
        <f t="shared" si="73"/>
        <v>-0.14420473870613823</v>
      </c>
    </row>
    <row r="202" spans="21:34" x14ac:dyDescent="0.25">
      <c r="U202" s="220">
        <f t="shared" si="76"/>
        <v>23000000</v>
      </c>
      <c r="V202" s="208">
        <v>251164324.09737921</v>
      </c>
      <c r="W202" s="208">
        <v>232102513.38870049</v>
      </c>
      <c r="X202" s="218">
        <v>1.0124847609641654</v>
      </c>
      <c r="Y202" s="218">
        <v>1.1197426226779399</v>
      </c>
      <c r="Z202" s="219">
        <v>9.9649452991617649E-2</v>
      </c>
      <c r="AA202" s="219">
        <v>9.9320365760078966E-2</v>
      </c>
      <c r="AB202" s="260">
        <f t="shared" si="74"/>
        <v>-0.08</v>
      </c>
      <c r="AC202" s="226">
        <f t="shared" si="75"/>
        <v>-0.60289337484819738</v>
      </c>
      <c r="AD202" s="226">
        <f t="shared" si="69"/>
        <v>-0.62162795080730726</v>
      </c>
      <c r="AE202" s="226">
        <f t="shared" si="70"/>
        <v>-1.8233798199620618E-2</v>
      </c>
      <c r="AF202" s="226">
        <f t="shared" si="71"/>
        <v>-0.13967715770626121</v>
      </c>
      <c r="AG202" s="226">
        <f t="shared" si="72"/>
        <v>-0.18292605850936858</v>
      </c>
      <c r="AH202" s="261">
        <f t="shared" si="73"/>
        <v>-0.19282149643568081</v>
      </c>
    </row>
    <row r="203" spans="21:34" x14ac:dyDescent="0.25">
      <c r="U203" s="220">
        <f t="shared" si="76"/>
        <v>22500000</v>
      </c>
      <c r="V203" s="208">
        <v>155833940.89195681</v>
      </c>
      <c r="W203" s="208">
        <v>136772130.18327832</v>
      </c>
      <c r="X203" s="218">
        <v>1.0077554317169424</v>
      </c>
      <c r="Y203" s="218">
        <v>1.0742938506561437</v>
      </c>
      <c r="Z203" s="219">
        <v>9.3973289717522723E-2</v>
      </c>
      <c r="AA203" s="219">
        <v>9.3302396223891915E-2</v>
      </c>
      <c r="AB203" s="260">
        <f t="shared" si="74"/>
        <v>-0.1</v>
      </c>
      <c r="AC203" s="226">
        <f t="shared" si="75"/>
        <v>-0.75361671856024481</v>
      </c>
      <c r="AD203" s="226">
        <f t="shared" si="69"/>
        <v>-0.77703493850913141</v>
      </c>
      <c r="AE203" s="226">
        <f t="shared" si="70"/>
        <v>-2.2819640664733958E-2</v>
      </c>
      <c r="AF203" s="226">
        <f t="shared" si="71"/>
        <v>-0.17459644713282615</v>
      </c>
      <c r="AG203" s="226">
        <f t="shared" si="72"/>
        <v>-0.22946765968904828</v>
      </c>
      <c r="AH203" s="261">
        <f t="shared" si="73"/>
        <v>-0.24172964943674019</v>
      </c>
    </row>
    <row r="204" spans="21:34" x14ac:dyDescent="0.25">
      <c r="U204" s="220">
        <f t="shared" si="76"/>
        <v>22000000</v>
      </c>
      <c r="V204" s="208">
        <v>60503557.686532497</v>
      </c>
      <c r="W204" s="208">
        <v>41441746.977853775</v>
      </c>
      <c r="X204" s="218">
        <v>1.0030147208803351</v>
      </c>
      <c r="Y204" s="218">
        <v>1.0288450786343466</v>
      </c>
      <c r="Z204" s="219">
        <v>8.8254886259578225E-2</v>
      </c>
      <c r="AA204" s="219">
        <v>8.724723240204546E-2</v>
      </c>
      <c r="AB204" s="260">
        <f t="shared" si="74"/>
        <v>-0.12</v>
      </c>
      <c r="AC204" s="226">
        <f t="shared" si="75"/>
        <v>-0.90434006227229535</v>
      </c>
      <c r="AD204" s="226">
        <f t="shared" si="69"/>
        <v>-0.93244192621095945</v>
      </c>
      <c r="AE204" s="226">
        <f t="shared" si="70"/>
        <v>-2.7416519404378111E-2</v>
      </c>
      <c r="AF204" s="226">
        <f t="shared" si="71"/>
        <v>-0.20951573655939174</v>
      </c>
      <c r="AG204" s="226">
        <f t="shared" si="72"/>
        <v>-0.27635560851511359</v>
      </c>
      <c r="AH204" s="261">
        <f t="shared" si="73"/>
        <v>-0.29094008110552244</v>
      </c>
    </row>
    <row r="205" spans="21:34" x14ac:dyDescent="0.25">
      <c r="U205" s="220">
        <f t="shared" si="76"/>
        <v>21500000</v>
      </c>
      <c r="V205" s="208">
        <v>-34826825.518891096</v>
      </c>
      <c r="W205" s="208">
        <v>-53888636.22756958</v>
      </c>
      <c r="X205" s="218">
        <v>0.99826258731849626</v>
      </c>
      <c r="Y205" s="218">
        <v>0.98339630661254995</v>
      </c>
      <c r="Z205" s="219">
        <v>8.249278397413029E-2</v>
      </c>
      <c r="AA205" s="219">
        <v>8.1153482857371673E-2</v>
      </c>
      <c r="AB205" s="260">
        <f t="shared" si="74"/>
        <v>-0.14000000000000001</v>
      </c>
      <c r="AC205" s="226">
        <f t="shared" si="75"/>
        <v>-1.0550634059843447</v>
      </c>
      <c r="AD205" s="226">
        <f t="shared" si="69"/>
        <v>-1.0878489139127854</v>
      </c>
      <c r="AE205" s="226">
        <f t="shared" si="70"/>
        <v>-3.2024474306347944E-2</v>
      </c>
      <c r="AF205" s="226">
        <f t="shared" si="71"/>
        <v>-0.24443502598595701</v>
      </c>
      <c r="AG205" s="226">
        <f t="shared" si="72"/>
        <v>-0.32360186511061295</v>
      </c>
      <c r="AH205" s="261">
        <f t="shared" si="73"/>
        <v>-0.34046409967838387</v>
      </c>
    </row>
    <row r="206" spans="21:34" x14ac:dyDescent="0.25">
      <c r="U206" s="220">
        <f t="shared" si="76"/>
        <v>21000000</v>
      </c>
      <c r="V206" s="208">
        <v>-130157208.72431564</v>
      </c>
      <c r="W206" s="208">
        <v>-149219019.43299389</v>
      </c>
      <c r="X206" s="218">
        <v>0.99349898969710848</v>
      </c>
      <c r="Y206" s="218">
        <v>0.93794753459075275</v>
      </c>
      <c r="Z206" s="219">
        <v>7.6685463869424098E-2</v>
      </c>
      <c r="AA206" s="219">
        <v>7.5019701550067541E-2</v>
      </c>
      <c r="AB206" s="260">
        <f t="shared" si="74"/>
        <v>-0.16</v>
      </c>
      <c r="AC206" s="226">
        <f t="shared" si="75"/>
        <v>-1.2057867496963957</v>
      </c>
      <c r="AD206" s="226">
        <f t="shared" si="69"/>
        <v>-1.243255901614613</v>
      </c>
      <c r="AE206" s="226">
        <f t="shared" si="70"/>
        <v>-3.6643545450887105E-2</v>
      </c>
      <c r="AF206" s="226">
        <f t="shared" si="71"/>
        <v>-0.2793543154125227</v>
      </c>
      <c r="AG206" s="226">
        <f t="shared" si="72"/>
        <v>-0.37121888442178985</v>
      </c>
      <c r="AH206" s="261">
        <f t="shared" si="73"/>
        <v>-0.39031345714833571</v>
      </c>
    </row>
    <row r="207" spans="21:34" x14ac:dyDescent="0.25">
      <c r="U207" s="220">
        <f t="shared" si="76"/>
        <v>20500000</v>
      </c>
      <c r="V207" s="208">
        <v>-225487591.92973781</v>
      </c>
      <c r="W207" s="208">
        <v>-244549402.63841629</v>
      </c>
      <c r="X207" s="218">
        <v>0.9887238864821809</v>
      </c>
      <c r="Y207" s="218">
        <v>0.89249876256895666</v>
      </c>
      <c r="Z207" s="219">
        <v>7.0831343694009563E-2</v>
      </c>
      <c r="AA207" s="219">
        <v>6.8844385415056886E-2</v>
      </c>
      <c r="AB207" s="260">
        <f t="shared" si="74"/>
        <v>-0.18</v>
      </c>
      <c r="AC207" s="226">
        <f t="shared" si="75"/>
        <v>-1.3565100934084426</v>
      </c>
      <c r="AD207" s="226">
        <f t="shared" si="69"/>
        <v>-1.3986628893164375</v>
      </c>
      <c r="AE207" s="226">
        <f t="shared" si="70"/>
        <v>-4.1273773111854484E-2</v>
      </c>
      <c r="AF207" s="226">
        <f t="shared" si="71"/>
        <v>-0.31427360483908756</v>
      </c>
      <c r="AG207" s="226">
        <f t="shared" si="72"/>
        <v>-0.4192196400916493</v>
      </c>
      <c r="AH207" s="261">
        <f t="shared" si="73"/>
        <v>-0.44050036895387007</v>
      </c>
    </row>
    <row r="208" spans="21:34" x14ac:dyDescent="0.25">
      <c r="U208" s="220">
        <f t="shared" si="76"/>
        <v>20000000</v>
      </c>
      <c r="V208" s="208">
        <v>-320817975.13516116</v>
      </c>
      <c r="W208" s="208">
        <v>-339879785.84383965</v>
      </c>
      <c r="X208" s="218">
        <v>0.98393723593884697</v>
      </c>
      <c r="Y208" s="218">
        <v>0.84704999054716013</v>
      </c>
      <c r="Z208" s="219">
        <v>6.4928774890008034E-2</v>
      </c>
      <c r="AA208" s="219">
        <v>6.262597184486296E-2</v>
      </c>
      <c r="AB208" s="260">
        <f t="shared" si="74"/>
        <v>-0.2</v>
      </c>
      <c r="AC208" s="226">
        <f t="shared" si="75"/>
        <v>-1.5072334371204916</v>
      </c>
      <c r="AD208" s="226">
        <f t="shared" si="69"/>
        <v>-1.5540698770182635</v>
      </c>
      <c r="AE208" s="226">
        <f t="shared" si="70"/>
        <v>-4.5915197757890228E-2</v>
      </c>
      <c r="AF208" s="226">
        <f t="shared" si="71"/>
        <v>-0.3491928942656527</v>
      </c>
      <c r="AG208" s="226">
        <f t="shared" si="72"/>
        <v>-0.46761764944159384</v>
      </c>
      <c r="AH208" s="261">
        <f t="shared" si="73"/>
        <v>-0.49103753443570203</v>
      </c>
    </row>
    <row r="209" spans="21:34" x14ac:dyDescent="0.25">
      <c r="U209" s="220">
        <f t="shared" si="76"/>
        <v>19500000</v>
      </c>
      <c r="V209" s="208">
        <v>-416148358.34058642</v>
      </c>
      <c r="W209" s="208">
        <v>-435210169.04926491</v>
      </c>
      <c r="X209" s="218">
        <v>0.9791389961301441</v>
      </c>
      <c r="Y209" s="218">
        <v>0.80160121852536259</v>
      </c>
      <c r="Z209" s="219">
        <v>5.8976039409684988E-2</v>
      </c>
      <c r="AA209" s="219">
        <v>5.63628360797368E-2</v>
      </c>
      <c r="AB209" s="260">
        <f t="shared" si="74"/>
        <v>-0.22</v>
      </c>
      <c r="AC209" s="226">
        <f t="shared" si="75"/>
        <v>-1.6579567808325435</v>
      </c>
      <c r="AD209" s="226">
        <f t="shared" si="69"/>
        <v>-1.7094768647200926</v>
      </c>
      <c r="AE209" s="226">
        <f t="shared" si="70"/>
        <v>-5.0567860053598909E-2</v>
      </c>
      <c r="AF209" s="226">
        <f t="shared" si="71"/>
        <v>-0.38411218369221867</v>
      </c>
      <c r="AG209" s="226">
        <f t="shared" si="72"/>
        <v>-0.51642699957388016</v>
      </c>
      <c r="AH209" s="261">
        <f t="shared" si="73"/>
        <v>-0.54193815804724643</v>
      </c>
    </row>
    <row r="210" spans="21:34" x14ac:dyDescent="0.25">
      <c r="U210" s="220">
        <f t="shared" si="76"/>
        <v>19000000</v>
      </c>
      <c r="V210" s="208">
        <v>-511478741.54600811</v>
      </c>
      <c r="W210" s="208">
        <v>-530540552.25468659</v>
      </c>
      <c r="X210" s="218">
        <v>0.97432912491579327</v>
      </c>
      <c r="Y210" s="218">
        <v>0.75615244650356672</v>
      </c>
      <c r="Z210" s="219">
        <v>5.2971346395028762E-2</v>
      </c>
      <c r="AA210" s="219">
        <v>5.0053288508228988E-2</v>
      </c>
      <c r="AB210" s="260">
        <f t="shared" si="74"/>
        <v>-0.24</v>
      </c>
      <c r="AC210" s="226">
        <f t="shared" si="75"/>
        <v>-1.80868012454459</v>
      </c>
      <c r="AD210" s="226">
        <f t="shared" si="69"/>
        <v>-1.864883852421916</v>
      </c>
      <c r="AE210" s="226">
        <f t="shared" si="70"/>
        <v>-5.5231800860733017E-2</v>
      </c>
      <c r="AF210" s="226">
        <f t="shared" si="71"/>
        <v>-0.4190314731187833</v>
      </c>
      <c r="AG210" s="226">
        <f t="shared" si="72"/>
        <v>-0.56566237459735513</v>
      </c>
      <c r="AH210" s="261">
        <f t="shared" si="73"/>
        <v>-0.59321597129292236</v>
      </c>
    </row>
    <row r="211" spans="21:34" x14ac:dyDescent="0.25">
      <c r="U211" s="220">
        <f t="shared" si="76"/>
        <v>18500000</v>
      </c>
      <c r="V211" s="208">
        <v>-606809124.75143266</v>
      </c>
      <c r="W211" s="208">
        <v>-625870935.46011102</v>
      </c>
      <c r="X211" s="218">
        <v>0.96950757995096104</v>
      </c>
      <c r="Y211" s="218">
        <v>0.71070367448176952</v>
      </c>
      <c r="Z211" s="235">
        <v>4.6912828721680677E-2</v>
      </c>
      <c r="AA211" s="219">
        <v>4.3695571883207718E-2</v>
      </c>
      <c r="AB211" s="260">
        <f t="shared" si="74"/>
        <v>-0.26</v>
      </c>
      <c r="AC211" s="226">
        <f t="shared" si="75"/>
        <v>-1.9594034682566408</v>
      </c>
      <c r="AD211" s="226">
        <f t="shared" si="69"/>
        <v>-2.020290840123744</v>
      </c>
      <c r="AE211" s="226">
        <f t="shared" si="70"/>
        <v>-5.9907061239393294E-2</v>
      </c>
      <c r="AF211" s="226">
        <f t="shared" si="71"/>
        <v>-0.453950762545349</v>
      </c>
      <c r="AG211" s="226">
        <f>(Z211-Z$191)/Z$191</f>
        <v>-0.61533908396543935</v>
      </c>
      <c r="AH211" s="261">
        <f t="shared" si="73"/>
        <v>-0.64488525535362762</v>
      </c>
    </row>
    <row r="212" spans="21:34" x14ac:dyDescent="0.25">
      <c r="U212" s="220">
        <f t="shared" si="76"/>
        <v>18000000</v>
      </c>
      <c r="V212" s="208">
        <v>-702139507.95685697</v>
      </c>
      <c r="W212" s="208">
        <v>-721201318.66553521</v>
      </c>
      <c r="X212" s="218">
        <v>0.96467431868502007</v>
      </c>
      <c r="Y212" s="218">
        <v>0.66525490245997254</v>
      </c>
      <c r="Z212" s="219">
        <v>4.0798539410612511E-2</v>
      </c>
      <c r="AA212" s="219">
        <v>3.7287858460544498E-2</v>
      </c>
      <c r="AB212" s="260">
        <f t="shared" si="74"/>
        <v>-0.28000000000000003</v>
      </c>
      <c r="AC212" s="226">
        <f t="shared" si="75"/>
        <v>-2.1101268119686911</v>
      </c>
      <c r="AD212" s="226">
        <f t="shared" si="69"/>
        <v>-2.1756978278255712</v>
      </c>
      <c r="AE212" s="226">
        <f t="shared" si="70"/>
        <v>-6.4593682449230638E-2</v>
      </c>
      <c r="AF212" s="226">
        <f t="shared" si="71"/>
        <v>-0.48887005197191452</v>
      </c>
      <c r="AG212" s="226">
        <f t="shared" si="72"/>
        <v>-0.665473091898516</v>
      </c>
      <c r="AH212" s="261">
        <f t="shared" si="73"/>
        <v>-0.69696086434069415</v>
      </c>
    </row>
    <row r="213" spans="21:34" x14ac:dyDescent="0.25">
      <c r="U213" s="220">
        <f t="shared" si="76"/>
        <v>17500000</v>
      </c>
      <c r="V213" s="208">
        <v>-797469891.16228056</v>
      </c>
      <c r="W213" s="208">
        <v>-816531701.87095892</v>
      </c>
      <c r="X213" s="218">
        <v>0.95982929836029651</v>
      </c>
      <c r="Y213" s="218">
        <v>0.61980613043817578</v>
      </c>
      <c r="Z213" s="219">
        <v>3.4626447913537417E-2</v>
      </c>
      <c r="AA213" s="219">
        <v>3.0828247070385117E-2</v>
      </c>
      <c r="AB213" s="260">
        <f t="shared" si="74"/>
        <v>-0.3</v>
      </c>
      <c r="AC213" s="226">
        <f t="shared" si="75"/>
        <v>-2.2608501556807408</v>
      </c>
      <c r="AD213" s="226">
        <f t="shared" si="69"/>
        <v>-2.3311048155273979</v>
      </c>
      <c r="AE213" s="226">
        <f t="shared" si="70"/>
        <v>-6.929170595066074E-2</v>
      </c>
      <c r="AF213" s="226">
        <f t="shared" si="71"/>
        <v>-0.52378934139847988</v>
      </c>
      <c r="AG213" s="226">
        <f t="shared" si="72"/>
        <v>-0.71608104784163762</v>
      </c>
      <c r="AH213" s="261">
        <f t="shared" si="73"/>
        <v>-0.74945824909772485</v>
      </c>
    </row>
    <row r="214" spans="21:34" x14ac:dyDescent="0.25">
      <c r="U214" s="220">
        <f t="shared" si="76"/>
        <v>17000000</v>
      </c>
      <c r="V214" s="208">
        <v>-892800274.36770248</v>
      </c>
      <c r="W214" s="208">
        <v>-911862085.07638073</v>
      </c>
      <c r="X214" s="218">
        <v>0.95497247601080881</v>
      </c>
      <c r="Y214" s="218">
        <v>0.5743573584163798</v>
      </c>
      <c r="Z214" s="219">
        <v>2.8394436281269586E-2</v>
      </c>
      <c r="AA214" s="219">
        <v>2.4314760134211744E-2</v>
      </c>
      <c r="AB214" s="260">
        <f t="shared" si="74"/>
        <v>-0.32</v>
      </c>
      <c r="AC214" s="226">
        <f t="shared" si="75"/>
        <v>-2.4115734993927873</v>
      </c>
      <c r="AD214" s="226">
        <f t="shared" si="69"/>
        <v>-2.4865118032292215</v>
      </c>
      <c r="AE214" s="226">
        <f t="shared" si="70"/>
        <v>-7.4001173406086973E-2</v>
      </c>
      <c r="AF214" s="226">
        <f t="shared" si="71"/>
        <v>-0.55870863082504463</v>
      </c>
      <c r="AG214" s="226">
        <f t="shared" si="72"/>
        <v>-0.76718031788199481</v>
      </c>
      <c r="AH214" s="261">
        <f t="shared" si="73"/>
        <v>-0.80239348144298661</v>
      </c>
    </row>
    <row r="215" spans="21:34" x14ac:dyDescent="0.25">
      <c r="U215" s="220">
        <f t="shared" si="76"/>
        <v>16500000</v>
      </c>
      <c r="V215" s="208">
        <v>-988130657.57312632</v>
      </c>
      <c r="W215" s="208">
        <v>-1007192468.2818046</v>
      </c>
      <c r="X215" s="218">
        <v>0.9501038084609974</v>
      </c>
      <c r="Y215" s="218">
        <v>0.52890858639458305</v>
      </c>
      <c r="Z215" s="219">
        <v>2.2100295228231426E-2</v>
      </c>
      <c r="AA215" s="219">
        <v>1.7745340644883756E-2</v>
      </c>
      <c r="AB215" s="260">
        <f t="shared" si="74"/>
        <v>-0.34</v>
      </c>
      <c r="AC215" s="226">
        <f t="shared" si="75"/>
        <v>-2.562296843104837</v>
      </c>
      <c r="AD215" s="226">
        <f t="shared" si="69"/>
        <v>-2.6419187909310482</v>
      </c>
      <c r="AE215" s="226">
        <f t="shared" si="70"/>
        <v>-7.872212668113214E-2</v>
      </c>
      <c r="AF215" s="226">
        <f t="shared" si="71"/>
        <v>-0.59362792025160993</v>
      </c>
      <c r="AG215" s="226">
        <f t="shared" si="72"/>
        <v>-0.81878901701791962</v>
      </c>
      <c r="AH215" s="261">
        <f t="shared" si="73"/>
        <v>-0.85578327871267623</v>
      </c>
    </row>
    <row r="216" spans="21:34" x14ac:dyDescent="0.25">
      <c r="U216" s="220">
        <f t="shared" si="76"/>
        <v>16000000</v>
      </c>
      <c r="V216" s="208">
        <v>-1083461040.7785518</v>
      </c>
      <c r="W216" s="208">
        <v>-1102522851.4872298</v>
      </c>
      <c r="X216" s="218">
        <v>0.9452232523244456</v>
      </c>
      <c r="Y216" s="218">
        <v>0.48345981437278535</v>
      </c>
      <c r="Z216" s="219">
        <v>1.574172011123709E-2</v>
      </c>
      <c r="AA216" s="219">
        <v>1.111784913165148E-2</v>
      </c>
      <c r="AB216" s="260">
        <f t="shared" si="74"/>
        <v>-0.36</v>
      </c>
      <c r="AC216" s="226">
        <f t="shared" si="75"/>
        <v>-2.7130201868168893</v>
      </c>
      <c r="AD216" s="226">
        <f t="shared" si="69"/>
        <v>-2.7973257786328776</v>
      </c>
      <c r="AE216" s="226">
        <f t="shared" si="70"/>
        <v>-8.3454607845878867E-2</v>
      </c>
      <c r="AF216" s="226">
        <f t="shared" si="71"/>
        <v>-0.62854720967817612</v>
      </c>
      <c r="AG216" s="226">
        <f t="shared" si="72"/>
        <v>-0.87092604213078051</v>
      </c>
      <c r="AH216" s="261">
        <f t="shared" si="73"/>
        <v>-0.90964502842631123</v>
      </c>
    </row>
    <row r="217" spans="21:34" x14ac:dyDescent="0.25">
      <c r="U217" s="220">
        <f t="shared" si="76"/>
        <v>15500000</v>
      </c>
      <c r="V217" s="208">
        <v>-1178791423.9839747</v>
      </c>
      <c r="W217" s="208">
        <v>-1197853234.6926532</v>
      </c>
      <c r="X217" s="218">
        <v>0.94033076400259197</v>
      </c>
      <c r="Y217" s="218">
        <v>0.43801104235098898</v>
      </c>
      <c r="Z217" s="219">
        <v>9.316306846715694E-3</v>
      </c>
      <c r="AA217" s="219">
        <v>4.4300606379101826E-3</v>
      </c>
      <c r="AB217" s="260">
        <f t="shared" si="74"/>
        <v>-0.38</v>
      </c>
      <c r="AC217" s="226">
        <f t="shared" si="75"/>
        <v>-2.8637435305289376</v>
      </c>
      <c r="AD217" s="226">
        <f t="shared" si="69"/>
        <v>-2.9527327663347034</v>
      </c>
      <c r="AE217" s="226">
        <f t="shared" si="70"/>
        <v>-8.8198659176118049E-2</v>
      </c>
      <c r="AF217" s="226">
        <f t="shared" si="71"/>
        <v>-0.66346649910474109</v>
      </c>
      <c r="AG217" s="226">
        <f t="shared" si="72"/>
        <v>-0.92361110546163794</v>
      </c>
      <c r="AH217" s="261">
        <f t="shared" si="73"/>
        <v>-0.96399681284858074</v>
      </c>
    </row>
    <row r="218" spans="21:34" x14ac:dyDescent="0.25">
      <c r="U218" s="220">
        <f t="shared" si="76"/>
        <v>15000000</v>
      </c>
      <c r="V218" s="208">
        <v>-1274121807.1893981</v>
      </c>
      <c r="W218" s="208">
        <v>-1293183617.8980763</v>
      </c>
      <c r="X218" s="218">
        <v>0.93542629968342994</v>
      </c>
      <c r="Y218" s="218">
        <v>0.39256227032919239</v>
      </c>
      <c r="Z218" s="219">
        <v>2.8215477979109949E-3</v>
      </c>
      <c r="AA218" s="219">
        <v>-2.3203382535885719E-3</v>
      </c>
      <c r="AB218" s="260">
        <f t="shared" si="74"/>
        <v>-0.4</v>
      </c>
      <c r="AC218" s="226">
        <f t="shared" si="75"/>
        <v>-3.0144668742409868</v>
      </c>
      <c r="AD218" s="226">
        <f t="shared" si="69"/>
        <v>-3.1081397540365292</v>
      </c>
      <c r="AE218" s="226">
        <f t="shared" si="70"/>
        <v>-9.2954323154609872E-2</v>
      </c>
      <c r="AF218" s="226">
        <f t="shared" si="71"/>
        <v>-0.69838578853130628</v>
      </c>
      <c r="AG218" s="226">
        <f t="shared" si="72"/>
        <v>-0.97686476833407931</v>
      </c>
      <c r="AH218" s="261">
        <f t="shared" si="73"/>
        <v>-1.0188574331655098</v>
      </c>
    </row>
    <row r="219" spans="21:34" x14ac:dyDescent="0.25">
      <c r="U219" s="220">
        <f t="shared" si="76"/>
        <v>14500000</v>
      </c>
      <c r="V219" s="208">
        <v>-1369452190.3948207</v>
      </c>
      <c r="W219" s="208">
        <v>-1388514001.1034989</v>
      </c>
      <c r="X219" s="218">
        <v>0.93050981534020172</v>
      </c>
      <c r="Y219" s="218">
        <v>0.34711349830739607</v>
      </c>
      <c r="Z219" s="219">
        <v>-3.7451723274130044E-3</v>
      </c>
      <c r="AA219" s="219">
        <v>-9.135752305051259E-3</v>
      </c>
      <c r="AB219" s="260">
        <f t="shared" si="74"/>
        <v>-0.42</v>
      </c>
      <c r="AC219" s="226">
        <f t="shared" si="75"/>
        <v>-3.1651902179530342</v>
      </c>
      <c r="AD219" s="226">
        <f t="shared" si="69"/>
        <v>-3.2635467417383541</v>
      </c>
      <c r="AE219" s="226">
        <f t="shared" si="70"/>
        <v>-9.772164247235024E-2</v>
      </c>
      <c r="AF219" s="226">
        <f t="shared" si="71"/>
        <v>-0.73330507795787137</v>
      </c>
      <c r="AG219" s="226">
        <f t="shared" si="72"/>
        <v>-1.0307084747909092</v>
      </c>
      <c r="AH219" s="261">
        <f t="shared" si="73"/>
        <v>-1.0742464329253361</v>
      </c>
    </row>
    <row r="220" spans="21:34" ht="15.75" thickBot="1" x14ac:dyDescent="0.3">
      <c r="U220" s="221">
        <f t="shared" si="76"/>
        <v>14000000</v>
      </c>
      <c r="V220" s="241">
        <v>-1464782573.6002445</v>
      </c>
      <c r="W220" s="241">
        <v>-1483844384.3089232</v>
      </c>
      <c r="X220" s="223">
        <v>0.92558126673007957</v>
      </c>
      <c r="Y220" s="223">
        <v>0.30166472628559921</v>
      </c>
      <c r="Z220" s="224">
        <v>-1.0386580517333988E-2</v>
      </c>
      <c r="AA220" s="224">
        <v>-1.6018680364546789E-2</v>
      </c>
      <c r="AB220" s="262">
        <f t="shared" si="74"/>
        <v>-0.44</v>
      </c>
      <c r="AC220" s="263">
        <f t="shared" si="75"/>
        <v>-3.3159135616650843</v>
      </c>
      <c r="AD220" s="263">
        <f t="shared" si="69"/>
        <v>-3.4189537294401817</v>
      </c>
      <c r="AE220" s="263">
        <f t="shared" si="70"/>
        <v>-0.10250066002984948</v>
      </c>
      <c r="AF220" s="263">
        <f t="shared" si="71"/>
        <v>-0.76822436738443678</v>
      </c>
      <c r="AG220" s="263">
        <f t="shared" si="72"/>
        <v>-1.0851645847230267</v>
      </c>
      <c r="AH220" s="264">
        <f t="shared" si="73"/>
        <v>-1.1301841203138934</v>
      </c>
    </row>
    <row r="222" spans="21:34" ht="15.75" thickBot="1" x14ac:dyDescent="0.3"/>
    <row r="223" spans="21:34" ht="15.75" thickBot="1" x14ac:dyDescent="0.3">
      <c r="U223" s="379" t="s">
        <v>357</v>
      </c>
      <c r="V223" s="380"/>
      <c r="W223" s="380"/>
      <c r="X223" s="380"/>
      <c r="Y223" s="380"/>
      <c r="Z223" s="380"/>
      <c r="AA223" s="381"/>
      <c r="AB223" s="380" t="s">
        <v>358</v>
      </c>
      <c r="AC223" s="380"/>
      <c r="AD223" s="380"/>
      <c r="AE223" s="380"/>
      <c r="AF223" s="380"/>
      <c r="AG223" s="380"/>
      <c r="AH223" s="381"/>
    </row>
    <row r="224" spans="21:34" x14ac:dyDescent="0.25">
      <c r="U224" s="229" t="s">
        <v>359</v>
      </c>
      <c r="V224" s="230" t="s">
        <v>332</v>
      </c>
      <c r="W224" s="230" t="s">
        <v>333</v>
      </c>
      <c r="X224" s="230" t="s">
        <v>335</v>
      </c>
      <c r="Y224" s="230" t="s">
        <v>336</v>
      </c>
      <c r="Z224" s="230" t="s">
        <v>338</v>
      </c>
      <c r="AA224" s="231" t="s">
        <v>339</v>
      </c>
      <c r="AB224" s="230" t="s">
        <v>356</v>
      </c>
      <c r="AC224" s="230" t="s">
        <v>332</v>
      </c>
      <c r="AD224" s="230" t="s">
        <v>333</v>
      </c>
      <c r="AE224" s="230" t="s">
        <v>335</v>
      </c>
      <c r="AF224" s="230" t="s">
        <v>336</v>
      </c>
      <c r="AG224" s="230" t="s">
        <v>338</v>
      </c>
      <c r="AH224" s="231" t="s">
        <v>339</v>
      </c>
    </row>
    <row r="225" spans="21:34" x14ac:dyDescent="0.25">
      <c r="U225" s="220">
        <f>AC7</f>
        <v>18000000</v>
      </c>
      <c r="V225" s="208">
        <f>$V$154</f>
        <v>632485856.91907358</v>
      </c>
      <c r="W225" s="208">
        <f>$V$155</f>
        <v>613424046.21039581</v>
      </c>
      <c r="X225" s="218">
        <f>$V$159</f>
        <v>1.0312890778959938</v>
      </c>
      <c r="Y225" s="218">
        <f>$V$160</f>
        <v>1.3015377107651267</v>
      </c>
      <c r="Z225" s="233">
        <f>$V$164</f>
        <v>0.12195891697368522</v>
      </c>
      <c r="AA225" s="234">
        <f>$V$165</f>
        <v>0.12304634640479462</v>
      </c>
      <c r="AB225" s="233">
        <f t="shared" ref="AB225:AB246" si="77">U225/$AC$7-1</f>
        <v>0</v>
      </c>
      <c r="AC225" s="226">
        <f t="shared" ref="AC225:AC246" si="78">V225/V$225-1</f>
        <v>0</v>
      </c>
      <c r="AD225" s="226">
        <f t="shared" ref="AD225:AD246" si="79">W225/W$225-1</f>
        <v>0</v>
      </c>
      <c r="AE225" s="226">
        <f t="shared" ref="AE225:AE246" si="80">X225/X$225-1</f>
        <v>0</v>
      </c>
      <c r="AF225" s="226">
        <f t="shared" ref="AF225:AF246" si="81">Y225/Y$225-1</f>
        <v>0</v>
      </c>
      <c r="AG225" s="226">
        <f t="shared" ref="AG225:AG246" si="82">Z225/Z$225-1</f>
        <v>0</v>
      </c>
      <c r="AH225" s="243">
        <f t="shared" ref="AH225:AH246" si="83">AA225/AA$225-1</f>
        <v>0</v>
      </c>
    </row>
    <row r="226" spans="21:34" x14ac:dyDescent="0.25">
      <c r="U226" s="244">
        <v>20000000</v>
      </c>
      <c r="V226" s="208">
        <f t="dataTable" ref="V226:AA246" dt2D="0" dtr="0" r1="AC7"/>
        <v>759593034.52630377</v>
      </c>
      <c r="W226" s="208">
        <v>740531223.81762505</v>
      </c>
      <c r="X226" s="218">
        <v>1.0375173092542136</v>
      </c>
      <c r="Y226" s="218">
        <v>1.3621360734608552</v>
      </c>
      <c r="Z226" s="233">
        <v>0.12926439354386621</v>
      </c>
      <c r="AA226" s="234">
        <v>0.13084114366697897</v>
      </c>
      <c r="AB226" s="233">
        <f t="shared" si="77"/>
        <v>0.11111111111111116</v>
      </c>
      <c r="AC226" s="226">
        <f t="shared" si="78"/>
        <v>0.20096445828273035</v>
      </c>
      <c r="AD226" s="226">
        <f t="shared" si="79"/>
        <v>0.20720931693576494</v>
      </c>
      <c r="AE226" s="226">
        <f t="shared" si="80"/>
        <v>6.0392682243144424E-3</v>
      </c>
      <c r="AF226" s="226">
        <f t="shared" si="81"/>
        <v>4.6559052568753367E-2</v>
      </c>
      <c r="AG226" s="226">
        <f t="shared" si="82"/>
        <v>5.9901126965216323E-2</v>
      </c>
      <c r="AH226" s="243">
        <f t="shared" si="83"/>
        <v>6.3348465760545425E-2</v>
      </c>
    </row>
    <row r="227" spans="21:34" x14ac:dyDescent="0.25">
      <c r="U227" s="244">
        <v>19500000</v>
      </c>
      <c r="V227" s="208">
        <v>727816240.12449789</v>
      </c>
      <c r="W227" s="208">
        <v>708754429.41581917</v>
      </c>
      <c r="X227" s="218">
        <v>1.0359621093702633</v>
      </c>
      <c r="Y227" s="218">
        <v>1.3469864827869238</v>
      </c>
      <c r="Z227" s="233">
        <v>0.12744383419914262</v>
      </c>
      <c r="AA227" s="234">
        <v>0.12889746264632884</v>
      </c>
      <c r="AB227" s="233">
        <f t="shared" si="77"/>
        <v>8.3333333333333259E-2</v>
      </c>
      <c r="AC227" s="226">
        <f t="shared" si="78"/>
        <v>0.15072334371205054</v>
      </c>
      <c r="AD227" s="226">
        <f t="shared" si="79"/>
        <v>0.15540698770182604</v>
      </c>
      <c r="AE227" s="226">
        <f t="shared" si="80"/>
        <v>4.531252753886772E-3</v>
      </c>
      <c r="AF227" s="226">
        <f t="shared" si="81"/>
        <v>3.4919289426565525E-2</v>
      </c>
      <c r="AG227" s="226">
        <f t="shared" si="82"/>
        <v>4.4973482559220068E-2</v>
      </c>
      <c r="AH227" s="243">
        <f t="shared" si="83"/>
        <v>4.7552133098575533E-2</v>
      </c>
    </row>
    <row r="228" spans="21:34" x14ac:dyDescent="0.25">
      <c r="U228" s="244">
        <v>19000000</v>
      </c>
      <c r="V228" s="208">
        <v>696039445.72268915</v>
      </c>
      <c r="W228" s="208">
        <v>676977635.01400995</v>
      </c>
      <c r="X228" s="218">
        <v>1.0344056718349688</v>
      </c>
      <c r="Y228" s="218">
        <v>1.3318368921129913</v>
      </c>
      <c r="Z228" s="233">
        <v>0.12561942978595808</v>
      </c>
      <c r="AA228" s="234">
        <v>0.12695046323247539</v>
      </c>
      <c r="AB228" s="233">
        <f t="shared" si="77"/>
        <v>5.555555555555558E-2</v>
      </c>
      <c r="AC228" s="226">
        <f t="shared" si="78"/>
        <v>0.10048222914136606</v>
      </c>
      <c r="AD228" s="226">
        <f t="shared" si="79"/>
        <v>0.1036046584678818</v>
      </c>
      <c r="AE228" s="226">
        <f t="shared" si="80"/>
        <v>3.0220371821771952E-3</v>
      </c>
      <c r="AF228" s="226">
        <f t="shared" si="81"/>
        <v>2.3279526284377017E-2</v>
      </c>
      <c r="AG228" s="226">
        <f t="shared" si="82"/>
        <v>3.0014310581838677E-2</v>
      </c>
      <c r="AH228" s="243">
        <f t="shared" si="83"/>
        <v>3.1728831791860923E-2</v>
      </c>
    </row>
    <row r="229" spans="21:34" x14ac:dyDescent="0.25">
      <c r="U229" s="244">
        <v>18500000</v>
      </c>
      <c r="V229" s="208">
        <v>664262651.32088232</v>
      </c>
      <c r="W229" s="208">
        <v>645200840.61220407</v>
      </c>
      <c r="X229" s="218">
        <v>1.0328479951703311</v>
      </c>
      <c r="Y229" s="218">
        <v>1.3166873014390594</v>
      </c>
      <c r="Z229" s="233">
        <v>0.12379113824537691</v>
      </c>
      <c r="AA229" s="234">
        <v>0.12500010484629587</v>
      </c>
      <c r="AB229" s="233">
        <f t="shared" si="77"/>
        <v>2.7777777777777679E-2</v>
      </c>
      <c r="AC229" s="226">
        <f t="shared" si="78"/>
        <v>5.0241114570684475E-2</v>
      </c>
      <c r="AD229" s="226">
        <f t="shared" si="79"/>
        <v>5.1802329233942901E-2</v>
      </c>
      <c r="AE229" s="226">
        <f t="shared" si="80"/>
        <v>1.5116200760292298E-3</v>
      </c>
      <c r="AF229" s="226">
        <f t="shared" si="81"/>
        <v>1.163976314218873E-2</v>
      </c>
      <c r="AG229" s="226">
        <f t="shared" si="82"/>
        <v>1.5023266171566796E-2</v>
      </c>
      <c r="AH229" s="243">
        <f t="shared" si="83"/>
        <v>1.5878232053098351E-2</v>
      </c>
    </row>
    <row r="230" spans="21:34" x14ac:dyDescent="0.25">
      <c r="U230" s="244">
        <v>18000000</v>
      </c>
      <c r="V230" s="208">
        <v>632485856.91907358</v>
      </c>
      <c r="W230" s="208">
        <v>613424046.21039581</v>
      </c>
      <c r="X230" s="218">
        <v>1.0312890778959938</v>
      </c>
      <c r="Y230" s="218">
        <v>1.3015377107651267</v>
      </c>
      <c r="Z230" s="233">
        <v>0.12195891697368522</v>
      </c>
      <c r="AA230" s="234">
        <v>0.12304634640479462</v>
      </c>
      <c r="AB230" s="233">
        <f t="shared" si="77"/>
        <v>0</v>
      </c>
      <c r="AC230" s="226">
        <f t="shared" si="78"/>
        <v>0</v>
      </c>
      <c r="AD230" s="226">
        <f t="shared" si="79"/>
        <v>0</v>
      </c>
      <c r="AE230" s="226">
        <f t="shared" si="80"/>
        <v>0</v>
      </c>
      <c r="AF230" s="226">
        <f t="shared" si="81"/>
        <v>0</v>
      </c>
      <c r="AG230" s="226">
        <f t="shared" si="82"/>
        <v>0</v>
      </c>
      <c r="AH230" s="243">
        <f t="shared" si="83"/>
        <v>0</v>
      </c>
    </row>
    <row r="231" spans="21:34" x14ac:dyDescent="0.25">
      <c r="U231" s="244">
        <v>17500000</v>
      </c>
      <c r="V231" s="208">
        <v>600709062.51726389</v>
      </c>
      <c r="W231" s="208">
        <v>581647251.80858564</v>
      </c>
      <c r="X231" s="218">
        <v>1.029728918529244</v>
      </c>
      <c r="Y231" s="218">
        <v>1.2863881200911937</v>
      </c>
      <c r="Z231" s="233">
        <v>0.1201227228138888</v>
      </c>
      <c r="AA231" s="234">
        <v>0.12108914631375289</v>
      </c>
      <c r="AB231" s="233">
        <f t="shared" si="77"/>
        <v>-2.777777777777779E-2</v>
      </c>
      <c r="AC231" s="226">
        <f t="shared" si="78"/>
        <v>-5.024111457068603E-2</v>
      </c>
      <c r="AD231" s="226">
        <f t="shared" si="79"/>
        <v>-5.1802329233945899E-2</v>
      </c>
      <c r="AE231" s="226">
        <f t="shared" si="80"/>
        <v>-1.5128244836383198E-3</v>
      </c>
      <c r="AF231" s="226">
        <f t="shared" si="81"/>
        <v>-1.1639763142188952E-2</v>
      </c>
      <c r="AG231" s="226">
        <f t="shared" si="82"/>
        <v>-1.5055841797878555E-2</v>
      </c>
      <c r="AH231" s="243">
        <f t="shared" si="83"/>
        <v>-1.5906202404441849E-2</v>
      </c>
    </row>
    <row r="232" spans="21:34" x14ac:dyDescent="0.25">
      <c r="U232" s="244">
        <v>17000000</v>
      </c>
      <c r="V232" s="208">
        <v>568932268.11545658</v>
      </c>
      <c r="W232" s="208">
        <v>549870457.40677881</v>
      </c>
      <c r="X232" s="218">
        <v>1.028167515585005</v>
      </c>
      <c r="Y232" s="218">
        <v>1.2712385294172617</v>
      </c>
      <c r="Z232" s="233">
        <v>0.11828251204706852</v>
      </c>
      <c r="AA232" s="234">
        <v>0.11912846246026554</v>
      </c>
      <c r="AB232" s="233">
        <f t="shared" si="77"/>
        <v>-5.555555555555558E-2</v>
      </c>
      <c r="AC232" s="226">
        <f t="shared" si="78"/>
        <v>-0.10048222914136828</v>
      </c>
      <c r="AD232" s="226">
        <f t="shared" si="79"/>
        <v>-0.10360465846788636</v>
      </c>
      <c r="AE232" s="226">
        <f t="shared" si="80"/>
        <v>-3.0268548149053887E-3</v>
      </c>
      <c r="AF232" s="226">
        <f t="shared" si="81"/>
        <v>-2.327952628437735E-2</v>
      </c>
      <c r="AG232" s="226">
        <f t="shared" si="82"/>
        <v>-3.0144617694579434E-2</v>
      </c>
      <c r="AH232" s="243">
        <f t="shared" si="83"/>
        <v>-3.1840717412609076E-2</v>
      </c>
    </row>
    <row r="233" spans="21:34" x14ac:dyDescent="0.25">
      <c r="U233" s="244">
        <v>16500000</v>
      </c>
      <c r="V233" s="208">
        <v>537155473.7136507</v>
      </c>
      <c r="W233" s="208">
        <v>518093663.00497246</v>
      </c>
      <c r="X233" s="218">
        <v>1.0266048675758301</v>
      </c>
      <c r="Y233" s="218">
        <v>1.2560889387433305</v>
      </c>
      <c r="Z233" s="233">
        <v>0.11643824038358486</v>
      </c>
      <c r="AA233" s="234">
        <v>0.11716425220516036</v>
      </c>
      <c r="AB233" s="233">
        <f t="shared" si="77"/>
        <v>-8.333333333333337E-2</v>
      </c>
      <c r="AC233" s="226">
        <f t="shared" si="78"/>
        <v>-0.15072334371204821</v>
      </c>
      <c r="AD233" s="226">
        <f t="shared" si="79"/>
        <v>-0.15540698770182604</v>
      </c>
      <c r="AE233" s="226">
        <f t="shared" si="80"/>
        <v>-4.5420924361191384E-3</v>
      </c>
      <c r="AF233" s="226">
        <f t="shared" si="81"/>
        <v>-3.491928942656497E-2</v>
      </c>
      <c r="AG233" s="226">
        <f t="shared" si="82"/>
        <v>-4.5266690842224677E-2</v>
      </c>
      <c r="AH233" s="243">
        <f t="shared" si="83"/>
        <v>-4.7803891553866218E-2</v>
      </c>
    </row>
    <row r="234" spans="21:34" x14ac:dyDescent="0.25">
      <c r="U234" s="244">
        <v>16000000</v>
      </c>
      <c r="V234" s="208">
        <v>505378679.31184149</v>
      </c>
      <c r="W234" s="208">
        <v>486316868.60316324</v>
      </c>
      <c r="X234" s="218">
        <v>1.0250409730119012</v>
      </c>
      <c r="Y234" s="218">
        <v>1.2409393480693975</v>
      </c>
      <c r="Z234" s="233">
        <v>0.1145898629541342</v>
      </c>
      <c r="AA234" s="234">
        <v>0.11519647237530251</v>
      </c>
      <c r="AB234" s="233">
        <f t="shared" si="77"/>
        <v>-0.11111111111111116</v>
      </c>
      <c r="AC234" s="226">
        <f t="shared" si="78"/>
        <v>-0.20096445828273346</v>
      </c>
      <c r="AD234" s="226">
        <f t="shared" si="79"/>
        <v>-0.20720931693577038</v>
      </c>
      <c r="AE234" s="226">
        <f t="shared" si="80"/>
        <v>-6.0585387918969946E-3</v>
      </c>
      <c r="AF234" s="226">
        <f t="shared" si="81"/>
        <v>-4.6559052568753923E-2</v>
      </c>
      <c r="AG234" s="226">
        <f t="shared" si="82"/>
        <v>-6.0422429145882139E-2</v>
      </c>
      <c r="AH234" s="243">
        <f t="shared" si="83"/>
        <v>-6.3796075697101995E-2</v>
      </c>
    </row>
    <row r="235" spans="21:34" x14ac:dyDescent="0.25">
      <c r="U235" s="244">
        <v>15500000</v>
      </c>
      <c r="V235" s="208">
        <v>473601884.91003513</v>
      </c>
      <c r="W235" s="208">
        <v>454540074.20135713</v>
      </c>
      <c r="X235" s="218">
        <v>1.0234758304010219</v>
      </c>
      <c r="Y235" s="218">
        <v>1.2257897573954659</v>
      </c>
      <c r="Z235" s="233">
        <v>0.11273733430065658</v>
      </c>
      <c r="AA235" s="234">
        <v>0.11322507925577829</v>
      </c>
      <c r="AB235" s="233">
        <f t="shared" si="77"/>
        <v>-0.13888888888888884</v>
      </c>
      <c r="AC235" s="226">
        <f t="shared" si="78"/>
        <v>-0.25120557285341416</v>
      </c>
      <c r="AD235" s="226">
        <f t="shared" si="79"/>
        <v>-0.25901164616970973</v>
      </c>
      <c r="AE235" s="226">
        <f t="shared" si="80"/>
        <v>-7.5761953291625383E-3</v>
      </c>
      <c r="AF235" s="226">
        <f t="shared" si="81"/>
        <v>-5.8198815710941876E-2</v>
      </c>
      <c r="AG235" s="226">
        <f t="shared" si="82"/>
        <v>-7.5612205338116967E-2</v>
      </c>
      <c r="AH235" s="243">
        <f t="shared" si="83"/>
        <v>-7.9817625114252277E-2</v>
      </c>
    </row>
    <row r="236" spans="21:34" x14ac:dyDescent="0.25">
      <c r="U236" s="244">
        <v>15000000</v>
      </c>
      <c r="V236" s="208">
        <v>441825090.50822639</v>
      </c>
      <c r="W236" s="208">
        <v>422763279.79954767</v>
      </c>
      <c r="X236" s="218">
        <v>1.0219094382486114</v>
      </c>
      <c r="Y236" s="218">
        <v>1.2106401667215334</v>
      </c>
      <c r="Z236" s="233">
        <v>0.11088060836708458</v>
      </c>
      <c r="AA236" s="234">
        <v>0.11125002858196087</v>
      </c>
      <c r="AB236" s="233">
        <f t="shared" si="77"/>
        <v>-0.16666666666666663</v>
      </c>
      <c r="AC236" s="226">
        <f t="shared" si="78"/>
        <v>-0.30144668742409875</v>
      </c>
      <c r="AD236" s="226">
        <f t="shared" si="79"/>
        <v>-0.31081397540365441</v>
      </c>
      <c r="AE236" s="226">
        <f t="shared" si="80"/>
        <v>-9.0950634971510569E-3</v>
      </c>
      <c r="AF236" s="226">
        <f t="shared" si="81"/>
        <v>-6.9838578853130495E-2</v>
      </c>
      <c r="AG236" s="226">
        <f t="shared" si="82"/>
        <v>-9.0836397054845808E-2</v>
      </c>
      <c r="AH236" s="243">
        <f t="shared" si="83"/>
        <v>-9.5868899544782393E-2</v>
      </c>
    </row>
    <row r="237" spans="21:34" x14ac:dyDescent="0.25">
      <c r="U237" s="244">
        <v>14500000</v>
      </c>
      <c r="V237" s="208">
        <v>410048296.10641861</v>
      </c>
      <c r="W237" s="208">
        <v>390986485.39774013</v>
      </c>
      <c r="X237" s="218">
        <v>1.0203417950577047</v>
      </c>
      <c r="Y237" s="218">
        <v>1.1954905760476011</v>
      </c>
      <c r="Z237" s="233">
        <v>0.10901963848993934</v>
      </c>
      <c r="AA237" s="234">
        <v>0.1092712755314531</v>
      </c>
      <c r="AB237" s="233">
        <f t="shared" si="77"/>
        <v>-0.19444444444444442</v>
      </c>
      <c r="AC237" s="226">
        <f t="shared" si="78"/>
        <v>-0.35168780199478167</v>
      </c>
      <c r="AD237" s="226">
        <f t="shared" si="79"/>
        <v>-0.36261630463759609</v>
      </c>
      <c r="AE237" s="226">
        <f t="shared" si="80"/>
        <v>-1.0615144747410099E-2</v>
      </c>
      <c r="AF237" s="226">
        <f t="shared" si="81"/>
        <v>-8.1478341995319004E-2</v>
      </c>
      <c r="AG237" s="226">
        <f t="shared" si="82"/>
        <v>-0.10609538691244491</v>
      </c>
      <c r="AH237" s="243">
        <f t="shared" si="83"/>
        <v>-0.11195026326116708</v>
      </c>
    </row>
    <row r="238" spans="21:34" x14ac:dyDescent="0.25">
      <c r="U238" s="244">
        <v>14000000</v>
      </c>
      <c r="V238" s="208">
        <v>378271501.70461035</v>
      </c>
      <c r="W238" s="208">
        <v>359209690.99593234</v>
      </c>
      <c r="X238" s="218">
        <v>1.0187728993289418</v>
      </c>
      <c r="Y238" s="218">
        <v>1.1803409853736686</v>
      </c>
      <c r="Z238" s="233">
        <v>0.10715437738876776</v>
      </c>
      <c r="AA238" s="234">
        <v>0.10728877471591192</v>
      </c>
      <c r="AB238" s="233">
        <f t="shared" si="77"/>
        <v>-0.22222222222222221</v>
      </c>
      <c r="AC238" s="226">
        <f t="shared" si="78"/>
        <v>-0.40192891656546548</v>
      </c>
      <c r="AD238" s="226">
        <f t="shared" si="79"/>
        <v>-0.4144186338715381</v>
      </c>
      <c r="AE238" s="226">
        <f t="shared" si="80"/>
        <v>-1.2136440533809578E-2</v>
      </c>
      <c r="AF238" s="226">
        <f t="shared" si="81"/>
        <v>-9.3118105137507623E-2</v>
      </c>
      <c r="AG238" s="226">
        <f t="shared" si="82"/>
        <v>-0.12138956258615996</v>
      </c>
      <c r="AH238" s="243">
        <f t="shared" si="83"/>
        <v>-0.12806208513533479</v>
      </c>
    </row>
    <row r="239" spans="21:34" x14ac:dyDescent="0.25">
      <c r="U239" s="244">
        <v>13500000</v>
      </c>
      <c r="V239" s="208">
        <v>346494707.30280352</v>
      </c>
      <c r="W239" s="208">
        <v>327432896.59412527</v>
      </c>
      <c r="X239" s="218">
        <v>1.0172027495605678</v>
      </c>
      <c r="Y239" s="218">
        <v>1.165191394699737</v>
      </c>
      <c r="Z239" s="233">
        <v>0.10528477715642026</v>
      </c>
      <c r="AA239" s="234">
        <v>0.10530248017274624</v>
      </c>
      <c r="AB239" s="233">
        <f t="shared" si="77"/>
        <v>-0.25</v>
      </c>
      <c r="AC239" s="226">
        <f t="shared" si="78"/>
        <v>-0.45217003113614695</v>
      </c>
      <c r="AD239" s="226">
        <f t="shared" si="79"/>
        <v>-0.46622096310547889</v>
      </c>
      <c r="AE239" s="226">
        <f t="shared" si="80"/>
        <v>-1.3658952312541217E-2</v>
      </c>
      <c r="AF239" s="226">
        <f t="shared" si="81"/>
        <v>-0.10475786827969558</v>
      </c>
      <c r="AG239" s="226">
        <f t="shared" si="82"/>
        <v>-0.13671931688982364</v>
      </c>
      <c r="AH239" s="243">
        <f t="shared" si="83"/>
        <v>-0.14420473870613826</v>
      </c>
    </row>
    <row r="240" spans="21:34" x14ac:dyDescent="0.25">
      <c r="U240" s="244">
        <v>13000000</v>
      </c>
      <c r="V240" s="208">
        <v>314717912.90099382</v>
      </c>
      <c r="W240" s="208">
        <v>295656102.1923151</v>
      </c>
      <c r="X240" s="218">
        <v>1.0156313442484248</v>
      </c>
      <c r="Y240" s="218">
        <v>1.1500418040258038</v>
      </c>
      <c r="Z240" s="233">
        <v>0.10341078924916403</v>
      </c>
      <c r="AA240" s="234">
        <v>0.10331234535669265</v>
      </c>
      <c r="AB240" s="233">
        <f t="shared" si="77"/>
        <v>-0.27777777777777779</v>
      </c>
      <c r="AC240" s="226">
        <f t="shared" si="78"/>
        <v>-0.50241114570683298</v>
      </c>
      <c r="AD240" s="226">
        <f t="shared" si="79"/>
        <v>-0.51802329233942479</v>
      </c>
      <c r="AE240" s="226">
        <f t="shared" si="80"/>
        <v>-1.5182681542127208E-2</v>
      </c>
      <c r="AF240" s="226">
        <f t="shared" si="81"/>
        <v>-0.11639763142188475</v>
      </c>
      <c r="AG240" s="226">
        <f t="shared" si="82"/>
        <v>-0.15208504785692112</v>
      </c>
      <c r="AH240" s="243">
        <f t="shared" si="83"/>
        <v>-0.16037860224781952</v>
      </c>
    </row>
    <row r="241" spans="21:34" x14ac:dyDescent="0.25">
      <c r="U241" s="244">
        <v>12500000</v>
      </c>
      <c r="V241" s="208">
        <v>282941118.49918747</v>
      </c>
      <c r="W241" s="208">
        <v>263879307.79050851</v>
      </c>
      <c r="X241" s="218">
        <v>1.0140586818859494</v>
      </c>
      <c r="Y241" s="218">
        <v>1.1348922133518724</v>
      </c>
      <c r="Z241" s="233">
        <v>0.10153236447663416</v>
      </c>
      <c r="AA241" s="234">
        <v>0.10131832313126488</v>
      </c>
      <c r="AB241" s="233">
        <f t="shared" si="77"/>
        <v>-0.30555555555555558</v>
      </c>
      <c r="AC241" s="226">
        <f t="shared" si="78"/>
        <v>-0.55265226027751368</v>
      </c>
      <c r="AD241" s="226">
        <f t="shared" si="79"/>
        <v>-0.56982562157336492</v>
      </c>
      <c r="AE241" s="226">
        <f t="shared" si="80"/>
        <v>-1.670762968342232E-2</v>
      </c>
      <c r="AF241" s="226">
        <f t="shared" si="81"/>
        <v>-0.12803739456407259</v>
      </c>
      <c r="AG241" s="226">
        <f t="shared" si="82"/>
        <v>-0.16748715882298659</v>
      </c>
      <c r="AH241" s="243">
        <f t="shared" si="83"/>
        <v>-0.1765840588394999</v>
      </c>
    </row>
    <row r="242" spans="21:34" x14ac:dyDescent="0.25">
      <c r="U242" s="244">
        <v>12000000</v>
      </c>
      <c r="V242" s="208">
        <v>251164324.09737921</v>
      </c>
      <c r="W242" s="208">
        <v>232102513.38870049</v>
      </c>
      <c r="X242" s="218">
        <v>1.0124847609641654</v>
      </c>
      <c r="Y242" s="218">
        <v>1.1197426226779399</v>
      </c>
      <c r="Z242" s="233">
        <v>9.9649452991617649E-2</v>
      </c>
      <c r="AA242" s="234">
        <v>9.9320365760078966E-2</v>
      </c>
      <c r="AB242" s="233">
        <f t="shared" si="77"/>
        <v>-0.33333333333333337</v>
      </c>
      <c r="AC242" s="226">
        <f t="shared" si="78"/>
        <v>-0.60289337484819738</v>
      </c>
      <c r="AD242" s="226">
        <f t="shared" si="79"/>
        <v>-0.62162795080730726</v>
      </c>
      <c r="AE242" s="226">
        <f t="shared" si="80"/>
        <v>-1.8233798199620566E-2</v>
      </c>
      <c r="AF242" s="226">
        <f t="shared" si="81"/>
        <v>-0.13967715770626121</v>
      </c>
      <c r="AG242" s="226">
        <f t="shared" si="82"/>
        <v>-0.18292605850936861</v>
      </c>
      <c r="AH242" s="243">
        <f t="shared" si="83"/>
        <v>-0.19282149643568081</v>
      </c>
    </row>
    <row r="243" spans="21:34" x14ac:dyDescent="0.25">
      <c r="U243" s="244">
        <v>11500000</v>
      </c>
      <c r="V243" s="208">
        <v>219387529.6955719</v>
      </c>
      <c r="W243" s="208">
        <v>200325718.98689365</v>
      </c>
      <c r="X243" s="218">
        <v>1.0109095799716821</v>
      </c>
      <c r="Y243" s="218">
        <v>1.1045930320040078</v>
      </c>
      <c r="Z243" s="233">
        <v>9.7762004279668746E-2</v>
      </c>
      <c r="AA243" s="234">
        <v>9.7318424898048761E-2</v>
      </c>
      <c r="AB243" s="233">
        <f t="shared" si="77"/>
        <v>-0.36111111111111116</v>
      </c>
      <c r="AC243" s="226">
        <f t="shared" si="78"/>
        <v>-0.65313448941887964</v>
      </c>
      <c r="AD243" s="226">
        <f t="shared" si="79"/>
        <v>-0.67343028004124772</v>
      </c>
      <c r="AE243" s="226">
        <f t="shared" si="80"/>
        <v>-1.9761188556257525E-2</v>
      </c>
      <c r="AF243" s="226">
        <f t="shared" si="81"/>
        <v>-0.1513169208484495</v>
      </c>
      <c r="AG243" s="226">
        <f t="shared" si="82"/>
        <v>-0.19840216110837861</v>
      </c>
      <c r="AH243" s="243">
        <f t="shared" si="83"/>
        <v>-0.20909130793779784</v>
      </c>
    </row>
    <row r="244" spans="21:34" x14ac:dyDescent="0.25">
      <c r="U244" s="244">
        <v>11000000</v>
      </c>
      <c r="V244" s="208">
        <v>187610735.29376411</v>
      </c>
      <c r="W244" s="208">
        <v>168548924.58508563</v>
      </c>
      <c r="X244" s="218">
        <v>1.0093331373946874</v>
      </c>
      <c r="Y244" s="218">
        <v>1.0894434413300758</v>
      </c>
      <c r="Z244" s="233">
        <v>9.5869967148553004E-2</v>
      </c>
      <c r="AA244" s="234">
        <v>9.5312451582456159E-2</v>
      </c>
      <c r="AB244" s="233">
        <f t="shared" si="77"/>
        <v>-0.38888888888888884</v>
      </c>
      <c r="AC244" s="226">
        <f t="shared" si="78"/>
        <v>-0.70337560398956267</v>
      </c>
      <c r="AD244" s="226">
        <f t="shared" si="79"/>
        <v>-0.72523260927519018</v>
      </c>
      <c r="AE244" s="226">
        <f t="shared" si="80"/>
        <v>-2.1289802221216347E-2</v>
      </c>
      <c r="AF244" s="226">
        <f t="shared" si="81"/>
        <v>-0.16295668399063779</v>
      </c>
      <c r="AG244" s="226">
        <f t="shared" si="82"/>
        <v>-0.21391588636984504</v>
      </c>
      <c r="AH244" s="243">
        <f t="shared" si="83"/>
        <v>-0.22539389126679332</v>
      </c>
    </row>
    <row r="245" spans="21:34" x14ac:dyDescent="0.25">
      <c r="U245" s="244">
        <v>10500000</v>
      </c>
      <c r="V245" s="208">
        <v>155833940.89195681</v>
      </c>
      <c r="W245" s="208">
        <v>136772130.18327785</v>
      </c>
      <c r="X245" s="218">
        <v>1.0077554317169424</v>
      </c>
      <c r="Y245" s="218">
        <v>1.0742938506561437</v>
      </c>
      <c r="Z245" s="233">
        <v>9.3973289717522501E-2</v>
      </c>
      <c r="AA245" s="234">
        <v>9.3302396223891693E-2</v>
      </c>
      <c r="AB245" s="233">
        <f t="shared" si="77"/>
        <v>-0.41666666666666663</v>
      </c>
      <c r="AC245" s="226">
        <f t="shared" si="78"/>
        <v>-0.75361671856024492</v>
      </c>
      <c r="AD245" s="226">
        <f t="shared" si="79"/>
        <v>-0.77703493850913219</v>
      </c>
      <c r="AE245" s="226">
        <f t="shared" si="80"/>
        <v>-2.2819640664733964E-2</v>
      </c>
      <c r="AF245" s="226">
        <f t="shared" si="81"/>
        <v>-0.17459644713282618</v>
      </c>
      <c r="AG245" s="226">
        <f t="shared" si="82"/>
        <v>-0.22946765968905014</v>
      </c>
      <c r="AH245" s="243">
        <f t="shared" si="83"/>
        <v>-0.24172964943674202</v>
      </c>
    </row>
    <row r="246" spans="21:34" ht="15.75" thickBot="1" x14ac:dyDescent="0.3">
      <c r="U246" s="245">
        <v>10000000</v>
      </c>
      <c r="V246" s="241">
        <v>124057146.49014807</v>
      </c>
      <c r="W246" s="241">
        <v>104995335.78146982</v>
      </c>
      <c r="X246" s="223">
        <v>1.0061764614197781</v>
      </c>
      <c r="Y246" s="223">
        <v>1.059144259982211</v>
      </c>
      <c r="Z246" s="246">
        <v>9.2071919406412794E-2</v>
      </c>
      <c r="AA246" s="253">
        <v>9.1288208597066989E-2</v>
      </c>
      <c r="AB246" s="246">
        <f t="shared" si="77"/>
        <v>-0.44444444444444442</v>
      </c>
      <c r="AC246" s="228">
        <f t="shared" si="78"/>
        <v>-0.8038578331309294</v>
      </c>
      <c r="AD246" s="228">
        <f t="shared" si="79"/>
        <v>-0.82883726774307465</v>
      </c>
      <c r="AE246" s="228">
        <f t="shared" si="80"/>
        <v>-2.4350705359402869E-2</v>
      </c>
      <c r="AF246" s="228">
        <f t="shared" si="81"/>
        <v>-0.18623621027501491</v>
      </c>
      <c r="AG246" s="228">
        <f t="shared" si="82"/>
        <v>-0.24505791219612971</v>
      </c>
      <c r="AH246" s="247">
        <f t="shared" si="83"/>
        <v>-0.25809899062951891</v>
      </c>
    </row>
    <row r="248" spans="21:34" ht="15.75" thickBot="1" x14ac:dyDescent="0.3"/>
    <row r="249" spans="21:34" ht="15.75" thickBot="1" x14ac:dyDescent="0.3">
      <c r="U249" s="379" t="s">
        <v>357</v>
      </c>
      <c r="V249" s="380"/>
      <c r="W249" s="380"/>
      <c r="X249" s="380"/>
      <c r="Y249" s="380"/>
      <c r="Z249" s="380"/>
      <c r="AA249" s="382"/>
      <c r="AB249" s="383" t="s">
        <v>358</v>
      </c>
      <c r="AC249" s="383"/>
      <c r="AD249" s="383"/>
      <c r="AE249" s="383"/>
      <c r="AF249" s="383"/>
      <c r="AG249" s="383"/>
      <c r="AH249" s="384"/>
    </row>
    <row r="250" spans="21:34" x14ac:dyDescent="0.25">
      <c r="U250" s="229" t="s">
        <v>361</v>
      </c>
      <c r="V250" s="230" t="s">
        <v>332</v>
      </c>
      <c r="W250" s="230" t="s">
        <v>333</v>
      </c>
      <c r="X250" s="230" t="s">
        <v>335</v>
      </c>
      <c r="Y250" s="230" t="s">
        <v>336</v>
      </c>
      <c r="Z250" s="230" t="s">
        <v>338</v>
      </c>
      <c r="AA250" s="265" t="s">
        <v>339</v>
      </c>
      <c r="AB250" s="275" t="s">
        <v>361</v>
      </c>
      <c r="AC250" s="275" t="s">
        <v>332</v>
      </c>
      <c r="AD250" s="275" t="s">
        <v>333</v>
      </c>
      <c r="AE250" s="275" t="s">
        <v>335</v>
      </c>
      <c r="AF250" s="275" t="s">
        <v>336</v>
      </c>
      <c r="AG250" s="275" t="s">
        <v>338</v>
      </c>
      <c r="AH250" s="276" t="s">
        <v>339</v>
      </c>
    </row>
    <row r="251" spans="21:34" x14ac:dyDescent="0.25">
      <c r="U251" s="220">
        <f>AC8</f>
        <v>15000000</v>
      </c>
      <c r="V251" s="208">
        <f>$V$154</f>
        <v>632485856.91907358</v>
      </c>
      <c r="W251" s="208">
        <f>$V$155</f>
        <v>613424046.21039581</v>
      </c>
      <c r="X251" s="218">
        <f>$V$159</f>
        <v>1.0312890778959938</v>
      </c>
      <c r="Y251" s="218">
        <f>$V$160</f>
        <v>1.3015377107651267</v>
      </c>
      <c r="Z251" s="233">
        <f>$V$164</f>
        <v>0.12195891697368522</v>
      </c>
      <c r="AA251" s="266">
        <f>$V$165</f>
        <v>0.12304634640479462</v>
      </c>
      <c r="AB251" s="233">
        <f>U251/U$251-1</f>
        <v>0</v>
      </c>
      <c r="AC251" s="226">
        <f t="shared" ref="AC251:AC278" si="84">V251/V$251-1</f>
        <v>0</v>
      </c>
      <c r="AD251" s="226">
        <f t="shared" ref="AD251:AD278" si="85">W251/W$251-1</f>
        <v>0</v>
      </c>
      <c r="AE251" s="226">
        <f t="shared" ref="AE251:AE278" si="86">X251/X$251-1</f>
        <v>0</v>
      </c>
      <c r="AF251" s="226">
        <f t="shared" ref="AF251:AF278" si="87">Y251/Y$251-1</f>
        <v>0</v>
      </c>
      <c r="AG251" s="226">
        <f t="shared" ref="AG251:AG278" si="88">Z251/Z$251-1</f>
        <v>0</v>
      </c>
      <c r="AH251" s="243">
        <f t="shared" ref="AH251:AH278" si="89">AA251/AA$251-1</f>
        <v>0</v>
      </c>
    </row>
    <row r="252" spans="21:34" x14ac:dyDescent="0.25">
      <c r="U252" s="220">
        <v>18000000</v>
      </c>
      <c r="V252" s="1">
        <f t="dataTable" ref="V252:AA278" dt2D="0" dtr="0" r1="AC8" ca="1"/>
        <v>1585789688.9733076</v>
      </c>
      <c r="W252" s="1">
        <v>1566727878.2646298</v>
      </c>
      <c r="X252" s="218">
        <v>1.0775228772872767</v>
      </c>
      <c r="Y252" s="218">
        <v>1.7560254309830932</v>
      </c>
      <c r="Z252" s="233">
        <v>0.17537527533882491</v>
      </c>
      <c r="AA252" s="266">
        <v>0.18033403155169569</v>
      </c>
      <c r="AB252" s="233">
        <f t="shared" ref="AB252:AB278" si="90">U252/U$251-1</f>
        <v>0.19999999999999996</v>
      </c>
      <c r="AC252" s="226">
        <f t="shared" si="84"/>
        <v>1.5072334371204903</v>
      </c>
      <c r="AD252" s="226">
        <f t="shared" si="85"/>
        <v>1.5540698770182613</v>
      </c>
      <c r="AE252" s="226">
        <f t="shared" si="86"/>
        <v>4.4831076351169896E-2</v>
      </c>
      <c r="AF252" s="226">
        <f t="shared" si="87"/>
        <v>0.34919289426565259</v>
      </c>
      <c r="AG252" s="226">
        <f t="shared" si="88"/>
        <v>0.43798649324399319</v>
      </c>
      <c r="AH252" s="243">
        <f t="shared" si="89"/>
        <v>0.46557810793046683</v>
      </c>
    </row>
    <row r="253" spans="21:34" x14ac:dyDescent="0.25">
      <c r="U253" s="220">
        <v>17500000</v>
      </c>
      <c r="V253" s="1">
        <v>1426905716.9642696</v>
      </c>
      <c r="W253" s="1">
        <v>1407843906.2555914</v>
      </c>
      <c r="X253" s="218">
        <v>1.0698932021250334</v>
      </c>
      <c r="Y253" s="218">
        <v>1.6802774776134326</v>
      </c>
      <c r="Z253" s="233">
        <v>0.16667704669166361</v>
      </c>
      <c r="AA253" s="266">
        <v>0.17095877306686025</v>
      </c>
      <c r="AB253" s="233">
        <f t="shared" si="90"/>
        <v>0.16666666666666674</v>
      </c>
      <c r="AC253" s="226">
        <f t="shared" si="84"/>
        <v>1.256027864267077</v>
      </c>
      <c r="AD253" s="226">
        <f t="shared" si="85"/>
        <v>1.2950582308485519</v>
      </c>
      <c r="AE253" s="226">
        <f t="shared" si="86"/>
        <v>3.7432883811587159E-2</v>
      </c>
      <c r="AF253" s="226">
        <f t="shared" si="87"/>
        <v>0.29099407855471093</v>
      </c>
      <c r="AG253" s="226">
        <f t="shared" si="88"/>
        <v>0.36666552005891551</v>
      </c>
      <c r="AH253" s="243">
        <f t="shared" si="89"/>
        <v>0.38938520372189345</v>
      </c>
    </row>
    <row r="254" spans="21:34" x14ac:dyDescent="0.25">
      <c r="U254" s="220">
        <v>17000000</v>
      </c>
      <c r="V254" s="1">
        <v>1268021744.9552312</v>
      </c>
      <c r="W254" s="1">
        <v>1248959934.2465529</v>
      </c>
      <c r="X254" s="218">
        <v>1.062233383809714</v>
      </c>
      <c r="Y254" s="218">
        <v>1.6045295242437718</v>
      </c>
      <c r="Z254" s="233">
        <v>0.15790274657400838</v>
      </c>
      <c r="AA254" s="266">
        <v>0.16152000603727479</v>
      </c>
      <c r="AB254" s="233">
        <f t="shared" si="90"/>
        <v>0.1333333333333333</v>
      </c>
      <c r="AC254" s="226">
        <f t="shared" si="84"/>
        <v>1.0048222914136629</v>
      </c>
      <c r="AD254" s="226">
        <f t="shared" si="85"/>
        <v>1.0360465846788425</v>
      </c>
      <c r="AE254" s="226">
        <f t="shared" si="86"/>
        <v>3.000546265539028E-2</v>
      </c>
      <c r="AF254" s="226">
        <f t="shared" si="87"/>
        <v>0.23279526284376906</v>
      </c>
      <c r="AG254" s="226">
        <f t="shared" si="88"/>
        <v>0.29472080018616986</v>
      </c>
      <c r="AH254" s="243">
        <f t="shared" si="89"/>
        <v>0.31267616436095191</v>
      </c>
    </row>
    <row r="255" spans="21:34" x14ac:dyDescent="0.25">
      <c r="U255" s="220">
        <v>16500000</v>
      </c>
      <c r="V255" s="1">
        <v>1109137772.9461923</v>
      </c>
      <c r="W255" s="1">
        <v>1090075962.2375135</v>
      </c>
      <c r="X255" s="218">
        <v>1.0545432433543889</v>
      </c>
      <c r="Y255" s="218">
        <v>1.5287815708741108</v>
      </c>
      <c r="Z255" s="233">
        <v>0.14904827975875623</v>
      </c>
      <c r="AA255" s="266">
        <v>0.15201374337436468</v>
      </c>
      <c r="AB255" s="233">
        <f t="shared" si="90"/>
        <v>0.10000000000000009</v>
      </c>
      <c r="AC255" s="226">
        <f t="shared" si="84"/>
        <v>0.75361671856024781</v>
      </c>
      <c r="AD255" s="226">
        <f t="shared" si="85"/>
        <v>0.77703493850913175</v>
      </c>
      <c r="AE255" s="226">
        <f t="shared" si="86"/>
        <v>2.2548639326072983E-2</v>
      </c>
      <c r="AF255" s="226">
        <f t="shared" si="87"/>
        <v>0.17459644713282696</v>
      </c>
      <c r="AG255" s="226">
        <f t="shared" si="88"/>
        <v>0.22211875488297439</v>
      </c>
      <c r="AH255" s="243">
        <f t="shared" si="89"/>
        <v>0.23541858670288263</v>
      </c>
    </row>
    <row r="256" spans="21:34" x14ac:dyDescent="0.25">
      <c r="U256" s="220">
        <v>16000000</v>
      </c>
      <c r="V256" s="1">
        <v>950253800.93715191</v>
      </c>
      <c r="W256" s="1">
        <v>931191990.22847366</v>
      </c>
      <c r="X256" s="218">
        <v>1.0468226003522432</v>
      </c>
      <c r="Y256" s="218">
        <v>1.4530336175044491</v>
      </c>
      <c r="Z256" s="233">
        <v>0.14010929190981458</v>
      </c>
      <c r="AA256" s="266">
        <v>0.14243575427667077</v>
      </c>
      <c r="AB256" s="233">
        <f t="shared" si="90"/>
        <v>6.6666666666666652E-2</v>
      </c>
      <c r="AC256" s="226">
        <f t="shared" si="84"/>
        <v>0.50241114570683076</v>
      </c>
      <c r="AD256" s="226">
        <f t="shared" si="85"/>
        <v>0.51802329233942013</v>
      </c>
      <c r="AE256" s="226">
        <f t="shared" si="86"/>
        <v>1.5062238890322099E-2</v>
      </c>
      <c r="AF256" s="226">
        <f t="shared" si="87"/>
        <v>0.11639763142188442</v>
      </c>
      <c r="AG256" s="226">
        <f t="shared" si="88"/>
        <v>0.1488236808469332</v>
      </c>
      <c r="AH256" s="243">
        <f t="shared" si="89"/>
        <v>0.15757808694367403</v>
      </c>
    </row>
    <row r="257" spans="21:34" x14ac:dyDescent="0.25">
      <c r="U257" s="220">
        <v>15500000</v>
      </c>
      <c r="V257" s="1">
        <v>791369828.92811298</v>
      </c>
      <c r="W257" s="1">
        <v>772308018.21943474</v>
      </c>
      <c r="X257" s="218">
        <v>1.0390712729624705</v>
      </c>
      <c r="Y257" s="218">
        <v>1.3772856641347879</v>
      </c>
      <c r="Z257" s="233">
        <v>0.1310811493426447</v>
      </c>
      <c r="AA257" s="266">
        <v>0.13278154637691153</v>
      </c>
      <c r="AB257" s="233">
        <f t="shared" si="90"/>
        <v>3.3333333333333437E-2</v>
      </c>
      <c r="AC257" s="226">
        <f t="shared" si="84"/>
        <v>0.25120557285341572</v>
      </c>
      <c r="AD257" s="226">
        <f t="shared" si="85"/>
        <v>0.25901164616971006</v>
      </c>
      <c r="AE257" s="226">
        <f t="shared" si="86"/>
        <v>7.5460850243402877E-3</v>
      </c>
      <c r="AF257" s="226">
        <f t="shared" si="87"/>
        <v>5.819881571094232E-2</v>
      </c>
      <c r="AG257" s="226">
        <f t="shared" si="88"/>
        <v>7.4797584262967565E-2</v>
      </c>
      <c r="AH257" s="243">
        <f t="shared" si="89"/>
        <v>7.9118155528895784E-2</v>
      </c>
    </row>
    <row r="258" spans="21:34" x14ac:dyDescent="0.25">
      <c r="U258" s="220">
        <v>15000000</v>
      </c>
      <c r="V258" s="1">
        <v>632485856.91907358</v>
      </c>
      <c r="W258" s="1">
        <v>613424046.21039581</v>
      </c>
      <c r="X258" s="218">
        <v>1.0312890778959938</v>
      </c>
      <c r="Y258" s="218">
        <v>1.3015377107651267</v>
      </c>
      <c r="Z258" s="233">
        <v>0.12195891697368522</v>
      </c>
      <c r="AA258" s="266">
        <v>0.12304634640479462</v>
      </c>
      <c r="AB258" s="233">
        <f t="shared" si="90"/>
        <v>0</v>
      </c>
      <c r="AC258" s="226">
        <f t="shared" si="84"/>
        <v>0</v>
      </c>
      <c r="AD258" s="226">
        <f t="shared" si="85"/>
        <v>0</v>
      </c>
      <c r="AE258" s="226">
        <f t="shared" si="86"/>
        <v>0</v>
      </c>
      <c r="AF258" s="226">
        <f t="shared" si="87"/>
        <v>0</v>
      </c>
      <c r="AG258" s="226">
        <f t="shared" si="88"/>
        <v>0</v>
      </c>
      <c r="AH258" s="243">
        <f t="shared" si="89"/>
        <v>0</v>
      </c>
    </row>
    <row r="259" spans="21:34" x14ac:dyDescent="0.25">
      <c r="U259" s="220">
        <v>14500000</v>
      </c>
      <c r="V259" s="1">
        <v>473601884.91003513</v>
      </c>
      <c r="W259" s="1">
        <v>454540074.20135713</v>
      </c>
      <c r="X259" s="218">
        <v>1.0234758304010219</v>
      </c>
      <c r="Y259" s="218">
        <v>1.2257897573954659</v>
      </c>
      <c r="Z259" s="233">
        <v>0.11273733430065658</v>
      </c>
      <c r="AA259" s="266">
        <v>0.11322507925577829</v>
      </c>
      <c r="AB259" s="233">
        <f t="shared" si="90"/>
        <v>-3.3333333333333326E-2</v>
      </c>
      <c r="AC259" s="226">
        <f t="shared" si="84"/>
        <v>-0.25120557285341416</v>
      </c>
      <c r="AD259" s="226">
        <f t="shared" si="85"/>
        <v>-0.25901164616970973</v>
      </c>
      <c r="AE259" s="226">
        <f t="shared" si="86"/>
        <v>-7.5761953291625383E-3</v>
      </c>
      <c r="AF259" s="226">
        <f t="shared" si="87"/>
        <v>-5.8198815710941876E-2</v>
      </c>
      <c r="AG259" s="226">
        <f t="shared" si="88"/>
        <v>-7.5612205338116967E-2</v>
      </c>
      <c r="AH259" s="243">
        <f t="shared" si="89"/>
        <v>-7.9817625114252277E-2</v>
      </c>
    </row>
    <row r="260" spans="21:34" x14ac:dyDescent="0.25">
      <c r="U260" s="220">
        <v>14000000</v>
      </c>
      <c r="V260" s="1">
        <v>314717912.90099382</v>
      </c>
      <c r="W260" s="1">
        <v>295656102.1923151</v>
      </c>
      <c r="X260" s="218">
        <v>1.0156313442484248</v>
      </c>
      <c r="Y260" s="218">
        <v>1.1500418040258038</v>
      </c>
      <c r="Z260" s="233">
        <v>0.10341078924916403</v>
      </c>
      <c r="AA260" s="266">
        <v>0.10331234535669265</v>
      </c>
      <c r="AB260" s="233">
        <f t="shared" si="90"/>
        <v>-6.6666666666666652E-2</v>
      </c>
      <c r="AC260" s="226">
        <f t="shared" si="84"/>
        <v>-0.50241114570683298</v>
      </c>
      <c r="AD260" s="226">
        <f t="shared" si="85"/>
        <v>-0.51802329233942479</v>
      </c>
      <c r="AE260" s="226">
        <f t="shared" si="86"/>
        <v>-1.5182681542127208E-2</v>
      </c>
      <c r="AF260" s="226">
        <f t="shared" si="87"/>
        <v>-0.11639763142188475</v>
      </c>
      <c r="AG260" s="226">
        <f t="shared" si="88"/>
        <v>-0.15208504785692112</v>
      </c>
      <c r="AH260" s="243">
        <f t="shared" si="89"/>
        <v>-0.16037860224781952</v>
      </c>
    </row>
    <row r="261" spans="21:34" x14ac:dyDescent="0.25">
      <c r="U261" s="220">
        <v>13500000</v>
      </c>
      <c r="V261" s="1">
        <v>155833940.89195681</v>
      </c>
      <c r="W261" s="1">
        <v>136772130.18327785</v>
      </c>
      <c r="X261" s="218">
        <v>1.0077554317169424</v>
      </c>
      <c r="Y261" s="218">
        <v>1.0742938506561437</v>
      </c>
      <c r="Z261" s="233">
        <v>9.3973289717522501E-2</v>
      </c>
      <c r="AA261" s="266">
        <v>9.3302396223891693E-2</v>
      </c>
      <c r="AB261" s="233">
        <f t="shared" si="90"/>
        <v>-9.9999999999999978E-2</v>
      </c>
      <c r="AC261" s="226">
        <f t="shared" si="84"/>
        <v>-0.75361671856024492</v>
      </c>
      <c r="AD261" s="226">
        <f t="shared" si="85"/>
        <v>-0.77703493850913219</v>
      </c>
      <c r="AE261" s="226">
        <f t="shared" si="86"/>
        <v>-2.2819640664733964E-2</v>
      </c>
      <c r="AF261" s="226">
        <f t="shared" si="87"/>
        <v>-0.17459644713282618</v>
      </c>
      <c r="AG261" s="226">
        <f t="shared" si="88"/>
        <v>-0.22946765968905014</v>
      </c>
      <c r="AH261" s="243">
        <f t="shared" si="89"/>
        <v>-0.24172964943674202</v>
      </c>
    </row>
    <row r="262" spans="21:34" x14ac:dyDescent="0.25">
      <c r="U262" s="220">
        <v>13000000</v>
      </c>
      <c r="V262" s="1">
        <v>-3050031.1170830727</v>
      </c>
      <c r="W262" s="1">
        <v>-22111841.825761795</v>
      </c>
      <c r="X262" s="218">
        <v>0.99984790357820552</v>
      </c>
      <c r="Y262" s="218">
        <v>0.99854589728648224</v>
      </c>
      <c r="Z262" s="233">
        <v>8.4418432653037723E-2</v>
      </c>
      <c r="AA262" s="266">
        <v>8.3189108120157229E-2</v>
      </c>
      <c r="AB262" s="233">
        <f t="shared" si="90"/>
        <v>-0.1333333333333333</v>
      </c>
      <c r="AC262" s="226">
        <f t="shared" si="84"/>
        <v>-1.0048222914136613</v>
      </c>
      <c r="AD262" s="226">
        <f t="shared" si="85"/>
        <v>-1.0360465846788434</v>
      </c>
      <c r="AE262" s="226">
        <f t="shared" si="86"/>
        <v>-3.0487256184205558E-2</v>
      </c>
      <c r="AF262" s="226">
        <f t="shared" si="87"/>
        <v>-0.2327952628437685</v>
      </c>
      <c r="AG262" s="226">
        <f t="shared" si="88"/>
        <v>-0.30781254255273116</v>
      </c>
      <c r="AH262" s="243">
        <f t="shared" si="89"/>
        <v>-0.32392053440998647</v>
      </c>
    </row>
    <row r="263" spans="21:34" x14ac:dyDescent="0.25">
      <c r="U263" s="220">
        <v>12500000</v>
      </c>
      <c r="V263" s="1">
        <v>-161934003.12612367</v>
      </c>
      <c r="W263" s="1">
        <v>-180995813.83480239</v>
      </c>
      <c r="X263" s="218">
        <v>0.99190856908158409</v>
      </c>
      <c r="Y263" s="218">
        <v>0.92279794391682046</v>
      </c>
      <c r="Z263" s="233">
        <v>7.4739370501428981E-2</v>
      </c>
      <c r="AA263" s="266">
        <v>7.296595373523318E-2</v>
      </c>
      <c r="AB263" s="233">
        <f t="shared" si="90"/>
        <v>-0.16666666666666663</v>
      </c>
      <c r="AC263" s="226">
        <f t="shared" si="84"/>
        <v>-1.2560278642670788</v>
      </c>
      <c r="AD263" s="226">
        <f t="shared" si="85"/>
        <v>-1.2950582308485563</v>
      </c>
      <c r="AE263" s="226">
        <f t="shared" si="86"/>
        <v>-3.8185713063841109E-2</v>
      </c>
      <c r="AF263" s="226">
        <f t="shared" si="87"/>
        <v>-0.29099407855471116</v>
      </c>
      <c r="AG263" s="226">
        <f t="shared" si="88"/>
        <v>-0.3871758428491513</v>
      </c>
      <c r="AH263" s="243">
        <f t="shared" si="89"/>
        <v>-0.40700430474228211</v>
      </c>
    </row>
    <row r="264" spans="21:34" x14ac:dyDescent="0.25">
      <c r="U264" s="220">
        <v>12000000</v>
      </c>
      <c r="V264" s="1">
        <v>-320817975.13516116</v>
      </c>
      <c r="W264" s="1">
        <v>-339879785.84383965</v>
      </c>
      <c r="X264" s="218">
        <v>0.98393723593884697</v>
      </c>
      <c r="Y264" s="218">
        <v>0.84704999054716013</v>
      </c>
      <c r="Z264" s="233">
        <v>6.4928774890008034E-2</v>
      </c>
      <c r="AA264" s="266">
        <v>6.262597184486296E-2</v>
      </c>
      <c r="AB264" s="233">
        <f t="shared" si="90"/>
        <v>-0.19999999999999996</v>
      </c>
      <c r="AC264" s="226">
        <f t="shared" si="84"/>
        <v>-1.5072334371204916</v>
      </c>
      <c r="AD264" s="226">
        <f t="shared" si="85"/>
        <v>-1.5540698770182635</v>
      </c>
      <c r="AE264" s="226">
        <f t="shared" si="86"/>
        <v>-4.5915197757890214E-2</v>
      </c>
      <c r="AF264" s="226">
        <f t="shared" si="87"/>
        <v>-0.3491928942656527</v>
      </c>
      <c r="AG264" s="226">
        <f t="shared" si="88"/>
        <v>-0.46761764944159379</v>
      </c>
      <c r="AH264" s="243">
        <f t="shared" si="89"/>
        <v>-0.49103753443570197</v>
      </c>
    </row>
    <row r="265" spans="21:34" x14ac:dyDescent="0.25">
      <c r="U265" s="220">
        <v>11500000</v>
      </c>
      <c r="V265" s="1">
        <v>-479701947.14420128</v>
      </c>
      <c r="W265" s="1">
        <v>-498763757.85287976</v>
      </c>
      <c r="X265" s="218">
        <v>0.97593371030863851</v>
      </c>
      <c r="Y265" s="218">
        <v>0.77130203717749846</v>
      </c>
      <c r="Z265" s="233">
        <v>5.4978797439117155E-2</v>
      </c>
      <c r="AA265" s="266">
        <v>5.216173494871601E-2</v>
      </c>
      <c r="AB265" s="233">
        <f t="shared" si="90"/>
        <v>-0.23333333333333328</v>
      </c>
      <c r="AC265" s="226">
        <f t="shared" si="84"/>
        <v>-1.7584390099739085</v>
      </c>
      <c r="AD265" s="226">
        <f t="shared" si="85"/>
        <v>-1.8130815231879756</v>
      </c>
      <c r="AE265" s="226">
        <f t="shared" si="86"/>
        <v>-5.3675898226605567E-2</v>
      </c>
      <c r="AF265" s="226">
        <f t="shared" si="87"/>
        <v>-0.40739170997659524</v>
      </c>
      <c r="AG265" s="226">
        <f t="shared" si="88"/>
        <v>-0.5492023149813654</v>
      </c>
      <c r="AH265" s="243">
        <f t="shared" si="89"/>
        <v>-0.57608058692685016</v>
      </c>
    </row>
    <row r="266" spans="21:34" x14ac:dyDescent="0.25">
      <c r="U266" s="220">
        <v>11000000</v>
      </c>
      <c r="V266" s="1">
        <v>-638585919.15323877</v>
      </c>
      <c r="W266" s="1">
        <v>-657647729.86191714</v>
      </c>
      <c r="X266" s="218">
        <v>0.96789779678076615</v>
      </c>
      <c r="Y266" s="218">
        <v>0.69555408380783812</v>
      </c>
      <c r="Z266" s="233">
        <v>4.4881027651435756E-2</v>
      </c>
      <c r="AA266" s="266">
        <v>4.1565314954396193E-2</v>
      </c>
      <c r="AB266" s="233">
        <f t="shared" si="90"/>
        <v>-0.26666666666666672</v>
      </c>
      <c r="AC266" s="226">
        <f t="shared" si="84"/>
        <v>-2.0096445828273213</v>
      </c>
      <c r="AD266" s="226">
        <f t="shared" si="85"/>
        <v>-2.0720931693576832</v>
      </c>
      <c r="AE266" s="226">
        <f t="shared" si="86"/>
        <v>-6.1468003951478556E-2</v>
      </c>
      <c r="AF266" s="226">
        <f t="shared" si="87"/>
        <v>-0.46559052568753678</v>
      </c>
      <c r="AG266" s="226">
        <f t="shared" si="88"/>
        <v>-0.63199880119368701</v>
      </c>
      <c r="AH266" s="243">
        <f t="shared" si="89"/>
        <v>-0.66219789397357864</v>
      </c>
    </row>
    <row r="267" spans="21:34" x14ac:dyDescent="0.25">
      <c r="U267" s="220">
        <v>10500000</v>
      </c>
      <c r="V267" s="1">
        <v>-797469891.16228056</v>
      </c>
      <c r="W267" s="1">
        <v>-816531701.87095892</v>
      </c>
      <c r="X267" s="218">
        <v>0.95982929836029651</v>
      </c>
      <c r="Y267" s="218">
        <v>0.61980613043817578</v>
      </c>
      <c r="Z267" s="233">
        <v>3.4626447913537417E-2</v>
      </c>
      <c r="AA267" s="266">
        <v>3.0828247070385117E-2</v>
      </c>
      <c r="AB267" s="233">
        <f t="shared" si="90"/>
        <v>-0.30000000000000004</v>
      </c>
      <c r="AC267" s="226">
        <f t="shared" si="84"/>
        <v>-2.2608501556807408</v>
      </c>
      <c r="AD267" s="226">
        <f t="shared" si="85"/>
        <v>-2.3311048155273979</v>
      </c>
      <c r="AE267" s="226">
        <f t="shared" si="86"/>
        <v>-6.9291705950660698E-2</v>
      </c>
      <c r="AF267" s="226">
        <f t="shared" si="87"/>
        <v>-0.52378934139847988</v>
      </c>
      <c r="AG267" s="226">
        <f t="shared" si="88"/>
        <v>-0.71608104784163773</v>
      </c>
      <c r="AH267" s="243">
        <f t="shared" si="89"/>
        <v>-0.74945824909772485</v>
      </c>
    </row>
    <row r="268" spans="21:34" x14ac:dyDescent="0.25">
      <c r="U268" s="220">
        <v>10000000</v>
      </c>
      <c r="V268" s="1">
        <v>-956353863.17131925</v>
      </c>
      <c r="W268" s="1">
        <v>-975415673.87999749</v>
      </c>
      <c r="X268" s="218">
        <v>0.95172801645145799</v>
      </c>
      <c r="Y268" s="218">
        <v>0.54405817706851489</v>
      </c>
      <c r="Z268" s="233">
        <v>2.4205385770115218E-2</v>
      </c>
      <c r="AA268" s="266">
        <v>1.9941492205477251E-2</v>
      </c>
      <c r="AB268" s="233">
        <f t="shared" si="90"/>
        <v>-0.33333333333333337</v>
      </c>
      <c r="AC268" s="226">
        <f t="shared" si="84"/>
        <v>-2.5120557285341549</v>
      </c>
      <c r="AD268" s="226">
        <f t="shared" si="85"/>
        <v>-2.5901164616971073</v>
      </c>
      <c r="AE268" s="226">
        <f t="shared" si="86"/>
        <v>-7.7147196794572825E-2</v>
      </c>
      <c r="AF268" s="226">
        <f t="shared" si="87"/>
        <v>-0.58198815710942187</v>
      </c>
      <c r="AG268" s="226">
        <f t="shared" si="88"/>
        <v>-0.80152836405280681</v>
      </c>
      <c r="AH268" s="243">
        <f t="shared" si="89"/>
        <v>-0.83793511316561764</v>
      </c>
    </row>
    <row r="269" spans="21:34" x14ac:dyDescent="0.25">
      <c r="U269" s="220">
        <v>9500000</v>
      </c>
      <c r="V269" s="1">
        <v>-1115237835.1803575</v>
      </c>
      <c r="W269" s="1">
        <v>-1134299645.8890362</v>
      </c>
      <c r="X269" s="218">
        <v>0.943593750841346</v>
      </c>
      <c r="Y269" s="218">
        <v>0.46831022369885417</v>
      </c>
      <c r="Z269" s="233">
        <v>1.3607463814227172E-2</v>
      </c>
      <c r="AA269" s="266">
        <v>8.8953983593755837E-3</v>
      </c>
      <c r="AB269" s="233">
        <f t="shared" si="90"/>
        <v>-0.3666666666666667</v>
      </c>
      <c r="AC269" s="226">
        <f t="shared" si="84"/>
        <v>-2.7632613013875691</v>
      </c>
      <c r="AD269" s="226">
        <f t="shared" si="85"/>
        <v>-2.8491281078668171</v>
      </c>
      <c r="AE269" s="226">
        <f t="shared" si="86"/>
        <v>-8.5034670621705111E-2</v>
      </c>
      <c r="AF269" s="226">
        <f t="shared" si="87"/>
        <v>-0.64018697282036374</v>
      </c>
      <c r="AG269" s="226">
        <f t="shared" si="88"/>
        <v>-0.88842583919334717</v>
      </c>
      <c r="AH269" s="243">
        <f t="shared" si="89"/>
        <v>-0.92770692816744238</v>
      </c>
    </row>
    <row r="270" spans="21:34" x14ac:dyDescent="0.25">
      <c r="U270" s="220">
        <v>9000000</v>
      </c>
      <c r="V270" s="1">
        <v>-1274121807.1893985</v>
      </c>
      <c r="W270" s="1">
        <v>-1293183617.8980768</v>
      </c>
      <c r="X270" s="218">
        <v>0.93542629968342994</v>
      </c>
      <c r="Y270" s="218">
        <v>0.39256227032919211</v>
      </c>
      <c r="Z270" s="233">
        <v>2.8215477979109949E-3</v>
      </c>
      <c r="AA270" s="266">
        <v>-2.3203382535885719E-3</v>
      </c>
      <c r="AB270" s="233">
        <f t="shared" si="90"/>
        <v>-0.4</v>
      </c>
      <c r="AC270" s="226">
        <f t="shared" si="84"/>
        <v>-3.0144668742409872</v>
      </c>
      <c r="AD270" s="226">
        <f t="shared" si="85"/>
        <v>-3.1081397540365301</v>
      </c>
      <c r="AE270" s="226">
        <f t="shared" si="86"/>
        <v>-9.295432315460983E-2</v>
      </c>
      <c r="AF270" s="226">
        <f t="shared" si="87"/>
        <v>-0.69838578853130651</v>
      </c>
      <c r="AG270" s="226">
        <f t="shared" si="88"/>
        <v>-0.97686476833407931</v>
      </c>
      <c r="AH270" s="243">
        <f t="shared" si="89"/>
        <v>-1.0188574331655098</v>
      </c>
    </row>
    <row r="271" spans="21:34" x14ac:dyDescent="0.25">
      <c r="U271" s="220">
        <v>8500000</v>
      </c>
      <c r="V271" s="1">
        <v>-1433005779.1984367</v>
      </c>
      <c r="W271" s="1">
        <v>-1452067589.907115</v>
      </c>
      <c r="X271" s="218">
        <v>0.92722545948085666</v>
      </c>
      <c r="Y271" s="218">
        <v>0.31681431695953138</v>
      </c>
      <c r="Z271" s="233">
        <v>-8.1643060650844479E-3</v>
      </c>
      <c r="AA271" s="266">
        <v>-1.3716711255044256E-2</v>
      </c>
      <c r="AB271" s="233">
        <f t="shared" si="90"/>
        <v>-0.43333333333333335</v>
      </c>
      <c r="AC271" s="226">
        <f t="shared" si="84"/>
        <v>-3.265672447094401</v>
      </c>
      <c r="AD271" s="226">
        <f t="shared" si="85"/>
        <v>-3.3671514002062386</v>
      </c>
      <c r="AE271" s="226">
        <f t="shared" si="86"/>
        <v>-0.10090635171609175</v>
      </c>
      <c r="AF271" s="226">
        <f t="shared" si="87"/>
        <v>-0.75658460424224838</v>
      </c>
      <c r="AG271" s="226">
        <f t="shared" si="88"/>
        <v>-1.0669430843408199</v>
      </c>
      <c r="AH271" s="243">
        <f t="shared" si="89"/>
        <v>-1.1114759735321142</v>
      </c>
    </row>
    <row r="272" spans="21:34" x14ac:dyDescent="0.25">
      <c r="U272" s="220">
        <v>8000000</v>
      </c>
      <c r="V272" s="1">
        <v>-1591889751.2074749</v>
      </c>
      <c r="W272" s="1">
        <v>-1610951561.9161537</v>
      </c>
      <c r="X272" s="218">
        <v>0.91899102506955044</v>
      </c>
      <c r="Y272" s="218">
        <v>0.24106636358987077</v>
      </c>
      <c r="Z272" s="233">
        <v>-1.9362903121108777E-2</v>
      </c>
      <c r="AA272" s="266">
        <v>-2.5305439760849202E-2</v>
      </c>
      <c r="AB272" s="233">
        <f t="shared" si="90"/>
        <v>-0.46666666666666667</v>
      </c>
      <c r="AC272" s="226">
        <f t="shared" si="84"/>
        <v>-3.5168780199478151</v>
      </c>
      <c r="AD272" s="226">
        <f t="shared" si="85"/>
        <v>-3.6261630463759484</v>
      </c>
      <c r="AE272" s="226">
        <f t="shared" si="86"/>
        <v>-0.10889095524559478</v>
      </c>
      <c r="AF272" s="226">
        <f t="shared" si="87"/>
        <v>-0.81478341995319015</v>
      </c>
      <c r="AG272" s="226">
        <f t="shared" si="88"/>
        <v>-1.1587657844262971</v>
      </c>
      <c r="AH272" s="243">
        <f t="shared" si="89"/>
        <v>-1.2056577907449608</v>
      </c>
    </row>
    <row r="273" spans="21:34" x14ac:dyDescent="0.25">
      <c r="U273" s="220">
        <v>7500000</v>
      </c>
      <c r="V273" s="1">
        <v>-1750773723.2165146</v>
      </c>
      <c r="W273" s="1">
        <v>-1769835533.9251933</v>
      </c>
      <c r="X273" s="218">
        <v>0.91072278960110264</v>
      </c>
      <c r="Y273" s="218">
        <v>0.16531841022020935</v>
      </c>
      <c r="Z273" s="233">
        <v>-3.0787959433995038E-2</v>
      </c>
      <c r="AA273" s="266">
        <v>-3.7098999444190039E-2</v>
      </c>
      <c r="AB273" s="233">
        <f t="shared" si="90"/>
        <v>-0.5</v>
      </c>
      <c r="AC273" s="226">
        <f t="shared" si="84"/>
        <v>-3.7680835928012311</v>
      </c>
      <c r="AD273" s="226">
        <f t="shared" si="85"/>
        <v>-3.8851746925456596</v>
      </c>
      <c r="AE273" s="226">
        <f t="shared" si="86"/>
        <v>-0.11690833431579339</v>
      </c>
      <c r="AF273" s="226">
        <f t="shared" si="87"/>
        <v>-0.87298223566413247</v>
      </c>
      <c r="AG273" s="226">
        <f t="shared" si="88"/>
        <v>-1.252445333215267</v>
      </c>
      <c r="AH273" s="243">
        <f t="shared" si="89"/>
        <v>-1.30150427483757</v>
      </c>
    </row>
    <row r="274" spans="21:34" x14ac:dyDescent="0.25">
      <c r="U274" s="220">
        <v>7000000</v>
      </c>
      <c r="V274" s="1">
        <v>-1909657695.2255547</v>
      </c>
      <c r="W274" s="1">
        <v>-1928719505.934233</v>
      </c>
      <c r="X274" s="218">
        <v>0.90242054452545184</v>
      </c>
      <c r="Y274" s="218">
        <v>8.9570456850547792E-2</v>
      </c>
      <c r="Z274" s="233">
        <v>-4.2454144924395476E-2</v>
      </c>
      <c r="AA274" s="266">
        <v>-4.9110645953390097E-2</v>
      </c>
      <c r="AB274" s="233">
        <f t="shared" si="90"/>
        <v>-0.53333333333333333</v>
      </c>
      <c r="AC274" s="226">
        <f t="shared" si="84"/>
        <v>-4.0192891656546479</v>
      </c>
      <c r="AD274" s="226">
        <f t="shared" si="85"/>
        <v>-4.1441863387153708</v>
      </c>
      <c r="AE274" s="226">
        <f t="shared" si="86"/>
        <v>-0.12495869114938729</v>
      </c>
      <c r="AF274" s="226">
        <f t="shared" si="87"/>
        <v>-0.93118105137507501</v>
      </c>
      <c r="AG274" s="226">
        <f t="shared" si="88"/>
        <v>-1.3481020164647388</v>
      </c>
      <c r="AH274" s="243">
        <f t="shared" si="89"/>
        <v>-1.3991231547162497</v>
      </c>
    </row>
    <row r="275" spans="21:34" x14ac:dyDescent="0.25">
      <c r="U275" s="220">
        <v>6500000</v>
      </c>
      <c r="V275" s="1">
        <v>-2068541667.2345936</v>
      </c>
      <c r="W275" s="1">
        <v>-2087603477.9432721</v>
      </c>
      <c r="X275" s="218">
        <v>0.89408407957334901</v>
      </c>
      <c r="Y275" s="218">
        <v>1.3822503480886752E-2</v>
      </c>
      <c r="Z275" s="233">
        <v>-5.4377116030594141E-2</v>
      </c>
      <c r="AA275" s="266">
        <v>-6.135442651530898E-2</v>
      </c>
      <c r="AB275" s="233">
        <f t="shared" si="90"/>
        <v>-0.56666666666666665</v>
      </c>
      <c r="AC275" s="226">
        <f t="shared" si="84"/>
        <v>-4.2704947385080629</v>
      </c>
      <c r="AD275" s="226">
        <f t="shared" si="85"/>
        <v>-4.4031979848850815</v>
      </c>
      <c r="AE275" s="226">
        <f t="shared" si="86"/>
        <v>-0.13304222963610401</v>
      </c>
      <c r="AF275" s="226">
        <f t="shared" si="87"/>
        <v>-0.989379867086017</v>
      </c>
      <c r="AG275" s="226">
        <f t="shared" si="88"/>
        <v>-1.4458642088657361</v>
      </c>
      <c r="AH275" s="243">
        <f t="shared" si="89"/>
        <v>-1.4986285924611431</v>
      </c>
    </row>
    <row r="276" spans="21:34" x14ac:dyDescent="0.25">
      <c r="U276" s="220">
        <v>6000000</v>
      </c>
      <c r="V276" s="1">
        <v>-2227425639.2436318</v>
      </c>
      <c r="W276" s="1">
        <v>-2246487449.9523101</v>
      </c>
      <c r="X276" s="218">
        <v>0.88571318273860666</v>
      </c>
      <c r="Y276" s="218">
        <v>-6.1925449888773812E-2</v>
      </c>
      <c r="Z276" s="233">
        <v>-6.657353167721336E-2</v>
      </c>
      <c r="AA276" s="266">
        <v>-7.3845174091749843E-2</v>
      </c>
      <c r="AB276" s="233">
        <f t="shared" si="90"/>
        <v>-0.6</v>
      </c>
      <c r="AC276" s="226">
        <f t="shared" si="84"/>
        <v>-4.5217003113614762</v>
      </c>
      <c r="AD276" s="226">
        <f t="shared" si="85"/>
        <v>-4.6622096310547896</v>
      </c>
      <c r="AE276" s="226">
        <f t="shared" si="86"/>
        <v>-0.14115915534991108</v>
      </c>
      <c r="AF276" s="226">
        <f t="shared" si="87"/>
        <v>-1.0475786827969586</v>
      </c>
      <c r="AG276" s="226">
        <f t="shared" si="88"/>
        <v>-1.5458685049784244</v>
      </c>
      <c r="AH276" s="243">
        <f t="shared" si="89"/>
        <v>-1.60014113583524</v>
      </c>
    </row>
    <row r="277" spans="21:34" x14ac:dyDescent="0.25">
      <c r="U277" s="220">
        <v>5500000</v>
      </c>
      <c r="V277" s="1">
        <v>-2386309611.2526722</v>
      </c>
      <c r="W277" s="1">
        <v>-2405371421.9613509</v>
      </c>
      <c r="X277" s="218">
        <v>0.87730764026012509</v>
      </c>
      <c r="Y277" s="218">
        <v>-0.13767340325843555</v>
      </c>
      <c r="Z277" s="233">
        <v>-7.9061044013663873E-2</v>
      </c>
      <c r="AA277" s="266">
        <v>-8.6598476564972549E-2</v>
      </c>
      <c r="AB277" s="233">
        <f t="shared" si="90"/>
        <v>-0.6333333333333333</v>
      </c>
      <c r="AC277" s="226">
        <f t="shared" si="84"/>
        <v>-4.7729058842148939</v>
      </c>
      <c r="AD277" s="226">
        <f t="shared" si="85"/>
        <v>-4.921221277224503</v>
      </c>
      <c r="AE277" s="226">
        <f t="shared" si="86"/>
        <v>-0.1493096755664447</v>
      </c>
      <c r="AF277" s="226">
        <f t="shared" si="87"/>
        <v>-1.1057774985079014</v>
      </c>
      <c r="AG277" s="226">
        <f t="shared" si="88"/>
        <v>-1.6482596432921972</v>
      </c>
      <c r="AH277" s="243">
        <f t="shared" si="89"/>
        <v>-1.7037874678544553</v>
      </c>
    </row>
    <row r="278" spans="21:34" ht="15.75" thickBot="1" x14ac:dyDescent="0.3">
      <c r="U278" s="221">
        <v>5000000</v>
      </c>
      <c r="V278" s="222">
        <v>-2545193583.2617111</v>
      </c>
      <c r="W278" s="222">
        <v>-2564255393.9703894</v>
      </c>
      <c r="X278" s="223">
        <v>0.86886723660369858</v>
      </c>
      <c r="Y278" s="223">
        <v>-0.2134213566280965</v>
      </c>
      <c r="Z278" s="246">
        <v>-9.1858252345746183E-2</v>
      </c>
      <c r="AA278" s="277">
        <v>-9.9630611021087945E-2</v>
      </c>
      <c r="AB278" s="246">
        <f t="shared" si="90"/>
        <v>-0.66666666666666674</v>
      </c>
      <c r="AC278" s="228">
        <f t="shared" si="84"/>
        <v>-5.024111457068309</v>
      </c>
      <c r="AD278" s="228">
        <f t="shared" si="85"/>
        <v>-5.1802329233942128</v>
      </c>
      <c r="AE278" s="228">
        <f t="shared" si="86"/>
        <v>-0.15749399928065133</v>
      </c>
      <c r="AF278" s="228">
        <f t="shared" si="87"/>
        <v>-1.1639763142188433</v>
      </c>
      <c r="AG278" s="228">
        <f t="shared" si="88"/>
        <v>-1.7531901284886469</v>
      </c>
      <c r="AH278" s="247">
        <f t="shared" si="89"/>
        <v>-1.8096998727075229</v>
      </c>
    </row>
    <row r="280" spans="21:34" ht="15.75" thickBot="1" x14ac:dyDescent="0.3"/>
    <row r="281" spans="21:34" ht="15.75" thickBot="1" x14ac:dyDescent="0.3">
      <c r="U281" s="379" t="s">
        <v>357</v>
      </c>
      <c r="V281" s="380"/>
      <c r="W281" s="380"/>
      <c r="X281" s="380"/>
      <c r="Y281" s="380"/>
      <c r="Z281" s="380"/>
      <c r="AA281" s="381"/>
      <c r="AB281" s="380" t="s">
        <v>358</v>
      </c>
      <c r="AC281" s="380"/>
      <c r="AD281" s="380"/>
      <c r="AE281" s="380"/>
      <c r="AF281" s="380"/>
      <c r="AG281" s="380"/>
      <c r="AH281" s="381"/>
    </row>
    <row r="282" spans="21:34" x14ac:dyDescent="0.25">
      <c r="U282" s="254" t="s">
        <v>108</v>
      </c>
      <c r="V282" s="230" t="s">
        <v>332</v>
      </c>
      <c r="W282" s="230" t="s">
        <v>333</v>
      </c>
      <c r="X282" s="230" t="s">
        <v>335</v>
      </c>
      <c r="Y282" s="230" t="s">
        <v>336</v>
      </c>
      <c r="Z282" s="230" t="s">
        <v>338</v>
      </c>
      <c r="AA282" s="231" t="s">
        <v>339</v>
      </c>
      <c r="AB282" s="254" t="s">
        <v>108</v>
      </c>
      <c r="AC282" s="230" t="s">
        <v>332</v>
      </c>
      <c r="AD282" s="230" t="s">
        <v>333</v>
      </c>
      <c r="AE282" s="230" t="s">
        <v>335</v>
      </c>
      <c r="AF282" s="230" t="s">
        <v>336</v>
      </c>
      <c r="AG282" s="230" t="s">
        <v>338</v>
      </c>
      <c r="AH282" s="231" t="s">
        <v>339</v>
      </c>
    </row>
    <row r="283" spans="21:34" x14ac:dyDescent="0.25">
      <c r="U283" s="225">
        <f>AC20</f>
        <v>0.105</v>
      </c>
      <c r="V283" s="208">
        <f>V154</f>
        <v>632485856.91907358</v>
      </c>
      <c r="W283" s="208">
        <f>V155</f>
        <v>613424046.21039581</v>
      </c>
      <c r="X283" s="279">
        <f>V159</f>
        <v>1.0312890778959938</v>
      </c>
      <c r="Y283" s="279">
        <f>V160</f>
        <v>1.3015377107651267</v>
      </c>
      <c r="Z283" s="256">
        <f>V164</f>
        <v>0.12195891697368522</v>
      </c>
      <c r="AA283" s="256">
        <f>V165</f>
        <v>0.12304634640479462</v>
      </c>
      <c r="AB283" s="260">
        <f t="shared" ref="AB283:AB291" si="91">(U283-U$283)/U$283</f>
        <v>0</v>
      </c>
      <c r="AC283" s="226">
        <f t="shared" ref="AC283:AC291" si="92">(V283-V$283)/V$283</f>
        <v>0</v>
      </c>
      <c r="AD283" s="226">
        <f t="shared" ref="AD283:AD291" si="93">(W283-W$283)/W$283</f>
        <v>0</v>
      </c>
      <c r="AE283" s="226">
        <f t="shared" ref="AE283:AE291" si="94">(X283-X$283)/X$283</f>
        <v>0</v>
      </c>
      <c r="AF283" s="226">
        <f t="shared" ref="AF283:AF291" si="95">(Y283-Y$283)/Y$283</f>
        <v>0</v>
      </c>
      <c r="AG283" s="226">
        <f t="shared" ref="AG283:AG291" si="96">(Z283-Z$283)/Z$283</f>
        <v>0</v>
      </c>
      <c r="AH283" s="243">
        <f t="shared" ref="AH283:AH291" si="97">(AA283-AA$283)/AA$283</f>
        <v>0</v>
      </c>
    </row>
    <row r="284" spans="21:34" x14ac:dyDescent="0.25">
      <c r="U284" s="225">
        <v>0.05</v>
      </c>
      <c r="V284" s="208">
        <f t="dataTable" ref="V284:AA324" dt2D="0" dtr="0" r1="AC20" ca="1"/>
        <v>1030194434.9410357</v>
      </c>
      <c r="W284" s="208">
        <v>1044721367.2979455</v>
      </c>
      <c r="X284" s="279">
        <v>1.0469927701786481</v>
      </c>
      <c r="Y284" s="279">
        <v>1.4911453246848489</v>
      </c>
      <c r="Z284" s="256">
        <v>0.12128566961307263</v>
      </c>
      <c r="AA284" s="256">
        <v>0.12577341259703312</v>
      </c>
      <c r="AB284" s="260">
        <f t="shared" si="91"/>
        <v>-0.52380952380952372</v>
      </c>
      <c r="AC284" s="226">
        <f t="shared" si="92"/>
        <v>0.62880232604608088</v>
      </c>
      <c r="AD284" s="226">
        <f t="shared" si="93"/>
        <v>0.70309816472310371</v>
      </c>
      <c r="AE284" s="226">
        <f t="shared" si="94"/>
        <v>1.5227245802595482E-2</v>
      </c>
      <c r="AF284" s="226">
        <f t="shared" si="95"/>
        <v>0.14567969283675908</v>
      </c>
      <c r="AG284" s="226">
        <f t="shared" si="96"/>
        <v>-5.5202799214578808E-3</v>
      </c>
      <c r="AH284" s="243">
        <f t="shared" si="97"/>
        <v>2.2162918866904611E-2</v>
      </c>
    </row>
    <row r="285" spans="21:34" x14ac:dyDescent="0.25">
      <c r="U285" s="225">
        <f>U284+0.1%</f>
        <v>5.1000000000000004E-2</v>
      </c>
      <c r="V285" s="208">
        <v>1022372113.2729321</v>
      </c>
      <c r="W285" s="208">
        <v>1036281106.9518347</v>
      </c>
      <c r="X285" s="279">
        <v>1.0467064736538287</v>
      </c>
      <c r="Y285" s="279">
        <v>1.4874160318589853</v>
      </c>
      <c r="Z285" s="256">
        <v>0.12129764619211469</v>
      </c>
      <c r="AA285" s="256">
        <v>0.12572474668820632</v>
      </c>
      <c r="AB285" s="260">
        <f t="shared" si="91"/>
        <v>-0.51428571428571423</v>
      </c>
      <c r="AC285" s="226">
        <f t="shared" si="92"/>
        <v>0.61643474251432051</v>
      </c>
      <c r="AD285" s="226">
        <f t="shared" si="93"/>
        <v>0.68933890569461775</v>
      </c>
      <c r="AE285" s="226">
        <f t="shared" si="94"/>
        <v>1.49496354497316E-2</v>
      </c>
      <c r="AF285" s="226">
        <f t="shared" si="95"/>
        <v>0.14281439527755788</v>
      </c>
      <c r="AG285" s="226">
        <f t="shared" si="96"/>
        <v>-5.4220781717273115E-3</v>
      </c>
      <c r="AH285" s="243">
        <f t="shared" si="97"/>
        <v>2.1767410099283874E-2</v>
      </c>
    </row>
    <row r="286" spans="21:34" x14ac:dyDescent="0.25">
      <c r="U286" s="225">
        <f t="shared" ref="U286:U324" si="98">U285+0.1%</f>
        <v>5.2000000000000005E-2</v>
      </c>
      <c r="V286" s="208">
        <v>1014572992.8051739</v>
      </c>
      <c r="W286" s="208">
        <v>1027864297.5846672</v>
      </c>
      <c r="X286" s="279">
        <v>1.0464202022771607</v>
      </c>
      <c r="Y286" s="279">
        <v>1.4836978002082655</v>
      </c>
      <c r="Z286" s="256">
        <v>0.12130963280809692</v>
      </c>
      <c r="AA286" s="256">
        <v>0.12567604520556785</v>
      </c>
      <c r="AB286" s="260">
        <f t="shared" si="91"/>
        <v>-0.50476190476190474</v>
      </c>
      <c r="AC286" s="226">
        <f t="shared" si="92"/>
        <v>0.60410384154248098</v>
      </c>
      <c r="AD286" s="226">
        <f t="shared" si="93"/>
        <v>0.6756178763036691</v>
      </c>
      <c r="AE286" s="226">
        <f t="shared" si="94"/>
        <v>1.467204948202982E-2</v>
      </c>
      <c r="AF286" s="226">
        <f t="shared" si="95"/>
        <v>0.13995759626208101</v>
      </c>
      <c r="AG286" s="226">
        <f t="shared" si="96"/>
        <v>-5.32379412428193E-3</v>
      </c>
      <c r="AH286" s="243">
        <f t="shared" si="97"/>
        <v>2.1371612222618342E-2</v>
      </c>
    </row>
    <row r="287" spans="21:34" x14ac:dyDescent="0.25">
      <c r="U287" s="225">
        <f t="shared" si="98"/>
        <v>5.3000000000000005E-2</v>
      </c>
      <c r="V287" s="208">
        <v>1006796996.2230182</v>
      </c>
      <c r="W287" s="208">
        <v>1019470862.973928</v>
      </c>
      <c r="X287" s="279">
        <v>1.0461339562528502</v>
      </c>
      <c r="Y287" s="279">
        <v>1.4799905928728756</v>
      </c>
      <c r="Z287" s="256">
        <v>0.12132162944678626</v>
      </c>
      <c r="AA287" s="256">
        <v>0.12562730824122958</v>
      </c>
      <c r="AB287" s="260">
        <f t="shared" si="91"/>
        <v>-0.49523809523809514</v>
      </c>
      <c r="AC287" s="226">
        <f t="shared" si="92"/>
        <v>0.59180950089108098</v>
      </c>
      <c r="AD287" s="226">
        <f t="shared" si="93"/>
        <v>0.66193495229279586</v>
      </c>
      <c r="AE287" s="226">
        <f t="shared" si="94"/>
        <v>1.4394488097500782E-2</v>
      </c>
      <c r="AF287" s="226">
        <f t="shared" si="95"/>
        <v>0.1371092674701242</v>
      </c>
      <c r="AG287" s="226">
        <f t="shared" si="96"/>
        <v>-5.225427895825455E-3</v>
      </c>
      <c r="AH287" s="243">
        <f t="shared" si="97"/>
        <v>2.0975525985502973E-2</v>
      </c>
    </row>
    <row r="288" spans="21:34" x14ac:dyDescent="0.25">
      <c r="U288" s="225">
        <f t="shared" si="98"/>
        <v>5.4000000000000006E-2</v>
      </c>
      <c r="V288" s="208">
        <v>999044046.49785614</v>
      </c>
      <c r="W288" s="208">
        <v>1011100727.1781631</v>
      </c>
      <c r="X288" s="279">
        <v>1.0458477357848581</v>
      </c>
      <c r="Y288" s="279">
        <v>1.4762943731294171</v>
      </c>
      <c r="Z288" s="256">
        <v>0.12133363609395986</v>
      </c>
      <c r="AA288" s="256">
        <v>0.12557853588721724</v>
      </c>
      <c r="AB288" s="260">
        <f t="shared" si="91"/>
        <v>-0.48571428571428565</v>
      </c>
      <c r="AC288" s="226">
        <f t="shared" si="92"/>
        <v>0.57955159877303564</v>
      </c>
      <c r="AD288" s="226">
        <f t="shared" si="93"/>
        <v>0.64829000986272023</v>
      </c>
      <c r="AE288" s="226">
        <f t="shared" si="94"/>
        <v>1.4116951493917205E-2</v>
      </c>
      <c r="AF288" s="226">
        <f t="shared" si="95"/>
        <v>0.13426938068629402</v>
      </c>
      <c r="AG288" s="226">
        <f t="shared" si="96"/>
        <v>-5.1269796029778563E-3</v>
      </c>
      <c r="AH288" s="243">
        <f t="shared" si="97"/>
        <v>2.0579152135832543E-2</v>
      </c>
    </row>
    <row r="289" spans="21:34" x14ac:dyDescent="0.25">
      <c r="U289" s="225">
        <f t="shared" si="98"/>
        <v>5.5000000000000007E-2</v>
      </c>
      <c r="V289" s="208">
        <v>991314066.88604355</v>
      </c>
      <c r="W289" s="208">
        <v>1002753814.5358119</v>
      </c>
      <c r="X289" s="279">
        <v>1.0455615410769008</v>
      </c>
      <c r="Y289" s="279">
        <v>1.4726091043903482</v>
      </c>
      <c r="Z289" s="256">
        <v>0.12134565273540776</v>
      </c>
      <c r="AA289" s="256">
        <v>0.12552972823547148</v>
      </c>
      <c r="AB289" s="260">
        <f t="shared" si="91"/>
        <v>-0.47619047619047611</v>
      </c>
      <c r="AC289" s="226">
        <f t="shared" si="92"/>
        <v>0.56733001385180692</v>
      </c>
      <c r="AD289" s="226">
        <f t="shared" si="93"/>
        <v>0.63468292567044471</v>
      </c>
      <c r="AE289" s="226">
        <f t="shared" si="94"/>
        <v>1.3839439868814758E-2</v>
      </c>
      <c r="AF289" s="226">
        <f t="shared" si="95"/>
        <v>0.13143790779957873</v>
      </c>
      <c r="AG289" s="226">
        <f t="shared" si="96"/>
        <v>-5.0284493622535049E-3</v>
      </c>
      <c r="AH289" s="243">
        <f t="shared" si="97"/>
        <v>2.0182491420810689E-2</v>
      </c>
    </row>
    <row r="290" spans="21:34" x14ac:dyDescent="0.25">
      <c r="U290" s="225">
        <f t="shared" si="98"/>
        <v>5.6000000000000008E-2</v>
      </c>
      <c r="V290" s="208">
        <v>983606980.92772341</v>
      </c>
      <c r="W290" s="208">
        <v>994430049.66404343</v>
      </c>
      <c r="X290" s="279">
        <v>1.0452753723324464</v>
      </c>
      <c r="Y290" s="279">
        <v>1.4689347502034225</v>
      </c>
      <c r="Z290" s="256">
        <v>0.1213576793569302</v>
      </c>
      <c r="AA290" s="256">
        <v>0.12548088537784485</v>
      </c>
      <c r="AB290" s="260">
        <f t="shared" si="91"/>
        <v>-0.46666666666666656</v>
      </c>
      <c r="AC290" s="226">
        <f t="shared" si="92"/>
        <v>0.55514462523954222</v>
      </c>
      <c r="AD290" s="226">
        <f t="shared" si="93"/>
        <v>0.62111357682735491</v>
      </c>
      <c r="AE290" s="226">
        <f t="shared" si="94"/>
        <v>1.3561953419488395E-2</v>
      </c>
      <c r="AF290" s="226">
        <f t="shared" si="95"/>
        <v>0.12861482080291714</v>
      </c>
      <c r="AG290" s="226">
        <f t="shared" si="96"/>
        <v>-4.9298372900830221E-3</v>
      </c>
      <c r="AH290" s="243">
        <f t="shared" si="97"/>
        <v>1.9785544586924636E-2</v>
      </c>
    </row>
    <row r="291" spans="21:34" x14ac:dyDescent="0.25">
      <c r="U291" s="225">
        <f t="shared" si="98"/>
        <v>5.7000000000000009E-2</v>
      </c>
      <c r="V291" s="208">
        <v>975922712.4457016</v>
      </c>
      <c r="W291" s="208">
        <v>986129357.45765162</v>
      </c>
      <c r="X291" s="279">
        <v>1.0449892297547172</v>
      </c>
      <c r="Y291" s="279">
        <v>1.4652712742511533</v>
      </c>
      <c r="Z291" s="256">
        <v>0.12136971594433943</v>
      </c>
      <c r="AA291" s="256">
        <v>0.12543200740610416</v>
      </c>
      <c r="AB291" s="260">
        <f t="shared" si="91"/>
        <v>-0.45714285714285702</v>
      </c>
      <c r="AC291" s="226">
        <f t="shared" si="92"/>
        <v>0.54299531249529698</v>
      </c>
      <c r="AD291" s="226">
        <f t="shared" si="93"/>
        <v>0.60758184089741918</v>
      </c>
      <c r="AE291" s="226">
        <f t="shared" si="94"/>
        <v>1.3284492342994725E-2</v>
      </c>
      <c r="AF291" s="226">
        <f t="shared" si="95"/>
        <v>0.12580009179278687</v>
      </c>
      <c r="AG291" s="226">
        <f t="shared" si="96"/>
        <v>-4.8311435027987145E-3</v>
      </c>
      <c r="AH291" s="243">
        <f t="shared" si="97"/>
        <v>1.9388312379965047E-2</v>
      </c>
    </row>
    <row r="292" spans="21:34" x14ac:dyDescent="0.25">
      <c r="U292" s="225">
        <f t="shared" si="98"/>
        <v>5.800000000000001E-2</v>
      </c>
      <c r="V292" s="208">
        <v>968261185.54428864</v>
      </c>
      <c r="W292" s="208">
        <v>977851663.08789635</v>
      </c>
      <c r="X292" s="279">
        <v>1.0447031135466882</v>
      </c>
      <c r="Y292" s="279">
        <v>1.4616186403502609</v>
      </c>
      <c r="Z292" s="256">
        <v>0.12138176248345922</v>
      </c>
      <c r="AA292" s="256">
        <v>0.12538309441192785</v>
      </c>
      <c r="AB292" s="260">
        <f t="shared" ref="AB292:AB324" si="99">(U292-U$283)/U$283</f>
        <v>-0.44761904761904753</v>
      </c>
      <c r="AC292" s="226">
        <f t="shared" ref="AC292:AC324" si="100">(V292-V$283)/V$283</f>
        <v>0.53088195562320284</v>
      </c>
      <c r="AD292" s="226">
        <f t="shared" ref="AD292:AD324" si="101">(W292-W$283)/W$283</f>
        <v>0.59408759589529847</v>
      </c>
      <c r="AE292" s="226">
        <f t="shared" ref="AE292:AE324" si="102">(X292-X$283)/X$283</f>
        <v>1.3007056836150502E-2</v>
      </c>
      <c r="AF292" s="226">
        <f t="shared" ref="AF292:AF324" si="103">(Y292-Y$283)/Y$283</f>
        <v>0.12299369296877956</v>
      </c>
      <c r="AG292" s="226">
        <f>(Z293-Z$283)/Z$283</f>
        <v>-4.6335112477463008E-3</v>
      </c>
      <c r="AH292" s="243">
        <f t="shared" ref="AH292:AH324" si="104">(AA292-AA$283)/AA$283</f>
        <v>1.8990795545004369E-2</v>
      </c>
    </row>
    <row r="293" spans="21:34" x14ac:dyDescent="0.25">
      <c r="U293" s="225">
        <f t="shared" si="98"/>
        <v>5.9000000000000011E-2</v>
      </c>
      <c r="V293" s="208">
        <v>960622324.60814238</v>
      </c>
      <c r="W293" s="208">
        <v>969596892.00136805</v>
      </c>
      <c r="X293" s="279">
        <v>1.0444170239110855</v>
      </c>
      <c r="Y293" s="279">
        <v>1.4579768124511221</v>
      </c>
      <c r="Z293" s="256">
        <v>0.12139381896012469</v>
      </c>
      <c r="AA293" s="256">
        <v>0.12533414648690777</v>
      </c>
      <c r="AB293" s="260">
        <f t="shared" si="99"/>
        <v>-0.43809523809523798</v>
      </c>
      <c r="AC293" s="226">
        <f t="shared" si="100"/>
        <v>0.51880443507063867</v>
      </c>
      <c r="AD293" s="226">
        <f t="shared" si="101"/>
        <v>0.58063072028449625</v>
      </c>
      <c r="AE293" s="226">
        <f t="shared" si="102"/>
        <v>1.2729647095531123E-2</v>
      </c>
      <c r="AF293" s="226">
        <f t="shared" si="103"/>
        <v>0.12019559663317826</v>
      </c>
      <c r="AG293" s="226" t="e">
        <f>(#REF!-Z$283)/Z$283</f>
        <v>#REF!</v>
      </c>
      <c r="AH293" s="243">
        <f t="shared" si="104"/>
        <v>1.8592994826411278E-2</v>
      </c>
    </row>
    <row r="294" spans="21:34" x14ac:dyDescent="0.25">
      <c r="U294" s="225">
        <f t="shared" si="98"/>
        <v>6.0000000000000012E-2</v>
      </c>
      <c r="V294" s="208">
        <v>953006054.30115652</v>
      </c>
      <c r="W294" s="208">
        <v>961364969.91887856</v>
      </c>
      <c r="X294" s="279">
        <v>1.0441309610503862</v>
      </c>
      <c r="Y294" s="279">
        <v>1.4543457546372383</v>
      </c>
      <c r="Z294" s="256">
        <v>0.12140588536018293</v>
      </c>
      <c r="AA294" s="256">
        <v>0.12528516372254583</v>
      </c>
      <c r="AB294" s="260">
        <f t="shared" si="99"/>
        <v>-0.42857142857142844</v>
      </c>
      <c r="AC294" s="226">
        <f t="shared" si="100"/>
        <v>0.50676263172647262</v>
      </c>
      <c r="AD294" s="226">
        <f t="shared" si="101"/>
        <v>0.56721109297554972</v>
      </c>
      <c r="AE294" s="226">
        <f t="shared" si="102"/>
        <v>1.2452263317470623E-2</v>
      </c>
      <c r="AF294" s="226">
        <f t="shared" si="103"/>
        <v>0.11740577519054847</v>
      </c>
      <c r="AG294" s="226">
        <f t="shared" ref="AG294:AG324" si="105">(Z294-Z$283)/Z$283</f>
        <v>-4.5345730121694374E-3</v>
      </c>
      <c r="AH294" s="243">
        <f t="shared" si="104"/>
        <v>1.819491096782359E-2</v>
      </c>
    </row>
    <row r="295" spans="21:34" x14ac:dyDescent="0.25">
      <c r="U295" s="225">
        <f t="shared" si="98"/>
        <v>6.1000000000000013E-2</v>
      </c>
      <c r="V295" s="208">
        <v>945412299.56531858</v>
      </c>
      <c r="W295" s="208">
        <v>953155822.834342</v>
      </c>
      <c r="X295" s="279">
        <v>1.0438449251668174</v>
      </c>
      <c r="Y295" s="279">
        <v>1.4507254311246931</v>
      </c>
      <c r="Z295" s="256">
        <v>0.12141796166949326</v>
      </c>
      <c r="AA295" s="256">
        <v>0.12523614621025692</v>
      </c>
      <c r="AB295" s="260">
        <f t="shared" si="99"/>
        <v>-0.41904761904761889</v>
      </c>
      <c r="AC295" s="226">
        <f t="shared" si="100"/>
        <v>0.49475642691925659</v>
      </c>
      <c r="AD295" s="226">
        <f t="shared" si="101"/>
        <v>0.55382859332420586</v>
      </c>
      <c r="AE295" s="226">
        <f t="shared" si="102"/>
        <v>1.2174905698060599E-2</v>
      </c>
      <c r="AF295" s="226">
        <f t="shared" si="103"/>
        <v>0.11462420114732162</v>
      </c>
      <c r="AG295" s="226">
        <f t="shared" si="105"/>
        <v>-4.4355535258539533E-3</v>
      </c>
      <c r="AH295" s="243">
        <f t="shared" si="104"/>
        <v>1.7796544712171743E-2</v>
      </c>
    </row>
    <row r="296" spans="21:34" x14ac:dyDescent="0.25">
      <c r="U296" s="225">
        <f t="shared" si="98"/>
        <v>6.2000000000000013E-2</v>
      </c>
      <c r="V296" s="208">
        <v>937840985.6195631</v>
      </c>
      <c r="W296" s="208">
        <v>944969377.01362896</v>
      </c>
      <c r="X296" s="279">
        <v>1.043558916462358</v>
      </c>
      <c r="Y296" s="279">
        <v>1.4471158062616043</v>
      </c>
      <c r="Z296" s="256">
        <v>0.12143004787392542</v>
      </c>
      <c r="AA296" s="256">
        <v>0.12518709404136552</v>
      </c>
      <c r="AB296" s="260">
        <f t="shared" si="99"/>
        <v>-0.4095238095238094</v>
      </c>
      <c r="AC296" s="226">
        <f t="shared" si="100"/>
        <v>0.4827857024154133</v>
      </c>
      <c r="AD296" s="226">
        <f t="shared" si="101"/>
        <v>0.54048310112955333</v>
      </c>
      <c r="AE296" s="226">
        <f t="shared" si="102"/>
        <v>1.1897574433151935E-2</v>
      </c>
      <c r="AF296" s="226">
        <f t="shared" si="103"/>
        <v>0.11185084711137377</v>
      </c>
      <c r="AG296" s="226">
        <f t="shared" si="105"/>
        <v>-4.3364529046606053E-3</v>
      </c>
      <c r="AH296" s="243">
        <f t="shared" si="104"/>
        <v>1.7397896801651717E-2</v>
      </c>
    </row>
    <row r="297" spans="21:34" x14ac:dyDescent="0.25">
      <c r="U297" s="225">
        <f t="shared" si="98"/>
        <v>6.3000000000000014E-2</v>
      </c>
      <c r="V297" s="208">
        <v>930292037.95868444</v>
      </c>
      <c r="W297" s="208">
        <v>936805558.99349689</v>
      </c>
      <c r="X297" s="279">
        <v>1.0432729351387322</v>
      </c>
      <c r="Y297" s="279">
        <v>1.4435168445276056</v>
      </c>
      <c r="Z297" s="256">
        <v>0.1214421439593627</v>
      </c>
      <c r="AA297" s="256">
        <v>0.12513800730710756</v>
      </c>
      <c r="AB297" s="260">
        <f t="shared" si="99"/>
        <v>-0.39999999999999986</v>
      </c>
      <c r="AC297" s="226">
        <f t="shared" si="100"/>
        <v>0.47085034041751717</v>
      </c>
      <c r="AD297" s="226">
        <f t="shared" si="101"/>
        <v>0.52717449663227867</v>
      </c>
      <c r="AE297" s="226">
        <f t="shared" si="102"/>
        <v>1.1620269718348562E-2</v>
      </c>
      <c r="AF297" s="226">
        <f t="shared" si="103"/>
        <v>0.10908568579162764</v>
      </c>
      <c r="AG297" s="226">
        <f t="shared" si="105"/>
        <v>-4.2372712643390922E-3</v>
      </c>
      <c r="AH297" s="243">
        <f t="shared" si="104"/>
        <v>1.6998967977739469E-2</v>
      </c>
    </row>
    <row r="298" spans="21:34" x14ac:dyDescent="0.25">
      <c r="U298" s="225">
        <f t="shared" si="98"/>
        <v>6.4000000000000015E-2</v>
      </c>
      <c r="V298" s="208">
        <v>922765382.35219288</v>
      </c>
      <c r="W298" s="208">
        <v>928664295.58045673</v>
      </c>
      <c r="X298" s="279">
        <v>1.0429869813974173</v>
      </c>
      <c r="Y298" s="279">
        <v>1.439928510533302</v>
      </c>
      <c r="Z298" s="256">
        <v>0.12145424991169884</v>
      </c>
      <c r="AA298" s="256">
        <v>0.12508888609862812</v>
      </c>
      <c r="AB298" s="260">
        <f t="shared" si="99"/>
        <v>-0.39047619047619031</v>
      </c>
      <c r="AC298" s="226">
        <f t="shared" si="100"/>
        <v>0.45895022356248594</v>
      </c>
      <c r="AD298" s="226">
        <f t="shared" si="101"/>
        <v>0.51390266051281919</v>
      </c>
      <c r="AE298" s="226">
        <f t="shared" si="102"/>
        <v>1.1342991749014979E-2</v>
      </c>
      <c r="AF298" s="226">
        <f t="shared" si="103"/>
        <v>0.1063286899976339</v>
      </c>
      <c r="AG298" s="226">
        <f t="shared" si="105"/>
        <v>-4.1380087205535408E-3</v>
      </c>
      <c r="AH298" s="243">
        <f t="shared" si="104"/>
        <v>1.6599758981172896E-2</v>
      </c>
    </row>
    <row r="299" spans="21:34" x14ac:dyDescent="0.25">
      <c r="U299" s="225">
        <f t="shared" si="98"/>
        <v>6.5000000000000016E-2</v>
      </c>
      <c r="V299" s="208">
        <v>915260944.84322166</v>
      </c>
      <c r="W299" s="208">
        <v>920545513.84968805</v>
      </c>
      <c r="X299" s="279">
        <v>1.0427010554396354</v>
      </c>
      <c r="Y299" s="279">
        <v>1.4363507690197479</v>
      </c>
      <c r="Z299" s="256">
        <v>0.12146636571684089</v>
      </c>
      <c r="AA299" s="256">
        <v>0.12503973050698258</v>
      </c>
      <c r="AB299" s="260">
        <f t="shared" si="99"/>
        <v>-0.38095238095238076</v>
      </c>
      <c r="AC299" s="226">
        <f t="shared" si="100"/>
        <v>0.44708523491985225</v>
      </c>
      <c r="AD299" s="226">
        <f t="shared" si="101"/>
        <v>0.50066747388959365</v>
      </c>
      <c r="AE299" s="226">
        <f t="shared" si="102"/>
        <v>1.1065740720268304E-2</v>
      </c>
      <c r="AF299" s="226">
        <f t="shared" si="103"/>
        <v>0.10357983263917071</v>
      </c>
      <c r="AG299" s="226">
        <f t="shared" si="105"/>
        <v>-4.0386653888588395E-3</v>
      </c>
      <c r="AH299" s="243">
        <f t="shared" si="104"/>
        <v>1.6200270551960844E-2</v>
      </c>
    </row>
    <row r="300" spans="21:34" x14ac:dyDescent="0.25">
      <c r="U300" s="225">
        <f t="shared" si="98"/>
        <v>6.6000000000000017E-2</v>
      </c>
      <c r="V300" s="208">
        <v>907778651.74739075</v>
      </c>
      <c r="W300" s="208">
        <v>912449141.14392281</v>
      </c>
      <c r="X300" s="279">
        <v>1.0424151574663569</v>
      </c>
      <c r="Y300" s="279">
        <v>1.4327835848579062</v>
      </c>
      <c r="Z300" s="256">
        <v>0.12147849136070721</v>
      </c>
      <c r="AA300" s="256">
        <v>0.12499054062313597</v>
      </c>
      <c r="AB300" s="260">
        <f t="shared" si="99"/>
        <v>-0.37142857142857122</v>
      </c>
      <c r="AC300" s="226">
        <f t="shared" si="100"/>
        <v>0.43525525798996767</v>
      </c>
      <c r="AD300" s="226">
        <f t="shared" si="101"/>
        <v>0.48746881831718347</v>
      </c>
      <c r="AE300" s="226">
        <f t="shared" si="102"/>
        <v>1.0788516826981493E-2</v>
      </c>
      <c r="AF300" s="226">
        <f t="shared" si="103"/>
        <v>0.10083908672582746</v>
      </c>
      <c r="AG300" s="226">
        <f t="shared" si="105"/>
        <v>-3.9392413847170234E-3</v>
      </c>
      <c r="AH300" s="243">
        <f t="shared" si="104"/>
        <v>1.5800503429377711E-2</v>
      </c>
    </row>
    <row r="301" spans="21:34" x14ac:dyDescent="0.25">
      <c r="U301" s="225">
        <f t="shared" si="98"/>
        <v>6.7000000000000018E-2</v>
      </c>
      <c r="V301" s="208">
        <v>900318429.65173769</v>
      </c>
      <c r="W301" s="208">
        <v>904375105.07237816</v>
      </c>
      <c r="X301" s="279">
        <v>1.0421292876782984</v>
      </c>
      <c r="Y301" s="279">
        <v>1.429226923048138</v>
      </c>
      <c r="Z301" s="256">
        <v>0.12149062682922773</v>
      </c>
      <c r="AA301" s="256">
        <v>0.12494131653796114</v>
      </c>
      <c r="AB301" s="260">
        <f t="shared" si="99"/>
        <v>-0.36190476190476173</v>
      </c>
      <c r="AC301" s="226">
        <f t="shared" si="100"/>
        <v>0.42346017670231195</v>
      </c>
      <c r="AD301" s="226">
        <f t="shared" si="101"/>
        <v>0.47430657578459229</v>
      </c>
      <c r="AE301" s="226">
        <f t="shared" si="102"/>
        <v>1.0511320263781406E-2</v>
      </c>
      <c r="AF301" s="226">
        <f t="shared" si="103"/>
        <v>9.810642536661307E-2</v>
      </c>
      <c r="AG301" s="226">
        <f t="shared" si="105"/>
        <v>-3.8397368234954535E-3</v>
      </c>
      <c r="AH301" s="243">
        <f t="shared" si="104"/>
        <v>1.5400458351949002E-2</v>
      </c>
    </row>
    <row r="302" spans="21:34" x14ac:dyDescent="0.25">
      <c r="U302" s="225">
        <f t="shared" si="98"/>
        <v>6.8000000000000019E-2</v>
      </c>
      <c r="V302" s="208">
        <v>892880205.41359711</v>
      </c>
      <c r="W302" s="208">
        <v>896323333.50965595</v>
      </c>
      <c r="X302" s="279">
        <v>1.041843446275923</v>
      </c>
      <c r="Y302" s="279">
        <v>1.4256807487196683</v>
      </c>
      <c r="Z302" s="256">
        <v>0.12150277210834659</v>
      </c>
      <c r="AA302" s="256">
        <v>0.1248920583422406</v>
      </c>
      <c r="AB302" s="260">
        <f t="shared" si="99"/>
        <v>-0.35238095238095218</v>
      </c>
      <c r="AC302" s="226">
        <f t="shared" si="100"/>
        <v>0.41169987541372155</v>
      </c>
      <c r="AD302" s="226">
        <f t="shared" si="101"/>
        <v>0.46118062871345228</v>
      </c>
      <c r="AE302" s="226">
        <f t="shared" si="102"/>
        <v>1.0234151225049235E-2</v>
      </c>
      <c r="AF302" s="226">
        <f t="shared" si="103"/>
        <v>9.538182176954553E-2</v>
      </c>
      <c r="AG302" s="226">
        <f t="shared" si="105"/>
        <v>-3.7401518204449704E-3</v>
      </c>
      <c r="AH302" s="243">
        <f t="shared" si="104"/>
        <v>1.5000136057465759E-2</v>
      </c>
    </row>
    <row r="303" spans="21:34" x14ac:dyDescent="0.25">
      <c r="U303" s="225">
        <f t="shared" si="98"/>
        <v>6.900000000000002E-2</v>
      </c>
      <c r="V303" s="208">
        <v>885463906.15951872</v>
      </c>
      <c r="W303" s="208">
        <v>888293754.59466457</v>
      </c>
      <c r="X303" s="279">
        <v>1.0415576334594394</v>
      </c>
      <c r="Y303" s="279">
        <v>1.4221450271300706</v>
      </c>
      <c r="Z303" s="256">
        <v>0.12151492718401768</v>
      </c>
      <c r="AA303" s="256">
        <v>0.12484276612666378</v>
      </c>
      <c r="AB303" s="260">
        <f t="shared" si="99"/>
        <v>-0.34285714285714264</v>
      </c>
      <c r="AC303" s="226">
        <f t="shared" si="100"/>
        <v>0.39997423890667899</v>
      </c>
      <c r="AD303" s="226">
        <f t="shared" si="101"/>
        <v>0.44809085995626641</v>
      </c>
      <c r="AE303" s="226">
        <f t="shared" si="102"/>
        <v>9.9570099049194304E-3</v>
      </c>
      <c r="AF303" s="226">
        <f t="shared" si="103"/>
        <v>9.266524924125577E-2</v>
      </c>
      <c r="AG303" s="226">
        <f t="shared" si="105"/>
        <v>-3.6404864907363041E-3</v>
      </c>
      <c r="AH303" s="243">
        <f t="shared" si="104"/>
        <v>1.4599537282962918E-2</v>
      </c>
    </row>
    <row r="304" spans="21:34" x14ac:dyDescent="0.25">
      <c r="U304" s="225">
        <f t="shared" si="98"/>
        <v>7.0000000000000021E-2</v>
      </c>
      <c r="V304" s="208">
        <v>878069459.28417826</v>
      </c>
      <c r="W304" s="208">
        <v>880286296.72955179</v>
      </c>
      <c r="X304" s="279">
        <v>1.0412718494287998</v>
      </c>
      <c r="Y304" s="279">
        <v>1.4186197236647478</v>
      </c>
      <c r="Z304" s="256">
        <v>0.12152709204220891</v>
      </c>
      <c r="AA304" s="256">
        <v>0.12479343998182935</v>
      </c>
      <c r="AB304" s="260">
        <f t="shared" si="99"/>
        <v>-0.33333333333333309</v>
      </c>
      <c r="AC304" s="226">
        <f t="shared" si="100"/>
        <v>0.38828315238759092</v>
      </c>
      <c r="AD304" s="226">
        <f t="shared" si="101"/>
        <v>0.43503715279466887</v>
      </c>
      <c r="AE304" s="226">
        <f t="shared" si="102"/>
        <v>9.6798964972775476E-3</v>
      </c>
      <c r="AF304" s="226">
        <f t="shared" si="103"/>
        <v>8.9956681186588741E-2</v>
      </c>
      <c r="AG304" s="226">
        <f t="shared" si="105"/>
        <v>-3.540740949425485E-3</v>
      </c>
      <c r="AH304" s="243">
        <f t="shared" si="104"/>
        <v>1.4198662764737349E-2</v>
      </c>
    </row>
    <row r="305" spans="21:34" x14ac:dyDescent="0.25">
      <c r="U305" s="225">
        <f t="shared" si="98"/>
        <v>7.1000000000000021E-2</v>
      </c>
      <c r="V305" s="208">
        <v>870696792.44929171</v>
      </c>
      <c r="W305" s="208">
        <v>872300888.57862043</v>
      </c>
      <c r="X305" s="279">
        <v>1.0409860943837026</v>
      </c>
      <c r="Y305" s="279">
        <v>1.4151048038364138</v>
      </c>
      <c r="Z305" s="256">
        <v>0.12153926666890014</v>
      </c>
      <c r="AA305" s="256">
        <v>0.12474407999824177</v>
      </c>
      <c r="AB305" s="260">
        <f t="shared" si="99"/>
        <v>-0.3238095238095236</v>
      </c>
      <c r="AC305" s="226">
        <f t="shared" si="100"/>
        <v>0.37662650148507137</v>
      </c>
      <c r="AD305" s="226">
        <f t="shared" si="101"/>
        <v>0.42201939093765733</v>
      </c>
      <c r="AE305" s="226">
        <f t="shared" si="102"/>
        <v>9.402811195763262E-3</v>
      </c>
      <c r="AF305" s="226">
        <f t="shared" si="103"/>
        <v>8.725609110820548E-2</v>
      </c>
      <c r="AG305" s="226">
        <f t="shared" si="105"/>
        <v>-3.4409153114702278E-3</v>
      </c>
      <c r="AH305" s="243">
        <f t="shared" si="104"/>
        <v>1.3797513238320789E-2</v>
      </c>
    </row>
    <row r="306" spans="21:34" x14ac:dyDescent="0.25">
      <c r="U306" s="225">
        <f t="shared" si="98"/>
        <v>7.2000000000000022E-2</v>
      </c>
      <c r="V306" s="208">
        <v>863345833.58252764</v>
      </c>
      <c r="W306" s="208">
        <v>864337459.06725502</v>
      </c>
      <c r="X306" s="279">
        <v>1.0407003685235874</v>
      </c>
      <c r="Y306" s="279">
        <v>1.4116002332845758</v>
      </c>
      <c r="Z306" s="256">
        <v>0.12155145105008303</v>
      </c>
      <c r="AA306" s="256">
        <v>0.12469468626631341</v>
      </c>
      <c r="AB306" s="260">
        <f t="shared" si="99"/>
        <v>-0.31428571428571406</v>
      </c>
      <c r="AC306" s="226">
        <f t="shared" si="100"/>
        <v>0.36500417224822235</v>
      </c>
      <c r="AD306" s="226">
        <f t="shared" si="101"/>
        <v>0.4090374585198433</v>
      </c>
      <c r="AE306" s="226">
        <f t="shared" si="102"/>
        <v>9.1257541937651929E-3</v>
      </c>
      <c r="AF306" s="226">
        <f t="shared" si="103"/>
        <v>8.4563452606184877E-2</v>
      </c>
      <c r="AG306" s="226">
        <f t="shared" si="105"/>
        <v>-3.3410096917317529E-3</v>
      </c>
      <c r="AH306" s="243">
        <f t="shared" si="104"/>
        <v>1.3396089438496081E-2</v>
      </c>
    </row>
    <row r="307" spans="21:34" x14ac:dyDescent="0.25">
      <c r="U307" s="225">
        <f t="shared" si="98"/>
        <v>7.3000000000000023E-2</v>
      </c>
      <c r="V307" s="208">
        <v>856016510.8764534</v>
      </c>
      <c r="W307" s="208">
        <v>856395937.38088799</v>
      </c>
      <c r="X307" s="279">
        <v>1.040414672047639</v>
      </c>
      <c r="Y307" s="279">
        <v>1.4081059777750311</v>
      </c>
      <c r="Z307" s="256">
        <v>0.12156364517176255</v>
      </c>
      <c r="AA307" s="256">
        <v>0.12464525887636291</v>
      </c>
      <c r="AB307" s="260">
        <f t="shared" si="99"/>
        <v>-0.30476190476190451</v>
      </c>
      <c r="AC307" s="226">
        <f t="shared" si="100"/>
        <v>0.35341605114496738</v>
      </c>
      <c r="AD307" s="226">
        <f t="shared" si="101"/>
        <v>0.39609124009976654</v>
      </c>
      <c r="AE307" s="226">
        <f t="shared" si="102"/>
        <v>8.8487256844250115E-3</v>
      </c>
      <c r="AF307" s="226">
        <f t="shared" si="103"/>
        <v>8.1878739377637233E-2</v>
      </c>
      <c r="AG307" s="226">
        <f t="shared" si="105"/>
        <v>-3.2410242049620416E-3</v>
      </c>
      <c r="AH307" s="243">
        <f t="shared" si="104"/>
        <v>1.2994392099284545E-2</v>
      </c>
    </row>
    <row r="308" spans="21:34" x14ac:dyDescent="0.25">
      <c r="U308" s="225">
        <f t="shared" si="98"/>
        <v>7.4000000000000024E-2</v>
      </c>
      <c r="V308" s="208">
        <v>848708752.78745794</v>
      </c>
      <c r="W308" s="208">
        <v>848476252.96392012</v>
      </c>
      <c r="X308" s="279">
        <v>1.0401290051547833</v>
      </c>
      <c r="Y308" s="279">
        <v>1.4046220031993546</v>
      </c>
      <c r="Z308" s="256">
        <v>0.12157584901995588</v>
      </c>
      <c r="AA308" s="256">
        <v>0.12459579791861541</v>
      </c>
      <c r="AB308" s="260">
        <f t="shared" si="99"/>
        <v>-0.29523809523809497</v>
      </c>
      <c r="AC308" s="226">
        <f t="shared" si="100"/>
        <v>0.34186202506034857</v>
      </c>
      <c r="AD308" s="226">
        <f t="shared" si="101"/>
        <v>0.38318062065813557</v>
      </c>
      <c r="AE308" s="226">
        <f t="shared" si="102"/>
        <v>8.5717258606331174E-3</v>
      </c>
      <c r="AF308" s="226">
        <f t="shared" si="103"/>
        <v>7.9201925216310781E-2</v>
      </c>
      <c r="AG308" s="226">
        <f t="shared" si="105"/>
        <v>-3.1409589658129393E-3</v>
      </c>
      <c r="AH308" s="243">
        <f t="shared" si="104"/>
        <v>1.2592421953947776E-2</v>
      </c>
    </row>
    <row r="309" spans="21:34" x14ac:dyDescent="0.25">
      <c r="U309" s="225">
        <f t="shared" si="98"/>
        <v>7.5000000000000025E-2</v>
      </c>
      <c r="V309" s="208">
        <v>841422488.03466845</v>
      </c>
      <c r="W309" s="208">
        <v>840578335.51866293</v>
      </c>
      <c r="X309" s="279">
        <v>1.0398433680436883</v>
      </c>
      <c r="Y309" s="279">
        <v>1.4011482755743812</v>
      </c>
      <c r="Z309" s="256">
        <v>0.12158806258069288</v>
      </c>
      <c r="AA309" s="256">
        <v>0.12454630348320128</v>
      </c>
      <c r="AB309" s="260">
        <f t="shared" si="99"/>
        <v>-0.28571428571428548</v>
      </c>
      <c r="AC309" s="226">
        <f t="shared" si="100"/>
        <v>0.33034198129481379</v>
      </c>
      <c r="AD309" s="226">
        <f t="shared" si="101"/>
        <v>0.37030548559610327</v>
      </c>
      <c r="AE309" s="226">
        <f t="shared" si="102"/>
        <v>8.2947549150299386E-3</v>
      </c>
      <c r="AF309" s="226">
        <f t="shared" si="103"/>
        <v>7.6532984012193564E-2</v>
      </c>
      <c r="AG309" s="226">
        <f t="shared" si="105"/>
        <v>-3.0408140888325145E-3</v>
      </c>
      <c r="AH309" s="243">
        <f t="shared" si="104"/>
        <v>1.2190179734976828E-2</v>
      </c>
    </row>
    <row r="310" spans="21:34" x14ac:dyDescent="0.25">
      <c r="U310" s="225">
        <f t="shared" si="98"/>
        <v>7.6000000000000026E-2</v>
      </c>
      <c r="V310" s="208">
        <v>834157645.59892416</v>
      </c>
      <c r="W310" s="208">
        <v>832702115.00431681</v>
      </c>
      <c r="X310" s="279">
        <v>1.0395577609127631</v>
      </c>
      <c r="Y310" s="279">
        <v>1.3976847610417171</v>
      </c>
      <c r="Z310" s="256">
        <v>0.12160028584001559</v>
      </c>
      <c r="AA310" s="256">
        <v>0.12449677566015738</v>
      </c>
      <c r="AB310" s="260">
        <f t="shared" si="99"/>
        <v>-0.27619047619047593</v>
      </c>
      <c r="AC310" s="226">
        <f t="shared" si="100"/>
        <v>0.31885580756259413</v>
      </c>
      <c r="AD310" s="226">
        <f t="shared" si="101"/>
        <v>0.35746572073360117</v>
      </c>
      <c r="AE310" s="226">
        <f t="shared" si="102"/>
        <v>8.0178130400050743E-3</v>
      </c>
      <c r="AF310" s="226">
        <f t="shared" si="103"/>
        <v>7.3871889751138342E-2</v>
      </c>
      <c r="AG310" s="226">
        <f t="shared" si="105"/>
        <v>-2.9405896884687E-3</v>
      </c>
      <c r="AH310" s="243">
        <f t="shared" si="104"/>
        <v>1.1787666174103033E-2</v>
      </c>
    </row>
    <row r="311" spans="21:34" x14ac:dyDescent="0.25">
      <c r="U311" s="225">
        <f t="shared" si="98"/>
        <v>7.7000000000000027E-2</v>
      </c>
      <c r="V311" s="208">
        <v>826914154.72170258</v>
      </c>
      <c r="W311" s="208">
        <v>824847521.63590574</v>
      </c>
      <c r="X311" s="279">
        <v>1.0392721839601577</v>
      </c>
      <c r="Y311" s="279">
        <v>1.3942314258672281</v>
      </c>
      <c r="Z311" s="256">
        <v>0.12161251878397983</v>
      </c>
      <c r="AA311" s="256">
        <v>0.12444721453942487</v>
      </c>
      <c r="AB311" s="260">
        <f t="shared" si="99"/>
        <v>-0.26666666666666639</v>
      </c>
      <c r="AC311" s="226">
        <f t="shared" si="100"/>
        <v>0.30740339199000627</v>
      </c>
      <c r="AD311" s="226">
        <f t="shared" si="101"/>
        <v>0.34466121230760272</v>
      </c>
      <c r="AE311" s="226">
        <f t="shared" si="102"/>
        <v>7.7409004276966379E-3</v>
      </c>
      <c r="AF311" s="226">
        <f t="shared" si="103"/>
        <v>7.1218616514469021E-2</v>
      </c>
      <c r="AG311" s="226">
        <f t="shared" si="105"/>
        <v>-2.8402858790565477E-3</v>
      </c>
      <c r="AH311" s="243">
        <f t="shared" si="104"/>
        <v>1.1384882002279955E-2</v>
      </c>
    </row>
    <row r="312" spans="21:34" x14ac:dyDescent="0.25">
      <c r="U312" s="225">
        <f t="shared" si="98"/>
        <v>7.8000000000000028E-2</v>
      </c>
      <c r="V312" s="208">
        <v>819691944.90405989</v>
      </c>
      <c r="W312" s="208">
        <v>817014485.88324022</v>
      </c>
      <c r="X312" s="279">
        <v>1.0389866373837622</v>
      </c>
      <c r="Y312" s="279">
        <v>1.390788236440534</v>
      </c>
      <c r="Z312" s="256">
        <v>0.12162476139865297</v>
      </c>
      <c r="AA312" s="256">
        <v>0.1243976202108501</v>
      </c>
      <c r="AB312" s="260">
        <f t="shared" si="99"/>
        <v>-0.25714285714285684</v>
      </c>
      <c r="AC312" s="226">
        <f t="shared" si="100"/>
        <v>0.29598462311377705</v>
      </c>
      <c r="AD312" s="226">
        <f t="shared" si="101"/>
        <v>0.33189184697043284</v>
      </c>
      <c r="AE312" s="226">
        <f t="shared" si="102"/>
        <v>7.4640172699906226E-3</v>
      </c>
      <c r="AF312" s="226">
        <f t="shared" si="103"/>
        <v>6.8573138478592463E-2</v>
      </c>
      <c r="AG312" s="226">
        <f t="shared" si="105"/>
        <v>-2.7399027748364366E-3</v>
      </c>
      <c r="AH312" s="243">
        <f t="shared" si="104"/>
        <v>1.098182794969061E-2</v>
      </c>
    </row>
    <row r="313" spans="21:34" x14ac:dyDescent="0.25">
      <c r="U313" s="225">
        <f t="shared" si="98"/>
        <v>7.9000000000000029E-2</v>
      </c>
      <c r="V313" s="208">
        <v>812490945.90560532</v>
      </c>
      <c r="W313" s="208">
        <v>809202938.46989059</v>
      </c>
      <c r="X313" s="279">
        <v>1.0387011213812052</v>
      </c>
      <c r="Y313" s="279">
        <v>1.3873551592745195</v>
      </c>
      <c r="Z313" s="256">
        <v>0.1216370136701157</v>
      </c>
      <c r="AA313" s="256">
        <v>0.12434799276418307</v>
      </c>
      <c r="AB313" s="260">
        <f t="shared" si="99"/>
        <v>-0.24761904761904732</v>
      </c>
      <c r="AC313" s="226">
        <f t="shared" si="100"/>
        <v>0.28459938987942202</v>
      </c>
      <c r="AD313" s="226">
        <f t="shared" si="101"/>
        <v>0.31915751178809409</v>
      </c>
      <c r="AE313" s="226">
        <f t="shared" si="102"/>
        <v>7.1871637585198163E-3</v>
      </c>
      <c r="AF313" s="226">
        <f t="shared" si="103"/>
        <v>6.5935429914622923E-2</v>
      </c>
      <c r="AG313" s="226">
        <f t="shared" si="105"/>
        <v>-2.639440489939505E-3</v>
      </c>
      <c r="AH313" s="243">
        <f t="shared" si="104"/>
        <v>1.0578504745734841E-2</v>
      </c>
    </row>
    <row r="314" spans="21:34" x14ac:dyDescent="0.25">
      <c r="U314" s="225">
        <f t="shared" si="98"/>
        <v>8.0000000000000029E-2</v>
      </c>
      <c r="V314" s="208">
        <v>805311087.7434535</v>
      </c>
      <c r="W314" s="208">
        <v>801412810.37216711</v>
      </c>
      <c r="X314" s="279">
        <v>1.0384156361498551</v>
      </c>
      <c r="Y314" s="279">
        <v>1.3839321610048354</v>
      </c>
      <c r="Z314" s="256">
        <v>0.12164927558446204</v>
      </c>
      <c r="AA314" s="256">
        <v>0.12429833228907894</v>
      </c>
      <c r="AB314" s="260">
        <f t="shared" si="99"/>
        <v>-0.23809523809523778</v>
      </c>
      <c r="AC314" s="226">
        <f t="shared" si="100"/>
        <v>0.27324758163958895</v>
      </c>
      <c r="AD314" s="226">
        <f t="shared" si="101"/>
        <v>0.3064580942386041</v>
      </c>
      <c r="AE314" s="226">
        <f t="shared" si="102"/>
        <v>6.9103400846644517E-3</v>
      </c>
      <c r="AF314" s="226">
        <f t="shared" si="103"/>
        <v>6.3305465187998289E-2</v>
      </c>
      <c r="AG314" s="226">
        <f t="shared" si="105"/>
        <v>-2.538899138387654E-3</v>
      </c>
      <c r="AH314" s="243">
        <f t="shared" si="104"/>
        <v>1.0174913119041937E-2</v>
      </c>
    </row>
    <row r="315" spans="21:34" x14ac:dyDescent="0.25">
      <c r="U315" s="225">
        <f t="shared" si="98"/>
        <v>8.100000000000003E-2</v>
      </c>
      <c r="V315" s="208">
        <v>798152300.69117165</v>
      </c>
      <c r="W315" s="208">
        <v>793644032.81805658</v>
      </c>
      <c r="X315" s="279">
        <v>1.0381301818868185</v>
      </c>
      <c r="Y315" s="279">
        <v>1.3805192083893965</v>
      </c>
      <c r="Z315" s="256">
        <v>0.12166154712779775</v>
      </c>
      <c r="AA315" s="256">
        <v>0.12424863887509585</v>
      </c>
      <c r="AB315" s="260">
        <f t="shared" si="99"/>
        <v>-0.22857142857142826</v>
      </c>
      <c r="AC315" s="226">
        <f t="shared" si="100"/>
        <v>0.26192908815239335</v>
      </c>
      <c r="AD315" s="226">
        <f t="shared" si="101"/>
        <v>0.29379348221026186</v>
      </c>
      <c r="AE315" s="226">
        <f t="shared" si="102"/>
        <v>6.6335464395509145E-3</v>
      </c>
      <c r="AF315" s="226">
        <f t="shared" si="103"/>
        <v>6.0683218758094536E-2</v>
      </c>
      <c r="AG315" s="226">
        <f t="shared" si="105"/>
        <v>-2.4382788341062896E-3</v>
      </c>
      <c r="AH315" s="243">
        <f t="shared" si="104"/>
        <v>9.771053797452597E-3</v>
      </c>
    </row>
    <row r="316" spans="21:34" x14ac:dyDescent="0.25">
      <c r="U316" s="225">
        <f t="shared" si="98"/>
        <v>8.2000000000000031E-2</v>
      </c>
      <c r="V316" s="208">
        <v>791014515.27777576</v>
      </c>
      <c r="W316" s="208">
        <v>785896537.28625631</v>
      </c>
      <c r="X316" s="279">
        <v>1.037844758788939</v>
      </c>
      <c r="Y316" s="279">
        <v>1.3771162683079023</v>
      </c>
      <c r="Z316" s="256">
        <v>0.12167382828624329</v>
      </c>
      <c r="AA316" s="256">
        <v>0.12419891261169558</v>
      </c>
      <c r="AB316" s="260">
        <f t="shared" si="99"/>
        <v>-0.21904761904761871</v>
      </c>
      <c r="AC316" s="226">
        <f t="shared" si="100"/>
        <v>0.25064379957983135</v>
      </c>
      <c r="AD316" s="226">
        <f t="shared" si="101"/>
        <v>0.28116356400007325</v>
      </c>
      <c r="AE316" s="226">
        <f t="shared" si="102"/>
        <v>6.3567830140506647E-3</v>
      </c>
      <c r="AF316" s="226">
        <f t="shared" si="103"/>
        <v>5.8068665177857783E-2</v>
      </c>
      <c r="AG316" s="226">
        <f t="shared" si="105"/>
        <v>-2.3375796909006542E-3</v>
      </c>
      <c r="AH316" s="243">
        <f t="shared" si="104"/>
        <v>9.3669275080243385E-3</v>
      </c>
    </row>
    <row r="317" spans="21:34" x14ac:dyDescent="0.25">
      <c r="U317" s="225">
        <f t="shared" si="98"/>
        <v>8.3000000000000032E-2</v>
      </c>
      <c r="V317" s="208">
        <v>783897662.28668642</v>
      </c>
      <c r="W317" s="208">
        <v>778170255.50512028</v>
      </c>
      <c r="X317" s="279">
        <v>1.0375593670527983</v>
      </c>
      <c r="Y317" s="279">
        <v>1.3737233077613402</v>
      </c>
      <c r="Z317" s="256">
        <v>0.12168611904593041</v>
      </c>
      <c r="AA317" s="256">
        <v>0.12414915358824308</v>
      </c>
      <c r="AB317" s="260">
        <f t="shared" si="99"/>
        <v>-0.2095238095238092</v>
      </c>
      <c r="AC317" s="226">
        <f t="shared" si="100"/>
        <v>0.23939160648612881</v>
      </c>
      <c r="AD317" s="226">
        <f t="shared" si="101"/>
        <v>0.2685682283120327</v>
      </c>
      <c r="AE317" s="226">
        <f t="shared" si="102"/>
        <v>6.0800499987810992E-3</v>
      </c>
      <c r="AF317" s="226">
        <f t="shared" si="103"/>
        <v>5.5461779093421912E-2</v>
      </c>
      <c r="AG317" s="226">
        <f t="shared" si="105"/>
        <v>-2.2368018224831372E-3</v>
      </c>
      <c r="AH317" s="243">
        <f t="shared" si="104"/>
        <v>8.9625349770278938E-3</v>
      </c>
    </row>
    <row r="318" spans="21:34" x14ac:dyDescent="0.25">
      <c r="U318" s="225">
        <f t="shared" si="98"/>
        <v>8.4000000000000033E-2</v>
      </c>
      <c r="V318" s="208">
        <v>776801672.7546916</v>
      </c>
      <c r="W318" s="208">
        <v>770465119.45164871</v>
      </c>
      <c r="X318" s="279">
        <v>1.0372740068747131</v>
      </c>
      <c r="Y318" s="279">
        <v>1.3703402938714899</v>
      </c>
      <c r="Z318" s="256">
        <v>0.1216984193930053</v>
      </c>
      <c r="AA318" s="256">
        <v>0.12409936189400561</v>
      </c>
      <c r="AB318" s="260">
        <f t="shared" si="99"/>
        <v>-0.19999999999999965</v>
      </c>
      <c r="AC318" s="226">
        <f t="shared" si="100"/>
        <v>0.2281723998361013</v>
      </c>
      <c r="AD318" s="226">
        <f t="shared" si="101"/>
        <v>0.25600736425547627</v>
      </c>
      <c r="AE318" s="226">
        <f t="shared" si="102"/>
        <v>5.8033475841027544E-3</v>
      </c>
      <c r="AF318" s="226">
        <f t="shared" si="103"/>
        <v>5.2862535243728505E-2</v>
      </c>
      <c r="AG318" s="226">
        <f t="shared" si="105"/>
        <v>-2.1359453424477865E-3</v>
      </c>
      <c r="AH318" s="243">
        <f t="shared" si="104"/>
        <v>8.5578769299399834E-3</v>
      </c>
    </row>
    <row r="319" spans="21:34" x14ac:dyDescent="0.25">
      <c r="U319" s="225">
        <f t="shared" si="98"/>
        <v>8.5000000000000034E-2</v>
      </c>
      <c r="V319" s="208">
        <v>769726477.97096252</v>
      </c>
      <c r="W319" s="208">
        <v>762781061.35050297</v>
      </c>
      <c r="X319" s="279">
        <v>1.0369886784507385</v>
      </c>
      <c r="Y319" s="279">
        <v>1.3669671938804557</v>
      </c>
      <c r="Z319" s="256">
        <v>0.12171072931362614</v>
      </c>
      <c r="AA319" s="256">
        <v>0.12404953761815318</v>
      </c>
      <c r="AB319" s="260">
        <f t="shared" si="99"/>
        <v>-0.19047619047619013</v>
      </c>
      <c r="AC319" s="226">
        <f t="shared" si="100"/>
        <v>0.21698607099359829</v>
      </c>
      <c r="AD319" s="226">
        <f t="shared" si="101"/>
        <v>0.2434808613434756</v>
      </c>
      <c r="AE319" s="226">
        <f t="shared" si="102"/>
        <v>5.5266759601225318E-3</v>
      </c>
      <c r="AF319" s="226">
        <f t="shared" si="103"/>
        <v>5.0270908460167026E-2</v>
      </c>
      <c r="AG319" s="226">
        <f t="shared" si="105"/>
        <v>-2.0350103642903343E-3</v>
      </c>
      <c r="AH319" s="243">
        <f t="shared" si="104"/>
        <v>8.1529540914469373E-3</v>
      </c>
    </row>
    <row r="320" spans="21:34" x14ac:dyDescent="0.25">
      <c r="U320" s="225">
        <f t="shared" si="98"/>
        <v>8.6000000000000035E-2</v>
      </c>
      <c r="V320" s="208">
        <v>762672009.47601843</v>
      </c>
      <c r="W320" s="208">
        <v>755118013.67299175</v>
      </c>
      <c r="X320" s="279">
        <v>1.0367033819766629</v>
      </c>
      <c r="Y320" s="279">
        <v>1.3636039751501714</v>
      </c>
      <c r="Z320" s="256">
        <v>0.12172304879396512</v>
      </c>
      <c r="AA320" s="256">
        <v>0.12399968084975699</v>
      </c>
      <c r="AB320" s="260">
        <f t="shared" si="99"/>
        <v>-0.18095238095238059</v>
      </c>
      <c r="AC320" s="226">
        <f t="shared" si="100"/>
        <v>0.20583251171986622</v>
      </c>
      <c r="AD320" s="226">
        <f t="shared" si="101"/>
        <v>0.23098860949118533</v>
      </c>
      <c r="AE320" s="226">
        <f t="shared" si="102"/>
        <v>5.2500353166885332E-3</v>
      </c>
      <c r="AF320" s="226">
        <f t="shared" si="103"/>
        <v>4.7686873666194583E-2</v>
      </c>
      <c r="AG320" s="226">
        <f t="shared" si="105"/>
        <v>-1.9339970013918114E-3</v>
      </c>
      <c r="AH320" s="243">
        <f t="shared" si="104"/>
        <v>7.7477671854320499E-3</v>
      </c>
    </row>
    <row r="321" spans="21:34" x14ac:dyDescent="0.25">
      <c r="U321" s="225">
        <f t="shared" si="98"/>
        <v>8.7000000000000036E-2</v>
      </c>
      <c r="V321" s="208">
        <v>755638199.06070614</v>
      </c>
      <c r="W321" s="208">
        <v>747475909.13606262</v>
      </c>
      <c r="X321" s="279">
        <v>1.0364181176480105</v>
      </c>
      <c r="Y321" s="279">
        <v>1.3602506051619148</v>
      </c>
      <c r="Z321" s="256">
        <v>0.12173537782020749</v>
      </c>
      <c r="AA321" s="256">
        <v>0.12394979167779074</v>
      </c>
      <c r="AB321" s="260">
        <f t="shared" si="99"/>
        <v>-0.17142857142857107</v>
      </c>
      <c r="AC321" s="226">
        <f t="shared" si="100"/>
        <v>0.19471161417193533</v>
      </c>
      <c r="AD321" s="226">
        <f t="shared" si="101"/>
        <v>0.21853049901419891</v>
      </c>
      <c r="AE321" s="226">
        <f t="shared" si="102"/>
        <v>4.9734258433928608E-3</v>
      </c>
      <c r="AF321" s="226">
        <f t="shared" si="103"/>
        <v>4.5110405876962939E-2</v>
      </c>
      <c r="AG321" s="226">
        <f t="shared" si="105"/>
        <v>-1.8329053670258311E-3</v>
      </c>
      <c r="AH321" s="243">
        <f t="shared" si="104"/>
        <v>7.3423169349864162E-3</v>
      </c>
    </row>
    <row r="322" spans="21:34" x14ac:dyDescent="0.25">
      <c r="U322" s="225">
        <f t="shared" si="98"/>
        <v>8.8000000000000037E-2</v>
      </c>
      <c r="V322" s="208">
        <v>748624978.76522017</v>
      </c>
      <c r="W322" s="208">
        <v>739854680.70132542</v>
      </c>
      <c r="X322" s="279">
        <v>1.0361328856600396</v>
      </c>
      <c r="Y322" s="279">
        <v>1.3569070515158401</v>
      </c>
      <c r="Z322" s="256">
        <v>0.12174771637855186</v>
      </c>
      <c r="AA322" s="256">
        <v>0.12389987019112958</v>
      </c>
      <c r="AB322" s="260">
        <f t="shared" si="99"/>
        <v>-0.16190476190476152</v>
      </c>
      <c r="AC322" s="226">
        <f t="shared" si="100"/>
        <v>0.18362327090107022</v>
      </c>
      <c r="AD322" s="226">
        <f t="shared" si="101"/>
        <v>0.20610642062695678</v>
      </c>
      <c r="AE322" s="226">
        <f t="shared" si="102"/>
        <v>4.6968477295696769E-3</v>
      </c>
      <c r="AF322" s="226">
        <f t="shared" si="103"/>
        <v>4.2541480198959279E-2</v>
      </c>
      <c r="AG322" s="226">
        <f t="shared" si="105"/>
        <v>-1.7317355743567667E-3</v>
      </c>
      <c r="AH322" s="243">
        <f t="shared" si="104"/>
        <v>6.9366040623999054E-3</v>
      </c>
    </row>
    <row r="323" spans="21:34" x14ac:dyDescent="0.25">
      <c r="U323" s="225">
        <f t="shared" si="98"/>
        <v>8.9000000000000037E-2</v>
      </c>
      <c r="V323" s="208">
        <v>741632280.87809372</v>
      </c>
      <c r="W323" s="208">
        <v>732254261.57406473</v>
      </c>
      <c r="X323" s="279">
        <v>1.0358476862077433</v>
      </c>
      <c r="Y323" s="279">
        <v>1.3535732819304975</v>
      </c>
      <c r="Z323" s="256">
        <v>0.12176006445520948</v>
      </c>
      <c r="AA323" s="256">
        <v>0.12384991647854915</v>
      </c>
      <c r="AB323" s="260">
        <f t="shared" si="99"/>
        <v>-0.15238095238095201</v>
      </c>
      <c r="AC323" s="226">
        <f t="shared" si="100"/>
        <v>0.17256737485117457</v>
      </c>
      <c r="AD323" s="226">
        <f t="shared" si="101"/>
        <v>0.19371626544113635</v>
      </c>
      <c r="AE323" s="226">
        <f t="shared" si="102"/>
        <v>4.4203011642960678E-3</v>
      </c>
      <c r="AF323" s="226">
        <f t="shared" si="103"/>
        <v>3.9980071829636817E-2</v>
      </c>
      <c r="AG323" s="226">
        <f t="shared" si="105"/>
        <v>-1.630487736445215E-3</v>
      </c>
      <c r="AH323" s="243">
        <f t="shared" si="104"/>
        <v>6.5306292891539434E-3</v>
      </c>
    </row>
    <row r="324" spans="21:34" ht="15.75" thickBot="1" x14ac:dyDescent="0.3">
      <c r="U324" s="227">
        <f t="shared" si="98"/>
        <v>9.0000000000000038E-2</v>
      </c>
      <c r="V324" s="241">
        <v>734660037.93517923</v>
      </c>
      <c r="W324" s="241">
        <v>724674585.20222425</v>
      </c>
      <c r="X324" s="280">
        <v>1.0355625194858455</v>
      </c>
      <c r="Y324" s="280">
        <v>1.3502492642423458</v>
      </c>
      <c r="Z324" s="278">
        <v>0.12177242203640604</v>
      </c>
      <c r="AA324" s="278">
        <v>0.12379993062872563</v>
      </c>
      <c r="AB324" s="274">
        <f t="shared" si="99"/>
        <v>-0.14285714285714246</v>
      </c>
      <c r="AC324" s="228">
        <f t="shared" si="100"/>
        <v>0.16154381935717943</v>
      </c>
      <c r="AD324" s="228">
        <f t="shared" si="101"/>
        <v>0.18135992496399639</v>
      </c>
      <c r="AE324" s="228">
        <f t="shared" si="102"/>
        <v>4.1437863363881638E-3</v>
      </c>
      <c r="AF324" s="228">
        <f t="shared" si="103"/>
        <v>3.7426156057040687E-2</v>
      </c>
      <c r="AG324" s="228">
        <f t="shared" si="105"/>
        <v>-1.5291619662334307E-3</v>
      </c>
      <c r="AH324" s="247">
        <f t="shared" si="104"/>
        <v>6.1243933359215134E-3</v>
      </c>
    </row>
    <row r="325" spans="21:34" x14ac:dyDescent="0.25">
      <c r="U325" s="235"/>
    </row>
    <row r="326" spans="21:34" ht="15.75" thickBot="1" x14ac:dyDescent="0.3">
      <c r="U326" s="235"/>
    </row>
    <row r="327" spans="21:34" ht="15.75" thickBot="1" x14ac:dyDescent="0.3">
      <c r="U327" s="379" t="s">
        <v>357</v>
      </c>
      <c r="V327" s="380"/>
      <c r="W327" s="380"/>
      <c r="X327" s="380"/>
      <c r="Y327" s="380"/>
      <c r="Z327" s="380"/>
      <c r="AA327" s="381"/>
      <c r="AB327" s="380" t="s">
        <v>358</v>
      </c>
      <c r="AC327" s="380"/>
      <c r="AD327" s="380"/>
      <c r="AE327" s="380"/>
      <c r="AF327" s="380"/>
      <c r="AG327" s="380"/>
      <c r="AH327" s="381"/>
    </row>
    <row r="328" spans="21:34" x14ac:dyDescent="0.25">
      <c r="U328" s="255" t="s">
        <v>360</v>
      </c>
      <c r="V328" s="230" t="s">
        <v>332</v>
      </c>
      <c r="W328" s="230" t="s">
        <v>333</v>
      </c>
      <c r="X328" s="230" t="s">
        <v>335</v>
      </c>
      <c r="Y328" s="230" t="s">
        <v>336</v>
      </c>
      <c r="Z328" s="230" t="s">
        <v>338</v>
      </c>
      <c r="AA328" s="231" t="s">
        <v>339</v>
      </c>
      <c r="AB328" s="255" t="s">
        <v>360</v>
      </c>
      <c r="AC328" s="230" t="s">
        <v>332</v>
      </c>
      <c r="AD328" s="230" t="s">
        <v>333</v>
      </c>
      <c r="AE328" s="230" t="s">
        <v>335</v>
      </c>
      <c r="AF328" s="230" t="s">
        <v>336</v>
      </c>
      <c r="AG328" s="230" t="s">
        <v>338</v>
      </c>
      <c r="AH328" s="231" t="s">
        <v>339</v>
      </c>
    </row>
    <row r="329" spans="21:34" x14ac:dyDescent="0.25">
      <c r="U329" s="220">
        <f>W23</f>
        <v>18000000</v>
      </c>
      <c r="V329" s="1">
        <f>V154</f>
        <v>632485856.91907358</v>
      </c>
      <c r="W329" s="1">
        <f>V155</f>
        <v>613424046.21039581</v>
      </c>
      <c r="X329" s="279">
        <f>V159</f>
        <v>1.0312890778959938</v>
      </c>
      <c r="Y329" s="279">
        <f>V160</f>
        <v>1.3015377107651267</v>
      </c>
      <c r="Z329" s="281">
        <f>V164</f>
        <v>0.12195891697368522</v>
      </c>
      <c r="AA329" s="282">
        <f>V165</f>
        <v>0.12304634640479462</v>
      </c>
      <c r="AB329" s="260">
        <f t="shared" ref="AB329:AB360" si="106">(U329-U$329)/U$329</f>
        <v>0</v>
      </c>
      <c r="AC329" s="226">
        <f t="shared" ref="AC329:AC360" si="107">(V329-V$329)/V$329</f>
        <v>0</v>
      </c>
      <c r="AD329" s="226">
        <f t="shared" ref="AD329:AD360" si="108">(W329-W$329)/W$329</f>
        <v>0</v>
      </c>
      <c r="AE329" s="226">
        <f t="shared" ref="AE329:AE360" si="109">(X329-X$329)/X$329</f>
        <v>0</v>
      </c>
      <c r="AF329" s="226">
        <f t="shared" ref="AF329:AF360" si="110">(Y329-Y$329)/Y$329</f>
        <v>0</v>
      </c>
      <c r="AG329" s="226">
        <f t="shared" ref="AG329:AG360" si="111">(Z329-Z$329)/Z$329</f>
        <v>0</v>
      </c>
      <c r="AH329" s="243">
        <f t="shared" ref="AH329:AH360" si="112">(AA329-AA$329)/AA$329</f>
        <v>0</v>
      </c>
    </row>
    <row r="330" spans="21:34" x14ac:dyDescent="0.25">
      <c r="U330" s="220">
        <v>15000000</v>
      </c>
      <c r="V330" s="1">
        <f t="dataTable" ref="V330:AA380" dt2D="0" dtr="0" r1="W23" ca="1"/>
        <v>649805045.38525486</v>
      </c>
      <c r="W330" s="1">
        <v>630743234.67657614</v>
      </c>
      <c r="X330" s="279">
        <v>1.0321734237757831</v>
      </c>
      <c r="Y330" s="279">
        <v>1.3097946360153467</v>
      </c>
      <c r="Z330" s="281">
        <v>0.12297778718885577</v>
      </c>
      <c r="AA330" s="282">
        <v>0.12413333317790709</v>
      </c>
      <c r="AB330" s="260">
        <f t="shared" si="106"/>
        <v>-0.16666666666666666</v>
      </c>
      <c r="AC330" s="226">
        <f t="shared" si="107"/>
        <v>2.7382728446364715E-2</v>
      </c>
      <c r="AD330" s="226">
        <f t="shared" si="108"/>
        <v>2.8233631487344868E-2</v>
      </c>
      <c r="AE330" s="226">
        <f t="shared" si="109"/>
        <v>8.5751502536376902E-4</v>
      </c>
      <c r="AF330" s="226">
        <f t="shared" si="110"/>
        <v>6.3439769604263646E-3</v>
      </c>
      <c r="AG330" s="226">
        <f t="shared" si="111"/>
        <v>8.3542084535761525E-3</v>
      </c>
      <c r="AH330" s="243">
        <f t="shared" si="112"/>
        <v>8.8339622010111096E-3</v>
      </c>
    </row>
    <row r="331" spans="21:34" x14ac:dyDescent="0.25">
      <c r="U331" s="220">
        <f>U330+500000</f>
        <v>15500000</v>
      </c>
      <c r="V331" s="1">
        <v>646918513.97422409</v>
      </c>
      <c r="W331" s="1">
        <v>627856703.26554537</v>
      </c>
      <c r="X331" s="279">
        <v>1.0320259274858856</v>
      </c>
      <c r="Y331" s="279">
        <v>1.3084184818069764</v>
      </c>
      <c r="Z331" s="281">
        <v>0.12280798808611304</v>
      </c>
      <c r="AA331" s="282">
        <v>0.12395216010251198</v>
      </c>
      <c r="AB331" s="260">
        <f t="shared" si="106"/>
        <v>-0.1388888888888889</v>
      </c>
      <c r="AC331" s="226">
        <f t="shared" si="107"/>
        <v>2.2818940371969715E-2</v>
      </c>
      <c r="AD331" s="226">
        <f t="shared" si="108"/>
        <v>2.3528026239452892E-2</v>
      </c>
      <c r="AE331" s="226">
        <f t="shared" si="109"/>
        <v>7.1449373961677241E-4</v>
      </c>
      <c r="AF331" s="226">
        <f t="shared" si="110"/>
        <v>5.2866474670217149E-3</v>
      </c>
      <c r="AG331" s="226">
        <f t="shared" si="111"/>
        <v>6.961943689701885E-3</v>
      </c>
      <c r="AH331" s="243">
        <f t="shared" si="112"/>
        <v>7.3615651677900254E-3</v>
      </c>
    </row>
    <row r="332" spans="21:34" x14ac:dyDescent="0.25">
      <c r="U332" s="220">
        <f t="shared" ref="U332:U380" si="113">U331+500000</f>
        <v>16000000</v>
      </c>
      <c r="V332" s="1">
        <v>644031982.56319427</v>
      </c>
      <c r="W332" s="1">
        <v>624970171.85451603</v>
      </c>
      <c r="X332" s="279">
        <v>1.0318784733440358</v>
      </c>
      <c r="Y332" s="279">
        <v>1.3070423275986067</v>
      </c>
      <c r="Z332" s="281">
        <v>0.12263818395942616</v>
      </c>
      <c r="AA332" s="282">
        <v>0.12377099049036633</v>
      </c>
      <c r="AB332" s="260">
        <f t="shared" si="106"/>
        <v>-0.1111111111111111</v>
      </c>
      <c r="AC332" s="226">
        <f t="shared" si="107"/>
        <v>1.8255152297576224E-2</v>
      </c>
      <c r="AD332" s="226">
        <f t="shared" si="108"/>
        <v>1.8822420991563244E-2</v>
      </c>
      <c r="AE332" s="226">
        <f t="shared" si="109"/>
        <v>5.7151332315523798E-4</v>
      </c>
      <c r="AF332" s="226">
        <f t="shared" si="110"/>
        <v>4.2293179736175761E-3</v>
      </c>
      <c r="AG332" s="226">
        <f t="shared" si="111"/>
        <v>5.569637732085706E-3</v>
      </c>
      <c r="AH332" s="243">
        <f t="shared" si="112"/>
        <v>5.8891962804632813E-3</v>
      </c>
    </row>
    <row r="333" spans="21:34" x14ac:dyDescent="0.25">
      <c r="U333" s="220">
        <f t="shared" si="113"/>
        <v>16500000</v>
      </c>
      <c r="V333" s="1">
        <v>641145451.15216446</v>
      </c>
      <c r="W333" s="1">
        <v>622083640.44348621</v>
      </c>
      <c r="X333" s="279">
        <v>1.0317310613321697</v>
      </c>
      <c r="Y333" s="279">
        <v>1.3056661733902368</v>
      </c>
      <c r="Z333" s="281">
        <v>0.12246837479682471</v>
      </c>
      <c r="AA333" s="282">
        <v>0.12358982432800358</v>
      </c>
      <c r="AB333" s="260">
        <f t="shared" si="106"/>
        <v>-8.3333333333333329E-2</v>
      </c>
      <c r="AC333" s="226">
        <f t="shared" si="107"/>
        <v>1.3691364223182734E-2</v>
      </c>
      <c r="AD333" s="226">
        <f t="shared" si="108"/>
        <v>1.4116815743672823E-2</v>
      </c>
      <c r="AE333" s="226">
        <f t="shared" si="109"/>
        <v>4.285737584632286E-4</v>
      </c>
      <c r="AF333" s="226">
        <f t="shared" si="110"/>
        <v>3.1719884802132677E-3</v>
      </c>
      <c r="AG333" s="226">
        <f t="shared" si="111"/>
        <v>4.1772904825763289E-3</v>
      </c>
      <c r="AH333" s="243">
        <f t="shared" si="112"/>
        <v>4.4168554295878791E-3</v>
      </c>
    </row>
    <row r="334" spans="21:34" x14ac:dyDescent="0.25">
      <c r="U334" s="220">
        <f t="shared" si="113"/>
        <v>17000000</v>
      </c>
      <c r="V334" s="1">
        <v>638258919.74113369</v>
      </c>
      <c r="W334" s="1">
        <v>619197109.03245544</v>
      </c>
      <c r="X334" s="279">
        <v>1.0315836914322338</v>
      </c>
      <c r="Y334" s="279">
        <v>1.3042900191818667</v>
      </c>
      <c r="Z334" s="281">
        <v>0.12229856058632893</v>
      </c>
      <c r="AA334" s="282">
        <v>0.12340866160194719</v>
      </c>
      <c r="AB334" s="260">
        <f t="shared" si="106"/>
        <v>-5.5555555555555552E-2</v>
      </c>
      <c r="AC334" s="226">
        <f t="shared" si="107"/>
        <v>9.1275761487877357E-3</v>
      </c>
      <c r="AD334" s="226">
        <f t="shared" si="108"/>
        <v>9.4112104957808449E-3</v>
      </c>
      <c r="AE334" s="226">
        <f t="shared" si="109"/>
        <v>2.8567502803492648E-4</v>
      </c>
      <c r="AF334" s="226">
        <f t="shared" si="110"/>
        <v>2.1146589868087881E-3</v>
      </c>
      <c r="AG334" s="226">
        <f t="shared" si="111"/>
        <v>2.7849018429459997E-3</v>
      </c>
      <c r="AH334" s="243">
        <f t="shared" si="112"/>
        <v>2.9445425056396153E-3</v>
      </c>
    </row>
    <row r="335" spans="21:34" x14ac:dyDescent="0.25">
      <c r="U335" s="220">
        <f t="shared" si="113"/>
        <v>17500000</v>
      </c>
      <c r="V335" s="1">
        <v>635372388.33010435</v>
      </c>
      <c r="W335" s="1">
        <v>616310577.62142611</v>
      </c>
      <c r="X335" s="279">
        <v>1.0314363636261863</v>
      </c>
      <c r="Y335" s="279">
        <v>1.302913864973497</v>
      </c>
      <c r="Z335" s="281">
        <v>0.12212874131594931</v>
      </c>
      <c r="AA335" s="282">
        <v>0.12322750229871016</v>
      </c>
      <c r="AB335" s="260">
        <f t="shared" si="106"/>
        <v>-2.7777777777777776E-2</v>
      </c>
      <c r="AC335" s="226">
        <f t="shared" si="107"/>
        <v>4.5637880743949989E-3</v>
      </c>
      <c r="AD335" s="226">
        <f t="shared" si="108"/>
        <v>4.7056052478911996E-3</v>
      </c>
      <c r="AE335" s="226">
        <f t="shared" si="109"/>
        <v>1.4281711437592518E-4</v>
      </c>
      <c r="AF335" s="226">
        <f t="shared" si="110"/>
        <v>1.0573294934046501E-3</v>
      </c>
      <c r="AG335" s="226">
        <f t="shared" si="111"/>
        <v>1.3924717148868552E-3</v>
      </c>
      <c r="AH335" s="243">
        <f t="shared" si="112"/>
        <v>1.4722573990094694E-3</v>
      </c>
    </row>
    <row r="336" spans="21:34" x14ac:dyDescent="0.25">
      <c r="U336" s="220">
        <f t="shared" si="113"/>
        <v>18000000</v>
      </c>
      <c r="V336" s="1">
        <v>632485856.91907358</v>
      </c>
      <c r="W336" s="1">
        <v>613424046.21039581</v>
      </c>
      <c r="X336" s="279">
        <v>1.0312890778959938</v>
      </c>
      <c r="Y336" s="279">
        <v>1.3015377107651267</v>
      </c>
      <c r="Z336" s="281">
        <v>0.12195891697368522</v>
      </c>
      <c r="AA336" s="282">
        <v>0.12304634640479462</v>
      </c>
      <c r="AB336" s="260">
        <f t="shared" si="106"/>
        <v>0</v>
      </c>
      <c r="AC336" s="226">
        <f t="shared" si="107"/>
        <v>0</v>
      </c>
      <c r="AD336" s="226">
        <f t="shared" si="108"/>
        <v>0</v>
      </c>
      <c r="AE336" s="226">
        <f t="shared" si="109"/>
        <v>0</v>
      </c>
      <c r="AF336" s="226">
        <f t="shared" si="110"/>
        <v>0</v>
      </c>
      <c r="AG336" s="226">
        <f t="shared" si="111"/>
        <v>0</v>
      </c>
      <c r="AH336" s="243">
        <f t="shared" si="112"/>
        <v>0</v>
      </c>
    </row>
    <row r="337" spans="21:34" x14ac:dyDescent="0.25">
      <c r="U337" s="220">
        <f t="shared" si="113"/>
        <v>18500000</v>
      </c>
      <c r="V337" s="1">
        <v>629599325.5080452</v>
      </c>
      <c r="W337" s="1">
        <v>610537514.79936695</v>
      </c>
      <c r="X337" s="279">
        <v>1.0311418342236338</v>
      </c>
      <c r="Y337" s="279">
        <v>1.3001615565567577</v>
      </c>
      <c r="Z337" s="281">
        <v>0.12178908754752693</v>
      </c>
      <c r="AA337" s="282">
        <v>0.12286519390669381</v>
      </c>
      <c r="AB337" s="260">
        <f t="shared" si="106"/>
        <v>2.7777777777777776E-2</v>
      </c>
      <c r="AC337" s="226">
        <f t="shared" si="107"/>
        <v>-4.5637880743912293E-3</v>
      </c>
      <c r="AD337" s="226">
        <f t="shared" si="108"/>
        <v>-4.7056052478888681E-3</v>
      </c>
      <c r="AE337" s="226">
        <f t="shared" si="109"/>
        <v>-1.4277633256852375E-4</v>
      </c>
      <c r="AF337" s="226">
        <f t="shared" si="110"/>
        <v>-1.0573294934036264E-3</v>
      </c>
      <c r="AG337" s="226">
        <f t="shared" si="111"/>
        <v>-1.3925134001881081E-3</v>
      </c>
      <c r="AH337" s="243">
        <f t="shared" si="112"/>
        <v>-1.4722298011584178E-3</v>
      </c>
    </row>
    <row r="338" spans="21:34" x14ac:dyDescent="0.25">
      <c r="U338" s="220">
        <f t="shared" si="113"/>
        <v>19000000</v>
      </c>
      <c r="V338" s="1">
        <v>626712794.09701443</v>
      </c>
      <c r="W338" s="1">
        <v>607650983.38833666</v>
      </c>
      <c r="X338" s="279">
        <v>1.0309946325910948</v>
      </c>
      <c r="Y338" s="279">
        <v>1.2987854023483874</v>
      </c>
      <c r="Z338" s="281">
        <v>0.12161925302545495</v>
      </c>
      <c r="AA338" s="282">
        <v>0.1226840447908899</v>
      </c>
      <c r="AB338" s="260">
        <f t="shared" si="106"/>
        <v>5.5555555555555552E-2</v>
      </c>
      <c r="AC338" s="226">
        <f t="shared" si="107"/>
        <v>-9.1275761487862282E-3</v>
      </c>
      <c r="AD338" s="226">
        <f t="shared" si="108"/>
        <v>-9.4112104957800678E-3</v>
      </c>
      <c r="AE338" s="226">
        <f t="shared" si="109"/>
        <v>-2.8551190079477065E-4</v>
      </c>
      <c r="AF338" s="226">
        <f t="shared" si="110"/>
        <v>-2.1146589868082763E-3</v>
      </c>
      <c r="AG338" s="226">
        <f t="shared" si="111"/>
        <v>-2.7850685842311196E-3</v>
      </c>
      <c r="AH338" s="243">
        <f t="shared" si="112"/>
        <v>-2.9444321143256369E-3</v>
      </c>
    </row>
    <row r="339" spans="21:34" x14ac:dyDescent="0.25">
      <c r="U339" s="220">
        <f t="shared" si="113"/>
        <v>19500000</v>
      </c>
      <c r="V339" s="1">
        <v>623826262.68598509</v>
      </c>
      <c r="W339" s="1">
        <v>604764451.97730637</v>
      </c>
      <c r="X339" s="279">
        <v>1.0308474729803747</v>
      </c>
      <c r="Y339" s="279">
        <v>1.2974092481400179</v>
      </c>
      <c r="Z339" s="281">
        <v>0.12144941339543935</v>
      </c>
      <c r="AA339" s="282">
        <v>0.12250289904385459</v>
      </c>
      <c r="AB339" s="260">
        <f t="shared" si="106"/>
        <v>8.3333333333333329E-2</v>
      </c>
      <c r="AC339" s="226">
        <f t="shared" si="107"/>
        <v>-1.3691364223178964E-2</v>
      </c>
      <c r="AD339" s="226">
        <f t="shared" si="108"/>
        <v>-1.4116815743671268E-2</v>
      </c>
      <c r="AE339" s="226">
        <f t="shared" si="109"/>
        <v>-4.2820672213460703E-4</v>
      </c>
      <c r="AF339" s="226">
        <f t="shared" si="110"/>
        <v>-3.1719884802122438E-3</v>
      </c>
      <c r="AG339" s="226">
        <f t="shared" si="111"/>
        <v>-4.1776656507682558E-3</v>
      </c>
      <c r="AH339" s="243">
        <f t="shared" si="112"/>
        <v>-4.416607049446325E-3</v>
      </c>
    </row>
    <row r="340" spans="21:34" x14ac:dyDescent="0.25">
      <c r="U340" s="220">
        <f t="shared" si="113"/>
        <v>20000000</v>
      </c>
      <c r="V340" s="1">
        <v>620939731.2749548</v>
      </c>
      <c r="W340" s="1">
        <v>601877920.56627655</v>
      </c>
      <c r="X340" s="279">
        <v>1.0307003553734819</v>
      </c>
      <c r="Y340" s="279">
        <v>1.2960330939316478</v>
      </c>
      <c r="Z340" s="281">
        <v>0.12127956864544021</v>
      </c>
      <c r="AA340" s="282">
        <v>0.12232175665204981</v>
      </c>
      <c r="AB340" s="260">
        <f t="shared" si="106"/>
        <v>0.1111111111111111</v>
      </c>
      <c r="AC340" s="226">
        <f t="shared" si="107"/>
        <v>-1.8255152297573209E-2</v>
      </c>
      <c r="AD340" s="226">
        <f t="shared" si="108"/>
        <v>-1.882242099156169E-2</v>
      </c>
      <c r="AE340" s="226">
        <f t="shared" si="109"/>
        <v>-5.7086081403377969E-4</v>
      </c>
      <c r="AF340" s="226">
        <f t="shared" si="110"/>
        <v>-4.2293179736167235E-3</v>
      </c>
      <c r="AG340" s="226">
        <f t="shared" si="111"/>
        <v>-5.5703046985206683E-3</v>
      </c>
      <c r="AH340" s="243">
        <f t="shared" si="112"/>
        <v>-5.888754716544548E-3</v>
      </c>
    </row>
    <row r="341" spans="21:34" x14ac:dyDescent="0.25">
      <c r="U341" s="220">
        <f t="shared" si="113"/>
        <v>20500000</v>
      </c>
      <c r="V341" s="1">
        <v>618053199.8639245</v>
      </c>
      <c r="W341" s="1">
        <v>598991389.15524626</v>
      </c>
      <c r="X341" s="279">
        <v>1.0305532797524359</v>
      </c>
      <c r="Y341" s="279">
        <v>1.2946569397232779</v>
      </c>
      <c r="Z341" s="281">
        <v>0.12110971876340737</v>
      </c>
      <c r="AA341" s="282">
        <v>0.12214061760192751</v>
      </c>
      <c r="AB341" s="260">
        <f t="shared" si="106"/>
        <v>0.1388888888888889</v>
      </c>
      <c r="AC341" s="226">
        <f t="shared" si="107"/>
        <v>-2.2818940371967453E-2</v>
      </c>
      <c r="AD341" s="226">
        <f t="shared" si="108"/>
        <v>-2.3528026239452892E-2</v>
      </c>
      <c r="AE341" s="226">
        <f t="shared" si="109"/>
        <v>-7.1347419392727026E-4</v>
      </c>
      <c r="AF341" s="226">
        <f t="shared" si="110"/>
        <v>-5.2866474670210323E-3</v>
      </c>
      <c r="AG341" s="226">
        <f t="shared" si="111"/>
        <v>-6.9629858262932557E-3</v>
      </c>
      <c r="AH341" s="243">
        <f t="shared" si="112"/>
        <v>-7.3608752257255817E-3</v>
      </c>
    </row>
    <row r="342" spans="21:34" x14ac:dyDescent="0.25">
      <c r="U342" s="220">
        <f t="shared" si="113"/>
        <v>21000000</v>
      </c>
      <c r="V342" s="1">
        <v>615166668.45289564</v>
      </c>
      <c r="W342" s="1">
        <v>596104857.74421787</v>
      </c>
      <c r="X342" s="279">
        <v>1.0304062460992656</v>
      </c>
      <c r="Y342" s="279">
        <v>1.2932807855149084</v>
      </c>
      <c r="Z342" s="281">
        <v>0.12093986373728227</v>
      </c>
      <c r="AA342" s="282">
        <v>0.121959481879929</v>
      </c>
      <c r="AB342" s="260">
        <f t="shared" si="106"/>
        <v>0.16666666666666666</v>
      </c>
      <c r="AC342" s="226">
        <f t="shared" si="107"/>
        <v>-2.7382728446359438E-2</v>
      </c>
      <c r="AD342" s="226">
        <f t="shared" si="108"/>
        <v>-2.8233631487340982E-2</v>
      </c>
      <c r="AE342" s="226">
        <f t="shared" si="109"/>
        <v>-8.5604687924101719E-4</v>
      </c>
      <c r="AF342" s="226">
        <f t="shared" si="110"/>
        <v>-6.3439769604250002E-3</v>
      </c>
      <c r="AG342" s="226">
        <f t="shared" si="111"/>
        <v>-8.3557091329601058E-3</v>
      </c>
      <c r="AH342" s="243">
        <f t="shared" si="112"/>
        <v>-8.8329686871813154E-3</v>
      </c>
    </row>
    <row r="343" spans="21:34" x14ac:dyDescent="0.25">
      <c r="U343" s="220">
        <f t="shared" si="113"/>
        <v>21500000</v>
      </c>
      <c r="V343" s="1">
        <v>612280137.0418663</v>
      </c>
      <c r="W343" s="1">
        <v>593218326.33318806</v>
      </c>
      <c r="X343" s="279">
        <v>1.0302592543960096</v>
      </c>
      <c r="Y343" s="279">
        <v>1.2919046313065388</v>
      </c>
      <c r="Z343" s="281">
        <v>0.1207700035549939</v>
      </c>
      <c r="AA343" s="282">
        <v>0.12177834947248511</v>
      </c>
      <c r="AB343" s="260">
        <f t="shared" si="106"/>
        <v>0.19444444444444445</v>
      </c>
      <c r="AC343" s="226">
        <f t="shared" si="107"/>
        <v>-3.1946516520752172E-2</v>
      </c>
      <c r="AD343" s="226">
        <f t="shared" si="108"/>
        <v>-3.2939236735231407E-2</v>
      </c>
      <c r="AE343" s="226">
        <f t="shared" si="109"/>
        <v>-9.9857888739127024E-4</v>
      </c>
      <c r="AF343" s="226">
        <f t="shared" si="110"/>
        <v>-7.4013064538291382E-3</v>
      </c>
      <c r="AG343" s="226">
        <f t="shared" si="111"/>
        <v>-9.7484747174972578E-3</v>
      </c>
      <c r="AH343" s="243">
        <f t="shared" si="112"/>
        <v>-1.0305035211188458E-2</v>
      </c>
    </row>
    <row r="344" spans="21:34" x14ac:dyDescent="0.25">
      <c r="U344" s="220">
        <f t="shared" si="113"/>
        <v>22000000</v>
      </c>
      <c r="V344" s="1">
        <v>609393605.63083601</v>
      </c>
      <c r="W344" s="1">
        <v>590331794.92215824</v>
      </c>
      <c r="X344" s="279">
        <v>1.0301123046247185</v>
      </c>
      <c r="Y344" s="279">
        <v>1.2905284770981689</v>
      </c>
      <c r="Z344" s="281">
        <v>0.12060013820446258</v>
      </c>
      <c r="AA344" s="282">
        <v>0.12159722036601739</v>
      </c>
      <c r="AB344" s="260">
        <f t="shared" si="106"/>
        <v>0.22222222222222221</v>
      </c>
      <c r="AC344" s="226">
        <f t="shared" si="107"/>
        <v>-3.6510304595146419E-2</v>
      </c>
      <c r="AD344" s="226">
        <f t="shared" si="108"/>
        <v>-3.7644841983121825E-2</v>
      </c>
      <c r="AE344" s="226">
        <f t="shared" si="109"/>
        <v>-1.1410702357830831E-3</v>
      </c>
      <c r="AF344" s="226">
        <f t="shared" si="110"/>
        <v>-8.458635947233447E-3</v>
      </c>
      <c r="AG344" s="226">
        <f t="shared" si="111"/>
        <v>-1.114128267895176E-2</v>
      </c>
      <c r="AH344" s="243">
        <f t="shared" si="112"/>
        <v>-1.1777074908099506E-2</v>
      </c>
    </row>
    <row r="345" spans="21:34" x14ac:dyDescent="0.25">
      <c r="U345" s="220">
        <f t="shared" si="113"/>
        <v>22500000</v>
      </c>
      <c r="V345" s="1">
        <v>606507074.21980619</v>
      </c>
      <c r="W345" s="1">
        <v>587445263.51112795</v>
      </c>
      <c r="X345" s="279">
        <v>1.0299653967674509</v>
      </c>
      <c r="Y345" s="279">
        <v>1.289152322889799</v>
      </c>
      <c r="Z345" s="281">
        <v>0.12043026767359888</v>
      </c>
      <c r="AA345" s="282">
        <v>0.12141609454693558</v>
      </c>
      <c r="AB345" s="260">
        <f t="shared" si="106"/>
        <v>0.25</v>
      </c>
      <c r="AC345" s="226">
        <f t="shared" si="107"/>
        <v>-4.1074092669539909E-2</v>
      </c>
      <c r="AD345" s="226">
        <f t="shared" si="108"/>
        <v>-4.2350447231013028E-2</v>
      </c>
      <c r="AE345" s="226">
        <f t="shared" si="109"/>
        <v>-1.2835209418133274E-3</v>
      </c>
      <c r="AF345" s="226">
        <f t="shared" si="110"/>
        <v>-9.5159654406377549E-3</v>
      </c>
      <c r="AG345" s="226">
        <f t="shared" si="111"/>
        <v>-1.2534133116450769E-2</v>
      </c>
      <c r="AH345" s="243">
        <f t="shared" si="112"/>
        <v>-1.3249087888362598E-2</v>
      </c>
    </row>
    <row r="346" spans="21:34" x14ac:dyDescent="0.25">
      <c r="U346" s="220">
        <f t="shared" si="113"/>
        <v>23000000</v>
      </c>
      <c r="V346" s="1">
        <v>603620542.80877686</v>
      </c>
      <c r="W346" s="1">
        <v>584558732.10009909</v>
      </c>
      <c r="X346" s="279">
        <v>1.0298185308062782</v>
      </c>
      <c r="Y346" s="279">
        <v>1.2877761686814295</v>
      </c>
      <c r="Z346" s="281">
        <v>0.12026039195030291</v>
      </c>
      <c r="AA346" s="282">
        <v>0.12123497200164124</v>
      </c>
      <c r="AB346" s="260">
        <f t="shared" si="106"/>
        <v>0.27777777777777779</v>
      </c>
      <c r="AC346" s="226">
        <f t="shared" si="107"/>
        <v>-4.5637880743932643E-2</v>
      </c>
      <c r="AD346" s="226">
        <f t="shared" si="108"/>
        <v>-4.7056052478901891E-2</v>
      </c>
      <c r="AE346" s="226">
        <f t="shared" si="109"/>
        <v>-1.4259310228668185E-3</v>
      </c>
      <c r="AF346" s="226">
        <f t="shared" si="110"/>
        <v>-1.0573294934041723E-2</v>
      </c>
      <c r="AG346" s="226">
        <f t="shared" si="111"/>
        <v>-1.392702612920701E-2</v>
      </c>
      <c r="AH346" s="243">
        <f t="shared" si="112"/>
        <v>-1.4721074262492645E-2</v>
      </c>
    </row>
    <row r="347" spans="21:34" x14ac:dyDescent="0.25">
      <c r="U347" s="220">
        <f t="shared" si="113"/>
        <v>23500000</v>
      </c>
      <c r="V347" s="1">
        <v>600734011.39774656</v>
      </c>
      <c r="W347" s="1">
        <v>581672200.68906832</v>
      </c>
      <c r="X347" s="279">
        <v>1.0296717067232792</v>
      </c>
      <c r="Y347" s="279">
        <v>1.2864000144730594</v>
      </c>
      <c r="Z347" s="281">
        <v>0.1200905110224646</v>
      </c>
      <c r="AA347" s="282">
        <v>0.12105385271652347</v>
      </c>
      <c r="AB347" s="260">
        <f t="shared" si="106"/>
        <v>0.30555555555555558</v>
      </c>
      <c r="AC347" s="226">
        <f t="shared" si="107"/>
        <v>-5.020166881832689E-2</v>
      </c>
      <c r="AD347" s="226">
        <f t="shared" si="108"/>
        <v>-5.1761657726793871E-2</v>
      </c>
      <c r="AE347" s="226">
        <f t="shared" si="109"/>
        <v>-1.568300496320835E-3</v>
      </c>
      <c r="AF347" s="226">
        <f t="shared" si="110"/>
        <v>-1.1630624427446203E-2</v>
      </c>
      <c r="AG347" s="226">
        <f t="shared" si="111"/>
        <v>-1.531996181651696E-2</v>
      </c>
      <c r="AH347" s="243">
        <f t="shared" si="112"/>
        <v>-1.6193034141105608E-2</v>
      </c>
    </row>
    <row r="348" spans="21:34" x14ac:dyDescent="0.25">
      <c r="U348" s="220">
        <f t="shared" si="113"/>
        <v>24000000</v>
      </c>
      <c r="V348" s="1">
        <v>597847479.9867177</v>
      </c>
      <c r="W348" s="1">
        <v>578785669.27803946</v>
      </c>
      <c r="X348" s="279">
        <v>1.029524924500546</v>
      </c>
      <c r="Y348" s="279">
        <v>1.2850238602646902</v>
      </c>
      <c r="Z348" s="281">
        <v>0.11992062487796407</v>
      </c>
      <c r="AA348" s="282">
        <v>0.12087273667796272</v>
      </c>
      <c r="AB348" s="260">
        <f t="shared" si="106"/>
        <v>0.33333333333333331</v>
      </c>
      <c r="AC348" s="226">
        <f t="shared" si="107"/>
        <v>-5.4765456892718875E-2</v>
      </c>
      <c r="AD348" s="226">
        <f t="shared" si="108"/>
        <v>-5.6467262974682741E-2</v>
      </c>
      <c r="AE348" s="226">
        <f t="shared" si="109"/>
        <v>-1.7106293795401684E-3</v>
      </c>
      <c r="AF348" s="226">
        <f t="shared" si="110"/>
        <v>-1.268795392085E-2</v>
      </c>
      <c r="AG348" s="226">
        <f t="shared" si="111"/>
        <v>-1.6712940277757205E-2</v>
      </c>
      <c r="AH348" s="243">
        <f t="shared" si="112"/>
        <v>-1.766496763488783E-2</v>
      </c>
    </row>
    <row r="349" spans="21:34" x14ac:dyDescent="0.25">
      <c r="U349" s="220">
        <f t="shared" si="113"/>
        <v>24500000</v>
      </c>
      <c r="V349" s="1">
        <v>594960948.57568741</v>
      </c>
      <c r="W349" s="1">
        <v>575899137.86700869</v>
      </c>
      <c r="X349" s="279">
        <v>1.0293781841201781</v>
      </c>
      <c r="Y349" s="279">
        <v>1.2836477060563201</v>
      </c>
      <c r="Z349" s="281">
        <v>0.11975073350467147</v>
      </c>
      <c r="AA349" s="282">
        <v>0.12069162387232857</v>
      </c>
      <c r="AB349" s="260">
        <f t="shared" si="106"/>
        <v>0.3611111111111111</v>
      </c>
      <c r="AC349" s="226">
        <f t="shared" si="107"/>
        <v>-5.9329244967113115E-2</v>
      </c>
      <c r="AD349" s="226">
        <f t="shared" si="108"/>
        <v>-6.1172868222574714E-2</v>
      </c>
      <c r="AE349" s="226">
        <f t="shared" si="109"/>
        <v>-1.8529176898820735E-3</v>
      </c>
      <c r="AF349" s="226">
        <f t="shared" si="110"/>
        <v>-1.3745283414254478E-2</v>
      </c>
      <c r="AG349" s="226">
        <f t="shared" si="111"/>
        <v>-1.8105961612386253E-2</v>
      </c>
      <c r="AH349" s="243">
        <f t="shared" si="112"/>
        <v>-1.9136874854614076E-2</v>
      </c>
    </row>
    <row r="350" spans="21:34" x14ac:dyDescent="0.25">
      <c r="U350" s="220">
        <f t="shared" si="113"/>
        <v>25000000</v>
      </c>
      <c r="V350" s="1">
        <v>592074417.16465807</v>
      </c>
      <c r="W350" s="1">
        <v>573012606.45597982</v>
      </c>
      <c r="X350" s="279">
        <v>1.029231485564287</v>
      </c>
      <c r="Y350" s="279">
        <v>1.2822715518479506</v>
      </c>
      <c r="Z350" s="281">
        <v>0.11958083689044696</v>
      </c>
      <c r="AA350" s="282">
        <v>0.12051051428598059</v>
      </c>
      <c r="AB350" s="260">
        <f t="shared" si="106"/>
        <v>0.3888888888888889</v>
      </c>
      <c r="AC350" s="226">
        <f t="shared" si="107"/>
        <v>-6.3893033041505856E-2</v>
      </c>
      <c r="AD350" s="226">
        <f t="shared" si="108"/>
        <v>-6.5878473470463592E-2</v>
      </c>
      <c r="AE350" s="226">
        <f t="shared" si="109"/>
        <v>-1.9951654446923946E-3</v>
      </c>
      <c r="AF350" s="226">
        <f t="shared" si="110"/>
        <v>-1.4802612907658446E-2</v>
      </c>
      <c r="AG350" s="226">
        <f t="shared" si="111"/>
        <v>-1.9499025919944558E-2</v>
      </c>
      <c r="AH350" s="243">
        <f t="shared" si="112"/>
        <v>-2.0608755911140315E-2</v>
      </c>
    </row>
    <row r="351" spans="21:34" x14ac:dyDescent="0.25">
      <c r="U351" s="220">
        <f t="shared" si="113"/>
        <v>25500000</v>
      </c>
      <c r="V351" s="1">
        <v>589187885.75362778</v>
      </c>
      <c r="W351" s="1">
        <v>570126075.04494953</v>
      </c>
      <c r="X351" s="279">
        <v>1.0290848288149934</v>
      </c>
      <c r="Y351" s="279">
        <v>1.2808953976395805</v>
      </c>
      <c r="Z351" s="281">
        <v>0.11941093502314004</v>
      </c>
      <c r="AA351" s="282">
        <v>0.12032940790526792</v>
      </c>
      <c r="AB351" s="260">
        <f t="shared" si="106"/>
        <v>0.41666666666666669</v>
      </c>
      <c r="AC351" s="226">
        <f t="shared" si="107"/>
        <v>-6.8456821115900096E-2</v>
      </c>
      <c r="AD351" s="226">
        <f t="shared" si="108"/>
        <v>-7.0584078718354787E-2</v>
      </c>
      <c r="AE351" s="226">
        <f t="shared" si="109"/>
        <v>-2.1373726613079331E-3</v>
      </c>
      <c r="AF351" s="226">
        <f t="shared" si="110"/>
        <v>-1.5859942401062928E-2</v>
      </c>
      <c r="AG351" s="226">
        <f t="shared" si="111"/>
        <v>-2.0892133300059946E-2</v>
      </c>
      <c r="AH351" s="243">
        <f t="shared" si="112"/>
        <v>-2.2080610915407334E-2</v>
      </c>
    </row>
    <row r="352" spans="21:34" x14ac:dyDescent="0.25">
      <c r="U352" s="220">
        <f t="shared" si="113"/>
        <v>26000000</v>
      </c>
      <c r="V352" s="1">
        <v>586301354.34259844</v>
      </c>
      <c r="W352" s="1">
        <v>567239543.63392019</v>
      </c>
      <c r="X352" s="279">
        <v>1.028938213854429</v>
      </c>
      <c r="Y352" s="279">
        <v>1.2795192434312108</v>
      </c>
      <c r="Z352" s="281">
        <v>0.11924102789059066</v>
      </c>
      <c r="AA352" s="282">
        <v>0.12014830471652926</v>
      </c>
      <c r="AB352" s="260">
        <f t="shared" si="106"/>
        <v>0.44444444444444442</v>
      </c>
      <c r="AC352" s="226">
        <f t="shared" si="107"/>
        <v>-7.3020609190292837E-2</v>
      </c>
      <c r="AD352" s="226">
        <f t="shared" si="108"/>
        <v>-7.5289683966244428E-2</v>
      </c>
      <c r="AE352" s="226">
        <f t="shared" si="109"/>
        <v>-2.2795393570549396E-3</v>
      </c>
      <c r="AF352" s="226">
        <f t="shared" si="110"/>
        <v>-1.6917271894467064E-2</v>
      </c>
      <c r="AG352" s="226">
        <f t="shared" si="111"/>
        <v>-2.2285283852438543E-2</v>
      </c>
      <c r="AH352" s="243">
        <f t="shared" si="112"/>
        <v>-2.3552439978440729E-2</v>
      </c>
    </row>
    <row r="353" spans="21:34" x14ac:dyDescent="0.25">
      <c r="U353" s="220">
        <f t="shared" si="113"/>
        <v>26500000</v>
      </c>
      <c r="V353" s="1">
        <v>583414822.93156862</v>
      </c>
      <c r="W353" s="1">
        <v>564353012.22289038</v>
      </c>
      <c r="X353" s="279">
        <v>1.0287916406647348</v>
      </c>
      <c r="Y353" s="279">
        <v>1.2781430892228411</v>
      </c>
      <c r="Z353" s="281">
        <v>0.11907111548062921</v>
      </c>
      <c r="AA353" s="282">
        <v>0.11996720470609357</v>
      </c>
      <c r="AB353" s="260">
        <f t="shared" si="106"/>
        <v>0.47222222222222221</v>
      </c>
      <c r="AC353" s="226">
        <f t="shared" si="107"/>
        <v>-7.7584397264686328E-2</v>
      </c>
      <c r="AD353" s="226">
        <f t="shared" si="108"/>
        <v>-7.999528921413486E-2</v>
      </c>
      <c r="AE353" s="226">
        <f t="shared" si="109"/>
        <v>-2.4216655492504072E-3</v>
      </c>
      <c r="AF353" s="226">
        <f t="shared" si="110"/>
        <v>-1.7974601387871204E-2</v>
      </c>
      <c r="AG353" s="226">
        <f t="shared" si="111"/>
        <v>-2.3678477676864759E-2</v>
      </c>
      <c r="AH353" s="243">
        <f t="shared" si="112"/>
        <v>-2.5024243211345505E-2</v>
      </c>
    </row>
    <row r="354" spans="21:34" x14ac:dyDescent="0.25">
      <c r="U354" s="220">
        <f t="shared" si="113"/>
        <v>27000000</v>
      </c>
      <c r="V354" s="1">
        <v>580528291.52053881</v>
      </c>
      <c r="W354" s="1">
        <v>561466480.81186056</v>
      </c>
      <c r="X354" s="279">
        <v>1.0286451092280631</v>
      </c>
      <c r="Y354" s="279">
        <v>1.2767669350144712</v>
      </c>
      <c r="Z354" s="281">
        <v>0.118901197781075</v>
      </c>
      <c r="AA354" s="282">
        <v>0.11978610786027866</v>
      </c>
      <c r="AB354" s="260">
        <f t="shared" si="106"/>
        <v>0.5</v>
      </c>
      <c r="AC354" s="226">
        <f t="shared" si="107"/>
        <v>-8.2148185339079818E-2</v>
      </c>
      <c r="AD354" s="226">
        <f t="shared" si="108"/>
        <v>-8.4700894462025278E-2</v>
      </c>
      <c r="AE354" s="226">
        <f t="shared" si="109"/>
        <v>-2.5637512552007784E-3</v>
      </c>
      <c r="AF354" s="226">
        <f t="shared" si="110"/>
        <v>-1.903193088127551E-2</v>
      </c>
      <c r="AG354" s="226">
        <f t="shared" si="111"/>
        <v>-2.5071714873214041E-2</v>
      </c>
      <c r="AH354" s="243">
        <f t="shared" si="112"/>
        <v>-2.6496020725316885E-2</v>
      </c>
    </row>
    <row r="355" spans="21:34" x14ac:dyDescent="0.25">
      <c r="U355" s="220">
        <f t="shared" si="113"/>
        <v>27500000</v>
      </c>
      <c r="V355" s="1">
        <v>577641760.10950899</v>
      </c>
      <c r="W355" s="1">
        <v>558579949.40083075</v>
      </c>
      <c r="X355" s="279">
        <v>1.0284986195265753</v>
      </c>
      <c r="Y355" s="279">
        <v>1.2753907808061016</v>
      </c>
      <c r="Z355" s="281">
        <v>0.11873127477973777</v>
      </c>
      <c r="AA355" s="282">
        <v>0.11960501416539304</v>
      </c>
      <c r="AB355" s="260">
        <f t="shared" si="106"/>
        <v>0.52777777777777779</v>
      </c>
      <c r="AC355" s="226">
        <f t="shared" si="107"/>
        <v>-8.6711973413473309E-2</v>
      </c>
      <c r="AD355" s="226">
        <f t="shared" si="108"/>
        <v>-8.9406499709915696E-2</v>
      </c>
      <c r="AE355" s="226">
        <f t="shared" si="109"/>
        <v>-2.7057964922032377E-3</v>
      </c>
      <c r="AF355" s="226">
        <f t="shared" si="110"/>
        <v>-2.008926037467965E-2</v>
      </c>
      <c r="AG355" s="226">
        <f t="shared" si="111"/>
        <v>-2.6464995541440113E-2</v>
      </c>
      <c r="AH355" s="243">
        <f t="shared" si="112"/>
        <v>-2.7967772631625889E-2</v>
      </c>
    </row>
    <row r="356" spans="21:34" x14ac:dyDescent="0.25">
      <c r="U356" s="220">
        <f t="shared" si="113"/>
        <v>28000000</v>
      </c>
      <c r="V356" s="1">
        <v>574755228.69847965</v>
      </c>
      <c r="W356" s="1">
        <v>555693417.98980141</v>
      </c>
      <c r="X356" s="279">
        <v>1.0283521715424431</v>
      </c>
      <c r="Y356" s="279">
        <v>1.2740146265977319</v>
      </c>
      <c r="Z356" s="281">
        <v>0.11856134646441729</v>
      </c>
      <c r="AA356" s="282">
        <v>0.11942392360773457</v>
      </c>
      <c r="AB356" s="260">
        <f t="shared" si="106"/>
        <v>0.55555555555555558</v>
      </c>
      <c r="AC356" s="226">
        <f t="shared" si="107"/>
        <v>-9.127576148786605E-2</v>
      </c>
      <c r="AD356" s="226">
        <f t="shared" si="108"/>
        <v>-9.4112104957805337E-2</v>
      </c>
      <c r="AE356" s="226">
        <f t="shared" si="109"/>
        <v>-2.8478012775452807E-3</v>
      </c>
      <c r="AF356" s="226">
        <f t="shared" si="110"/>
        <v>-2.1146589868083789E-2</v>
      </c>
      <c r="AG356" s="226">
        <f t="shared" si="111"/>
        <v>-2.7858319781578642E-2</v>
      </c>
      <c r="AH356" s="243">
        <f t="shared" si="112"/>
        <v>-2.9439499041630155E-2</v>
      </c>
    </row>
    <row r="357" spans="21:34" x14ac:dyDescent="0.25">
      <c r="U357" s="220">
        <f t="shared" si="113"/>
        <v>28500000</v>
      </c>
      <c r="V357" s="1">
        <v>571868697.28744888</v>
      </c>
      <c r="W357" s="1">
        <v>552806886.57877064</v>
      </c>
      <c r="X357" s="279">
        <v>1.0282057652578489</v>
      </c>
      <c r="Y357" s="279">
        <v>1.2726384723893618</v>
      </c>
      <c r="Z357" s="281">
        <v>0.11839141282290289</v>
      </c>
      <c r="AA357" s="282">
        <v>0.11924283617359088</v>
      </c>
      <c r="AB357" s="260">
        <f t="shared" si="106"/>
        <v>0.58333333333333337</v>
      </c>
      <c r="AC357" s="226">
        <f t="shared" si="107"/>
        <v>-9.5839549562261039E-2</v>
      </c>
      <c r="AD357" s="226">
        <f t="shared" si="108"/>
        <v>-9.8817710205697323E-2</v>
      </c>
      <c r="AE357" s="226">
        <f t="shared" si="109"/>
        <v>-2.9897656285038533E-3</v>
      </c>
      <c r="AF357" s="226">
        <f t="shared" si="110"/>
        <v>-2.2203919361488265E-2</v>
      </c>
      <c r="AG357" s="226">
        <f t="shared" si="111"/>
        <v>-2.9251687693750857E-2</v>
      </c>
      <c r="AH357" s="243">
        <f t="shared" si="112"/>
        <v>-3.0911200066770332E-2</v>
      </c>
    </row>
    <row r="358" spans="21:34" x14ac:dyDescent="0.25">
      <c r="U358" s="220">
        <f t="shared" si="113"/>
        <v>29000000</v>
      </c>
      <c r="V358" s="1">
        <v>568982165.87641954</v>
      </c>
      <c r="W358" s="1">
        <v>549920355.16774082</v>
      </c>
      <c r="X358" s="279">
        <v>1.028059400654985</v>
      </c>
      <c r="Y358" s="279">
        <v>1.2712623181809921</v>
      </c>
      <c r="Z358" s="281">
        <v>0.11822147384297454</v>
      </c>
      <c r="AA358" s="282">
        <v>0.11906175184923851</v>
      </c>
      <c r="AB358" s="260">
        <f t="shared" si="106"/>
        <v>0.61111111111111116</v>
      </c>
      <c r="AC358" s="226">
        <f t="shared" si="107"/>
        <v>-0.10040333763665378</v>
      </c>
      <c r="AD358" s="226">
        <f t="shared" si="108"/>
        <v>-0.10352331545358774</v>
      </c>
      <c r="AE358" s="226">
        <f t="shared" si="109"/>
        <v>-3.1316895623464268E-3</v>
      </c>
      <c r="AF358" s="226">
        <f t="shared" si="110"/>
        <v>-2.3261248854892405E-2</v>
      </c>
      <c r="AG358" s="226">
        <f t="shared" si="111"/>
        <v>-3.0645099378154454E-2</v>
      </c>
      <c r="AH358" s="243">
        <f t="shared" si="112"/>
        <v>-3.2382875818577295E-2</v>
      </c>
    </row>
    <row r="359" spans="21:34" x14ac:dyDescent="0.25">
      <c r="U359" s="220">
        <f t="shared" si="113"/>
        <v>29500000</v>
      </c>
      <c r="V359" s="1">
        <v>566095634.46539021</v>
      </c>
      <c r="W359" s="1">
        <v>547033823.75671101</v>
      </c>
      <c r="X359" s="279">
        <v>1.0279130777160543</v>
      </c>
      <c r="Y359" s="279">
        <v>1.2698861639726224</v>
      </c>
      <c r="Z359" s="281">
        <v>0.11805152951240072</v>
      </c>
      <c r="AA359" s="282">
        <v>0.11888067062094532</v>
      </c>
      <c r="AB359" s="260">
        <f t="shared" si="106"/>
        <v>0.63888888888888884</v>
      </c>
      <c r="AC359" s="226">
        <f t="shared" si="107"/>
        <v>-0.10496712571104652</v>
      </c>
      <c r="AD359" s="226">
        <f t="shared" si="108"/>
        <v>-0.10822892070147816</v>
      </c>
      <c r="AE359" s="226">
        <f t="shared" si="109"/>
        <v>-3.2735730963301393E-3</v>
      </c>
      <c r="AF359" s="226">
        <f t="shared" si="110"/>
        <v>-2.4318578348296545E-2</v>
      </c>
      <c r="AG359" s="226">
        <f t="shared" si="111"/>
        <v>-3.2038554935081807E-2</v>
      </c>
      <c r="AH359" s="243">
        <f t="shared" si="112"/>
        <v>-3.3854526408652302E-2</v>
      </c>
    </row>
    <row r="360" spans="21:34" x14ac:dyDescent="0.25">
      <c r="U360" s="220">
        <f t="shared" si="113"/>
        <v>30000000</v>
      </c>
      <c r="V360" s="1">
        <v>563209103.05435991</v>
      </c>
      <c r="W360" s="1">
        <v>544147292.34568119</v>
      </c>
      <c r="X360" s="279">
        <v>1.0277667964232682</v>
      </c>
      <c r="Y360" s="279">
        <v>1.2685100097642525</v>
      </c>
      <c r="Z360" s="281">
        <v>0.11788157981894143</v>
      </c>
      <c r="AA360" s="282">
        <v>0.11869959247496764</v>
      </c>
      <c r="AB360" s="260">
        <f t="shared" si="106"/>
        <v>0.66666666666666663</v>
      </c>
      <c r="AC360" s="226">
        <f t="shared" si="107"/>
        <v>-0.10953091378544076</v>
      </c>
      <c r="AD360" s="226">
        <f t="shared" si="108"/>
        <v>-0.11293452594936859</v>
      </c>
      <c r="AE360" s="226">
        <f t="shared" si="109"/>
        <v>-3.4154162477039456E-3</v>
      </c>
      <c r="AF360" s="226">
        <f t="shared" si="110"/>
        <v>-2.5375907841700851E-2</v>
      </c>
      <c r="AG360" s="226">
        <f t="shared" si="111"/>
        <v>-3.3432054464894473E-2</v>
      </c>
      <c r="AH360" s="243">
        <f t="shared" si="112"/>
        <v>-3.5326151948690439E-2</v>
      </c>
    </row>
    <row r="361" spans="21:34" x14ac:dyDescent="0.25">
      <c r="U361" s="220">
        <f t="shared" si="113"/>
        <v>30500000</v>
      </c>
      <c r="V361" s="1">
        <v>560322571.6433301</v>
      </c>
      <c r="W361" s="1">
        <v>541260760.93465137</v>
      </c>
      <c r="X361" s="279">
        <v>1.0276205567588508</v>
      </c>
      <c r="Y361" s="279">
        <v>1.2671338555558826</v>
      </c>
      <c r="Z361" s="281">
        <v>0.11771162475034558</v>
      </c>
      <c r="AA361" s="282">
        <v>0.11851851739755159</v>
      </c>
      <c r="AB361" s="260">
        <f t="shared" ref="AB361:AB380" si="114">(U361-U$329)/U$329</f>
        <v>0.69444444444444442</v>
      </c>
      <c r="AC361" s="226">
        <f t="shared" ref="AC361:AC380" si="115">(V361-V$329)/V$329</f>
        <v>-0.11409470185983425</v>
      </c>
      <c r="AD361" s="226">
        <f t="shared" ref="AD361:AD380" si="116">(W361-W$329)/W$329</f>
        <v>-0.11764013119725901</v>
      </c>
      <c r="AE361" s="226">
        <f t="shared" ref="AE361:AE380" si="117">(X361-X$329)/X$329</f>
        <v>-3.5572190337043131E-3</v>
      </c>
      <c r="AF361" s="226">
        <f t="shared" ref="AF361:AF380" si="118">(Y361-Y$329)/Y$329</f>
        <v>-2.6433237335105161E-2</v>
      </c>
      <c r="AG361" s="226">
        <f t="shared" ref="AG361:AG380" si="119">(Z361-Z$329)/Z$329</f>
        <v>-3.4825598068045048E-2</v>
      </c>
      <c r="AH361" s="243">
        <f t="shared" ref="AH361:AH380" si="120">(AA361-AA$329)/AA$329</f>
        <v>-3.6797752550469812E-2</v>
      </c>
    </row>
    <row r="362" spans="21:34" x14ac:dyDescent="0.25">
      <c r="U362" s="220">
        <f t="shared" si="113"/>
        <v>31000000</v>
      </c>
      <c r="V362" s="1">
        <v>557436040.23230028</v>
      </c>
      <c r="W362" s="1">
        <v>538374229.52362204</v>
      </c>
      <c r="X362" s="279">
        <v>1.0274743587050335</v>
      </c>
      <c r="Y362" s="279">
        <v>1.265757701347513</v>
      </c>
      <c r="Z362" s="281">
        <v>0.11754166429435209</v>
      </c>
      <c r="AA362" s="282">
        <v>0.11833744537493351</v>
      </c>
      <c r="AB362" s="260">
        <f t="shared" si="114"/>
        <v>0.72222222222222221</v>
      </c>
      <c r="AC362" s="226">
        <f t="shared" si="115"/>
        <v>-0.11865848993422774</v>
      </c>
      <c r="AD362" s="226">
        <f t="shared" si="116"/>
        <v>-0.12234573644514865</v>
      </c>
      <c r="AE362" s="226">
        <f t="shared" si="117"/>
        <v>-3.6989814715608208E-3</v>
      </c>
      <c r="AF362" s="226">
        <f t="shared" si="118"/>
        <v>-2.74905668285093E-2</v>
      </c>
      <c r="AG362" s="226">
        <f t="shared" si="119"/>
        <v>-3.6219185845068037E-2</v>
      </c>
      <c r="AH362" s="243">
        <f t="shared" si="120"/>
        <v>-3.8269328325847916E-2</v>
      </c>
    </row>
    <row r="363" spans="21:34" x14ac:dyDescent="0.25">
      <c r="U363" s="220">
        <f t="shared" si="113"/>
        <v>31500000</v>
      </c>
      <c r="V363" s="1">
        <v>554549508.82127047</v>
      </c>
      <c r="W363" s="1">
        <v>535487698.11259222</v>
      </c>
      <c r="X363" s="279">
        <v>1.02732820224406</v>
      </c>
      <c r="Y363" s="279">
        <v>1.2643815471391431</v>
      </c>
      <c r="Z363" s="281">
        <v>0.11737169843869011</v>
      </c>
      <c r="AA363" s="282">
        <v>0.11815637639333954</v>
      </c>
      <c r="AB363" s="260">
        <f t="shared" si="114"/>
        <v>0.75</v>
      </c>
      <c r="AC363" s="226">
        <f t="shared" si="115"/>
        <v>-0.12322227800862123</v>
      </c>
      <c r="AD363" s="226">
        <f t="shared" si="116"/>
        <v>-0.12705134169303908</v>
      </c>
      <c r="AE363" s="226">
        <f t="shared" si="117"/>
        <v>-3.8407035784909886E-3</v>
      </c>
      <c r="AF363" s="226">
        <f t="shared" si="118"/>
        <v>-2.8547896321913607E-2</v>
      </c>
      <c r="AG363" s="226">
        <f t="shared" si="119"/>
        <v>-3.7612817896578082E-2</v>
      </c>
      <c r="AH363" s="243">
        <f t="shared" si="120"/>
        <v>-3.9740879386765265E-2</v>
      </c>
    </row>
    <row r="364" spans="21:34" x14ac:dyDescent="0.25">
      <c r="U364" s="220">
        <f t="shared" si="113"/>
        <v>32000000</v>
      </c>
      <c r="V364" s="1">
        <v>551662977.41024065</v>
      </c>
      <c r="W364" s="1">
        <v>532601166.7015624</v>
      </c>
      <c r="X364" s="279">
        <v>1.0271820873581829</v>
      </c>
      <c r="Y364" s="279">
        <v>1.2630053929307734</v>
      </c>
      <c r="Z364" s="281">
        <v>0.11720172717107835</v>
      </c>
      <c r="AA364" s="282">
        <v>0.11797531043898513</v>
      </c>
      <c r="AB364" s="260">
        <f t="shared" si="114"/>
        <v>0.77777777777777779</v>
      </c>
      <c r="AC364" s="226">
        <f t="shared" si="115"/>
        <v>-0.12778606608301471</v>
      </c>
      <c r="AD364" s="226">
        <f t="shared" si="116"/>
        <v>-0.13175694694092951</v>
      </c>
      <c r="AE364" s="226">
        <f t="shared" si="117"/>
        <v>-3.9823853717037248E-3</v>
      </c>
      <c r="AF364" s="226">
        <f t="shared" si="118"/>
        <v>-2.9605225815317746E-2</v>
      </c>
      <c r="AG364" s="226">
        <f t="shared" si="119"/>
        <v>-3.9006494323275374E-2</v>
      </c>
      <c r="AH364" s="243">
        <f t="shared" si="120"/>
        <v>-4.1212405845248989E-2</v>
      </c>
    </row>
    <row r="365" spans="21:34" x14ac:dyDescent="0.25">
      <c r="U365" s="220">
        <f t="shared" si="113"/>
        <v>32500000</v>
      </c>
      <c r="V365" s="1">
        <v>548776445.99921131</v>
      </c>
      <c r="W365" s="1">
        <v>529714635.29053307</v>
      </c>
      <c r="X365" s="279">
        <v>1.0270360140296655</v>
      </c>
      <c r="Y365" s="279">
        <v>1.2616292387224037</v>
      </c>
      <c r="Z365" s="281">
        <v>0.11703175047922509</v>
      </c>
      <c r="AA365" s="282">
        <v>0.11779424749807466</v>
      </c>
      <c r="AB365" s="260">
        <f t="shared" si="114"/>
        <v>0.80555555555555558</v>
      </c>
      <c r="AC365" s="226">
        <f t="shared" si="115"/>
        <v>-0.13234985415740746</v>
      </c>
      <c r="AD365" s="226">
        <f t="shared" si="116"/>
        <v>-0.13646255218881914</v>
      </c>
      <c r="AE365" s="226">
        <f t="shared" si="117"/>
        <v>-4.1240268683978175E-3</v>
      </c>
      <c r="AF365" s="226">
        <f t="shared" si="118"/>
        <v>-3.0662555308721886E-2</v>
      </c>
      <c r="AG365" s="226">
        <f t="shared" si="119"/>
        <v>-4.0400215225945682E-2</v>
      </c>
      <c r="AH365" s="243">
        <f t="shared" si="120"/>
        <v>-4.2683907813416445E-2</v>
      </c>
    </row>
    <row r="366" spans="21:34" x14ac:dyDescent="0.25">
      <c r="U366" s="220">
        <f t="shared" si="113"/>
        <v>33000000</v>
      </c>
      <c r="V366" s="1">
        <v>545889914.58818197</v>
      </c>
      <c r="W366" s="1">
        <v>526828103.87950325</v>
      </c>
      <c r="X366" s="279">
        <v>1.0268899822407811</v>
      </c>
      <c r="Y366" s="279">
        <v>1.2602530845140341</v>
      </c>
      <c r="Z366" s="281">
        <v>0.11686176835082929</v>
      </c>
      <c r="AA366" s="282">
        <v>0.11761318755680406</v>
      </c>
      <c r="AB366" s="260">
        <f t="shared" si="114"/>
        <v>0.83333333333333337</v>
      </c>
      <c r="AC366" s="226">
        <f t="shared" si="115"/>
        <v>-0.13691364223180019</v>
      </c>
      <c r="AD366" s="226">
        <f t="shared" si="116"/>
        <v>-0.14116815743670957</v>
      </c>
      <c r="AE366" s="226">
        <f t="shared" si="117"/>
        <v>-4.2656280857619371E-3</v>
      </c>
      <c r="AF366" s="226">
        <f t="shared" si="118"/>
        <v>-3.1719884802126022E-2</v>
      </c>
      <c r="AG366" s="226">
        <f t="shared" si="119"/>
        <v>-4.1793980705451234E-2</v>
      </c>
      <c r="AH366" s="243">
        <f t="shared" si="120"/>
        <v>-4.4155385403453574E-2</v>
      </c>
    </row>
    <row r="367" spans="21:34" x14ac:dyDescent="0.25">
      <c r="U367" s="220">
        <f t="shared" si="113"/>
        <v>33500000</v>
      </c>
      <c r="V367" s="1">
        <v>543003383.17715073</v>
      </c>
      <c r="W367" s="1">
        <v>523941572.46847296</v>
      </c>
      <c r="X367" s="279">
        <v>1.0267439919738128</v>
      </c>
      <c r="Y367" s="279">
        <v>1.2588769303056637</v>
      </c>
      <c r="Z367" s="281">
        <v>0.11669178077357945</v>
      </c>
      <c r="AA367" s="282">
        <v>0.11743213060135749</v>
      </c>
      <c r="AB367" s="260">
        <f t="shared" si="114"/>
        <v>0.86111111111111116</v>
      </c>
      <c r="AC367" s="226">
        <f t="shared" si="115"/>
        <v>-0.14147743030619594</v>
      </c>
      <c r="AD367" s="226">
        <f t="shared" si="116"/>
        <v>-0.14587376268460078</v>
      </c>
      <c r="AE367" s="226">
        <f t="shared" si="117"/>
        <v>-4.4071890409754944E-3</v>
      </c>
      <c r="AF367" s="226">
        <f t="shared" si="118"/>
        <v>-3.2777214295530675E-2</v>
      </c>
      <c r="AG367" s="226">
        <f t="shared" si="119"/>
        <v>-4.3187790862739855E-2</v>
      </c>
      <c r="AH367" s="243">
        <f t="shared" si="120"/>
        <v>-4.5626838727641936E-2</v>
      </c>
    </row>
    <row r="368" spans="21:34" x14ac:dyDescent="0.25">
      <c r="U368" s="220">
        <f t="shared" si="113"/>
        <v>34000000</v>
      </c>
      <c r="V368" s="1">
        <v>540116851.76612234</v>
      </c>
      <c r="W368" s="1">
        <v>521055041.05744362</v>
      </c>
      <c r="X368" s="279">
        <v>1.0265980432110537</v>
      </c>
      <c r="Y368" s="279">
        <v>1.2575007760972945</v>
      </c>
      <c r="Z368" s="281">
        <v>0.11652178773515365</v>
      </c>
      <c r="AA368" s="282">
        <v>0.11725107661790912</v>
      </c>
      <c r="AB368" s="260">
        <f t="shared" si="114"/>
        <v>0.88888888888888884</v>
      </c>
      <c r="AC368" s="226">
        <f t="shared" si="115"/>
        <v>-0.14604121838058717</v>
      </c>
      <c r="AD368" s="226">
        <f t="shared" si="116"/>
        <v>-0.15057936793249041</v>
      </c>
      <c r="AE368" s="226">
        <f t="shared" si="117"/>
        <v>-4.5487097512082117E-3</v>
      </c>
      <c r="AF368" s="226">
        <f t="shared" si="118"/>
        <v>-3.3834543788934468E-2</v>
      </c>
      <c r="AG368" s="226">
        <f t="shared" si="119"/>
        <v>-4.458164579884491E-2</v>
      </c>
      <c r="AH368" s="243">
        <f t="shared" si="120"/>
        <v>-4.7098267898344315E-2</v>
      </c>
    </row>
    <row r="369" spans="21:34" x14ac:dyDescent="0.25">
      <c r="U369" s="220">
        <f t="shared" si="113"/>
        <v>34500000</v>
      </c>
      <c r="V369" s="1">
        <v>537230320.35509205</v>
      </c>
      <c r="W369" s="1">
        <v>518168509.64641333</v>
      </c>
      <c r="X369" s="279">
        <v>1.0264521359348078</v>
      </c>
      <c r="Y369" s="279">
        <v>1.2561246218889246</v>
      </c>
      <c r="Z369" s="281">
        <v>0.11635178922321954</v>
      </c>
      <c r="AA369" s="282">
        <v>0.11707002559262314</v>
      </c>
      <c r="AB369" s="260">
        <f t="shared" si="114"/>
        <v>0.91666666666666663</v>
      </c>
      <c r="AC369" s="226">
        <f t="shared" si="115"/>
        <v>-0.15060500645498143</v>
      </c>
      <c r="AD369" s="226">
        <f t="shared" si="116"/>
        <v>-0.15528497318038162</v>
      </c>
      <c r="AE369" s="226">
        <f t="shared" si="117"/>
        <v>-4.6901902336192606E-3</v>
      </c>
      <c r="AF369" s="226">
        <f t="shared" si="118"/>
        <v>-3.4891873282338781E-2</v>
      </c>
      <c r="AG369" s="226">
        <f t="shared" si="119"/>
        <v>-4.5975545614885344E-2</v>
      </c>
      <c r="AH369" s="243">
        <f t="shared" si="120"/>
        <v>-4.8569673028004703E-2</v>
      </c>
    </row>
    <row r="370" spans="21:34" x14ac:dyDescent="0.25">
      <c r="U370" s="220">
        <f t="shared" si="113"/>
        <v>35000000</v>
      </c>
      <c r="V370" s="1">
        <v>534343788.94406223</v>
      </c>
      <c r="W370" s="1">
        <v>515281978.23538351</v>
      </c>
      <c r="X370" s="279">
        <v>1.026306270127388</v>
      </c>
      <c r="Y370" s="279">
        <v>1.2547484676805547</v>
      </c>
      <c r="Z370" s="281">
        <v>0.11618178522543565</v>
      </c>
      <c r="AA370" s="282">
        <v>0.1168889775116535</v>
      </c>
      <c r="AB370" s="260">
        <f t="shared" si="114"/>
        <v>0.94444444444444442</v>
      </c>
      <c r="AC370" s="226">
        <f t="shared" si="115"/>
        <v>-0.1551687945293749</v>
      </c>
      <c r="AD370" s="226">
        <f t="shared" si="116"/>
        <v>-0.15999057842827205</v>
      </c>
      <c r="AE370" s="226">
        <f t="shared" si="117"/>
        <v>-4.8316305053589864E-3</v>
      </c>
      <c r="AF370" s="226">
        <f t="shared" si="118"/>
        <v>-3.5949202775743087E-2</v>
      </c>
      <c r="AG370" s="226">
        <f t="shared" si="119"/>
        <v>-4.7369490412054759E-2</v>
      </c>
      <c r="AH370" s="243">
        <f t="shared" si="120"/>
        <v>-5.0041054229150075E-2</v>
      </c>
    </row>
    <row r="371" spans="21:34" x14ac:dyDescent="0.25">
      <c r="U371" s="220">
        <f t="shared" si="113"/>
        <v>35500000</v>
      </c>
      <c r="V371" s="1">
        <v>531457257.53303337</v>
      </c>
      <c r="W371" s="1">
        <v>512395446.82435465</v>
      </c>
      <c r="X371" s="279">
        <v>1.0261604457711182</v>
      </c>
      <c r="Y371" s="279">
        <v>1.2533723134721855</v>
      </c>
      <c r="Z371" s="281">
        <v>0.11601177572944965</v>
      </c>
      <c r="AA371" s="282">
        <v>0.11670793236114285</v>
      </c>
      <c r="AB371" s="260">
        <f t="shared" si="114"/>
        <v>0.97222222222222221</v>
      </c>
      <c r="AC371" s="226">
        <f t="shared" si="115"/>
        <v>-0.15973258260376691</v>
      </c>
      <c r="AD371" s="226">
        <f t="shared" si="116"/>
        <v>-0.1646961836761609</v>
      </c>
      <c r="AE371" s="226">
        <f t="shared" si="117"/>
        <v>-4.9730305835671831E-3</v>
      </c>
      <c r="AF371" s="226">
        <f t="shared" si="118"/>
        <v>-3.7006532269146887E-2</v>
      </c>
      <c r="AG371" s="226">
        <f t="shared" si="119"/>
        <v>-4.8763480291635956E-2</v>
      </c>
      <c r="AH371" s="243">
        <f t="shared" si="120"/>
        <v>-5.1512411614399477E-2</v>
      </c>
    </row>
    <row r="372" spans="21:34" x14ac:dyDescent="0.25">
      <c r="U372" s="220">
        <f t="shared" si="113"/>
        <v>36000000</v>
      </c>
      <c r="V372" s="1">
        <v>528570726.1220026</v>
      </c>
      <c r="W372" s="1">
        <v>509508915.41332388</v>
      </c>
      <c r="X372" s="279">
        <v>1.0260146628483313</v>
      </c>
      <c r="Y372" s="279">
        <v>1.2519961592638151</v>
      </c>
      <c r="Z372" s="281">
        <v>0.11584176072289898</v>
      </c>
      <c r="AA372" s="282">
        <v>0.11652689012722472</v>
      </c>
      <c r="AB372" s="260">
        <f t="shared" si="114"/>
        <v>1</v>
      </c>
      <c r="AC372" s="226">
        <f t="shared" si="115"/>
        <v>-0.16429637067816188</v>
      </c>
      <c r="AD372" s="226">
        <f t="shared" si="116"/>
        <v>-0.16940178892405289</v>
      </c>
      <c r="AE372" s="226">
        <f t="shared" si="117"/>
        <v>-5.1143904853750326E-3</v>
      </c>
      <c r="AF372" s="226">
        <f t="shared" si="118"/>
        <v>-3.8063861762551533E-2</v>
      </c>
      <c r="AG372" s="226">
        <f t="shared" si="119"/>
        <v>-5.0157515354995498E-2</v>
      </c>
      <c r="AH372" s="243">
        <f t="shared" si="120"/>
        <v>-5.2983745296445908E-2</v>
      </c>
    </row>
    <row r="373" spans="21:34" x14ac:dyDescent="0.25">
      <c r="U373" s="220">
        <f t="shared" si="113"/>
        <v>36500000</v>
      </c>
      <c r="V373" s="1">
        <v>525684194.71097279</v>
      </c>
      <c r="W373" s="1">
        <v>506622384.00229502</v>
      </c>
      <c r="X373" s="279">
        <v>1.0258689213413714</v>
      </c>
      <c r="Y373" s="279">
        <v>1.2506200050554452</v>
      </c>
      <c r="Z373" s="281">
        <v>0.11567174019341109</v>
      </c>
      <c r="AA373" s="282">
        <v>0.11634585079602178</v>
      </c>
      <c r="AB373" s="260">
        <f t="shared" si="114"/>
        <v>1.0277777777777777</v>
      </c>
      <c r="AC373" s="226">
        <f t="shared" si="115"/>
        <v>-0.16886015875255539</v>
      </c>
      <c r="AD373" s="226">
        <f t="shared" si="116"/>
        <v>-0.17410739417194177</v>
      </c>
      <c r="AE373" s="226">
        <f t="shared" si="117"/>
        <v>-5.2557102279027377E-3</v>
      </c>
      <c r="AF373" s="226">
        <f t="shared" si="118"/>
        <v>-3.9121191255955846E-2</v>
      </c>
      <c r="AG373" s="226">
        <f t="shared" si="119"/>
        <v>-5.1551595703581865E-2</v>
      </c>
      <c r="AH373" s="243">
        <f t="shared" si="120"/>
        <v>-5.4455055388070814E-2</v>
      </c>
    </row>
    <row r="374" spans="21:34" x14ac:dyDescent="0.25">
      <c r="U374" s="220">
        <f t="shared" si="113"/>
        <v>37000000</v>
      </c>
      <c r="V374" s="1">
        <v>522797663.29994345</v>
      </c>
      <c r="W374" s="1">
        <v>503735852.59126472</v>
      </c>
      <c r="X374" s="279">
        <v>1.0257232212325926</v>
      </c>
      <c r="Y374" s="279">
        <v>1.2492438508470758</v>
      </c>
      <c r="Z374" s="281">
        <v>0.11550171412860322</v>
      </c>
      <c r="AA374" s="282">
        <v>0.11616481435364601</v>
      </c>
      <c r="AB374" s="260">
        <f t="shared" si="114"/>
        <v>1.0555555555555556</v>
      </c>
      <c r="AC374" s="226">
        <f t="shared" si="115"/>
        <v>-0.17342394682694812</v>
      </c>
      <c r="AD374" s="226">
        <f t="shared" si="116"/>
        <v>-0.17881299941983295</v>
      </c>
      <c r="AE374" s="226">
        <f t="shared" si="117"/>
        <v>-5.3969898282608094E-3</v>
      </c>
      <c r="AF374" s="226">
        <f t="shared" si="118"/>
        <v>-4.0178520749359813E-2</v>
      </c>
      <c r="AG374" s="226">
        <f t="shared" si="119"/>
        <v>-5.2945721438927298E-2</v>
      </c>
      <c r="AH374" s="243">
        <f t="shared" si="120"/>
        <v>-5.5926342002142242E-2</v>
      </c>
    </row>
    <row r="375" spans="21:34" x14ac:dyDescent="0.25">
      <c r="U375" s="220">
        <f t="shared" si="113"/>
        <v>37500000</v>
      </c>
      <c r="V375" s="1">
        <v>519911131.88891315</v>
      </c>
      <c r="W375" s="1">
        <v>500849321.18023539</v>
      </c>
      <c r="X375" s="279">
        <v>1.0255775625043575</v>
      </c>
      <c r="Y375" s="279">
        <v>1.2478676966387057</v>
      </c>
      <c r="Z375" s="281">
        <v>0.11533168251608239</v>
      </c>
      <c r="AA375" s="282">
        <v>0.11598378078619986</v>
      </c>
      <c r="AB375" s="260">
        <f t="shared" si="114"/>
        <v>1.0833333333333333</v>
      </c>
      <c r="AC375" s="226">
        <f t="shared" si="115"/>
        <v>-0.17798773490134237</v>
      </c>
      <c r="AD375" s="226">
        <f t="shared" si="116"/>
        <v>-0.1835186046677226</v>
      </c>
      <c r="AE375" s="226">
        <f t="shared" si="117"/>
        <v>-5.5382293035515784E-3</v>
      </c>
      <c r="AF375" s="226">
        <f t="shared" si="118"/>
        <v>-4.1235850242764292E-2</v>
      </c>
      <c r="AG375" s="226">
        <f t="shared" si="119"/>
        <v>-5.4339892662647771E-2</v>
      </c>
      <c r="AH375" s="243">
        <f t="shared" si="120"/>
        <v>-5.7397605251605845E-2</v>
      </c>
    </row>
    <row r="376" spans="21:34" x14ac:dyDescent="0.25">
      <c r="U376" s="220">
        <f t="shared" si="113"/>
        <v>38000000</v>
      </c>
      <c r="V376" s="1">
        <v>517024600.47788429</v>
      </c>
      <c r="W376" s="1">
        <v>497962789.76920557</v>
      </c>
      <c r="X376" s="279">
        <v>1.0254319451390403</v>
      </c>
      <c r="Y376" s="279">
        <v>1.2464915424303364</v>
      </c>
      <c r="Z376" s="281">
        <v>0.11516164534344564</v>
      </c>
      <c r="AA376" s="282">
        <v>0.11580275007977536</v>
      </c>
      <c r="AB376" s="260">
        <f t="shared" si="114"/>
        <v>1.1111111111111112</v>
      </c>
      <c r="AC376" s="226">
        <f t="shared" si="115"/>
        <v>-0.18255152297573435</v>
      </c>
      <c r="AD376" s="226">
        <f t="shared" si="116"/>
        <v>-0.18822420991561303</v>
      </c>
      <c r="AE376" s="226">
        <f t="shared" si="117"/>
        <v>-5.6794286708659655E-3</v>
      </c>
      <c r="AF376" s="226">
        <f t="shared" si="118"/>
        <v>-4.2293179736168085E-2</v>
      </c>
      <c r="AG376" s="226">
        <f t="shared" si="119"/>
        <v>-5.5734109476441217E-2</v>
      </c>
      <c r="AH376" s="243">
        <f t="shared" si="120"/>
        <v>-5.8868845249492097E-2</v>
      </c>
    </row>
    <row r="377" spans="21:34" x14ac:dyDescent="0.25">
      <c r="U377" s="220">
        <f t="shared" si="113"/>
        <v>38500000</v>
      </c>
      <c r="V377" s="1">
        <v>514138069.066854</v>
      </c>
      <c r="W377" s="1">
        <v>495076258.35817575</v>
      </c>
      <c r="X377" s="279">
        <v>1.0252863691190248</v>
      </c>
      <c r="Y377" s="279">
        <v>1.2451153882219663</v>
      </c>
      <c r="Z377" s="281">
        <v>0.11499160259827956</v>
      </c>
      <c r="AA377" s="282">
        <v>0.11562172222045297</v>
      </c>
      <c r="AB377" s="260">
        <f t="shared" si="114"/>
        <v>1.1388888888888888</v>
      </c>
      <c r="AC377" s="226">
        <f t="shared" si="115"/>
        <v>-0.1871153110501286</v>
      </c>
      <c r="AD377" s="226">
        <f t="shared" si="116"/>
        <v>-0.19292981516350344</v>
      </c>
      <c r="AE377" s="226">
        <f t="shared" si="117"/>
        <v>-5.8205879472858473E-3</v>
      </c>
      <c r="AF377" s="226">
        <f t="shared" si="118"/>
        <v>-4.3350509229572565E-2</v>
      </c>
      <c r="AG377" s="226">
        <f t="shared" si="119"/>
        <v>-5.71283719820911E-2</v>
      </c>
      <c r="AH377" s="243">
        <f t="shared" si="120"/>
        <v>-6.0340062108925292E-2</v>
      </c>
    </row>
    <row r="378" spans="21:34" x14ac:dyDescent="0.25">
      <c r="U378" s="220">
        <f t="shared" si="113"/>
        <v>39000000</v>
      </c>
      <c r="V378" s="1">
        <v>511251537.65582466</v>
      </c>
      <c r="W378" s="1">
        <v>492189726.94714594</v>
      </c>
      <c r="X378" s="279">
        <v>1.0251408344267043</v>
      </c>
      <c r="Y378" s="279">
        <v>1.2437392340135969</v>
      </c>
      <c r="Z378" s="281">
        <v>0.11482155426816054</v>
      </c>
      <c r="AA378" s="282">
        <v>0.11544069719430472</v>
      </c>
      <c r="AB378" s="260">
        <f t="shared" si="114"/>
        <v>1.1666666666666667</v>
      </c>
      <c r="AC378" s="226">
        <f t="shared" si="115"/>
        <v>-0.19167909912452133</v>
      </c>
      <c r="AD378" s="226">
        <f t="shared" si="116"/>
        <v>-0.19763542041139387</v>
      </c>
      <c r="AE378" s="226">
        <f t="shared" si="117"/>
        <v>-5.9617071498836265E-3</v>
      </c>
      <c r="AF378" s="226">
        <f t="shared" si="118"/>
        <v>-4.4407838722976531E-2</v>
      </c>
      <c r="AG378" s="226">
        <f t="shared" si="119"/>
        <v>-5.8522680281464672E-2</v>
      </c>
      <c r="AH378" s="243">
        <f t="shared" si="120"/>
        <v>-6.1811255943098317E-2</v>
      </c>
    </row>
    <row r="379" spans="21:34" x14ac:dyDescent="0.25">
      <c r="U379" s="220">
        <f t="shared" si="113"/>
        <v>39500000</v>
      </c>
      <c r="V379" s="1">
        <v>508365006.24479389</v>
      </c>
      <c r="W379" s="1">
        <v>489303195.53611565</v>
      </c>
      <c r="X379" s="279">
        <v>1.024995341044483</v>
      </c>
      <c r="Y379" s="279">
        <v>1.2423630798052265</v>
      </c>
      <c r="Z379" s="281">
        <v>0.11465150034065519</v>
      </c>
      <c r="AA379" s="282">
        <v>0.1152596749873902</v>
      </c>
      <c r="AB379" s="260">
        <f t="shared" si="114"/>
        <v>1.1944444444444444</v>
      </c>
      <c r="AC379" s="226">
        <f t="shared" si="115"/>
        <v>-0.19624288719891633</v>
      </c>
      <c r="AD379" s="226">
        <f t="shared" si="116"/>
        <v>-0.20234102565928508</v>
      </c>
      <c r="AE379" s="226">
        <f t="shared" si="117"/>
        <v>-6.1027862957213708E-3</v>
      </c>
      <c r="AF379" s="226">
        <f t="shared" si="118"/>
        <v>-4.5465168216381184E-2</v>
      </c>
      <c r="AG379" s="226">
        <f t="shared" si="119"/>
        <v>-5.9917034476509264E-2</v>
      </c>
      <c r="AH379" s="243">
        <f t="shared" si="120"/>
        <v>-6.3282426865305094E-2</v>
      </c>
    </row>
    <row r="380" spans="21:34" ht="15.75" thickBot="1" x14ac:dyDescent="0.3">
      <c r="U380" s="221">
        <f t="shared" si="113"/>
        <v>40000000</v>
      </c>
      <c r="V380" s="222">
        <v>505478474.83376455</v>
      </c>
      <c r="W380" s="222">
        <v>486416664.12508583</v>
      </c>
      <c r="X380" s="280">
        <v>1.0248498889547739</v>
      </c>
      <c r="Y380" s="280">
        <v>1.2409869255968571</v>
      </c>
      <c r="Z380" s="283">
        <v>0.11448144080331901</v>
      </c>
      <c r="AA380" s="284">
        <v>0.11507865558576102</v>
      </c>
      <c r="AB380" s="274">
        <f t="shared" si="114"/>
        <v>1.2222222222222223</v>
      </c>
      <c r="AC380" s="228">
        <f t="shared" si="115"/>
        <v>-0.20080667527330906</v>
      </c>
      <c r="AD380" s="228">
        <f t="shared" si="116"/>
        <v>-0.20704663090717548</v>
      </c>
      <c r="AE380" s="228">
        <f t="shared" si="117"/>
        <v>-6.2438254018523228E-3</v>
      </c>
      <c r="AF380" s="228">
        <f t="shared" si="118"/>
        <v>-4.652249770978515E-2</v>
      </c>
      <c r="AG380" s="228">
        <f t="shared" si="119"/>
        <v>-6.1311434669263268E-2</v>
      </c>
      <c r="AH380" s="247">
        <f t="shared" si="120"/>
        <v>-6.4753574988904522E-2</v>
      </c>
    </row>
    <row r="381" spans="21:34" ht="15.75" thickBot="1" x14ac:dyDescent="0.3"/>
    <row r="382" spans="21:34" ht="15.75" thickBot="1" x14ac:dyDescent="0.3">
      <c r="U382" s="379" t="s">
        <v>357</v>
      </c>
      <c r="V382" s="380"/>
      <c r="W382" s="380"/>
      <c r="X382" s="380"/>
      <c r="Y382" s="380"/>
      <c r="Z382" s="380"/>
      <c r="AA382" s="381"/>
      <c r="AB382" s="379" t="s">
        <v>358</v>
      </c>
      <c r="AC382" s="380"/>
      <c r="AD382" s="380"/>
      <c r="AE382" s="380"/>
      <c r="AF382" s="380"/>
      <c r="AG382" s="380"/>
      <c r="AH382" s="381"/>
    </row>
    <row r="383" spans="21:34" x14ac:dyDescent="0.25">
      <c r="U383" s="229" t="s">
        <v>230</v>
      </c>
      <c r="V383" s="230" t="s">
        <v>332</v>
      </c>
      <c r="W383" s="230" t="s">
        <v>333</v>
      </c>
      <c r="X383" s="230" t="s">
        <v>335</v>
      </c>
      <c r="Y383" s="230" t="s">
        <v>336</v>
      </c>
      <c r="Z383" s="230" t="s">
        <v>338</v>
      </c>
      <c r="AA383" s="231" t="s">
        <v>339</v>
      </c>
      <c r="AB383" s="229" t="s">
        <v>230</v>
      </c>
      <c r="AC383" s="275" t="s">
        <v>332</v>
      </c>
      <c r="AD383" s="275" t="s">
        <v>333</v>
      </c>
      <c r="AE383" s="275" t="s">
        <v>335</v>
      </c>
      <c r="AF383" s="275" t="s">
        <v>336</v>
      </c>
      <c r="AG383" s="275" t="s">
        <v>338</v>
      </c>
      <c r="AH383" s="276" t="s">
        <v>339</v>
      </c>
    </row>
    <row r="384" spans="21:34" x14ac:dyDescent="0.25">
      <c r="U384" s="220">
        <f>W31</f>
        <v>143194000</v>
      </c>
      <c r="V384" s="208">
        <f>$V$154</f>
        <v>632485856.91907358</v>
      </c>
      <c r="W384" s="208">
        <f>$V$155</f>
        <v>613424046.21039581</v>
      </c>
      <c r="X384" s="279">
        <f>$V$159</f>
        <v>1.0312890778959938</v>
      </c>
      <c r="Y384" s="279">
        <f>$V$160</f>
        <v>1.3015377107651267</v>
      </c>
      <c r="Z384" s="281">
        <f>$V$164</f>
        <v>0.12195891697368522</v>
      </c>
      <c r="AA384" s="285">
        <f>$V$165</f>
        <v>0.12304634640479462</v>
      </c>
      <c r="AB384" s="260">
        <f>U384/U$384-1</f>
        <v>0</v>
      </c>
      <c r="AC384" s="226">
        <f t="shared" ref="AC384:AC415" si="121">V384/V$384-1</f>
        <v>0</v>
      </c>
      <c r="AD384" s="226">
        <f t="shared" ref="AD384:AD415" si="122">W384/W$384-1</f>
        <v>0</v>
      </c>
      <c r="AE384" s="226">
        <f t="shared" ref="AE384:AE415" si="123">X384/X$384-1</f>
        <v>0</v>
      </c>
      <c r="AF384" s="226">
        <f t="shared" ref="AF384:AF415" si="124">Y384/Y$384-1</f>
        <v>0</v>
      </c>
      <c r="AG384" s="226">
        <f t="shared" ref="AG384:AG415" si="125">Z384/Z$384-1</f>
        <v>0</v>
      </c>
      <c r="AH384" s="243">
        <f t="shared" ref="AH384:AH415" si="126">AA384/AA$384-1</f>
        <v>0</v>
      </c>
    </row>
    <row r="385" spans="21:34" x14ac:dyDescent="0.25">
      <c r="U385" s="244">
        <v>135000000</v>
      </c>
      <c r="V385" s="208">
        <f t="dataTable" ref="V385:AA435" dt2D="0" dtr="0" r1="W31" ca="1"/>
        <v>681294440.51589537</v>
      </c>
      <c r="W385" s="208">
        <v>662232629.80721664</v>
      </c>
      <c r="X385" s="279">
        <v>1.033785215180764</v>
      </c>
      <c r="Y385" s="279">
        <v>1.3248072090510894</v>
      </c>
      <c r="Z385" s="281">
        <v>0.12481397118123971</v>
      </c>
      <c r="AA385" s="285">
        <v>0.12609259097592429</v>
      </c>
      <c r="AB385" s="260">
        <f t="shared" ref="AB385:AB415" si="127">U385/U$384-1</f>
        <v>-5.7223068005642697E-2</v>
      </c>
      <c r="AC385" s="226">
        <f t="shared" si="121"/>
        <v>7.7169446656997431E-2</v>
      </c>
      <c r="AD385" s="226">
        <f t="shared" si="122"/>
        <v>7.956744424733575E-2</v>
      </c>
      <c r="AE385" s="226">
        <f t="shared" si="123"/>
        <v>2.4204050428449086E-3</v>
      </c>
      <c r="AF385" s="226">
        <f t="shared" si="124"/>
        <v>1.7878466442807328E-2</v>
      </c>
      <c r="AG385" s="226">
        <f t="shared" si="125"/>
        <v>2.3409966883934485E-2</v>
      </c>
      <c r="AH385" s="243">
        <f t="shared" si="126"/>
        <v>2.4756887629220792E-2</v>
      </c>
    </row>
    <row r="386" spans="21:34" x14ac:dyDescent="0.25">
      <c r="U386" s="244">
        <v>135500000</v>
      </c>
      <c r="V386" s="208">
        <v>678316128.1167717</v>
      </c>
      <c r="W386" s="208">
        <v>659254317.40809345</v>
      </c>
      <c r="X386" s="279">
        <v>1.0336325541210591</v>
      </c>
      <c r="Y386" s="279">
        <v>1.3233872982452577</v>
      </c>
      <c r="Z386" s="281">
        <v>0.12463985367225239</v>
      </c>
      <c r="AA386" s="285">
        <v>0.12590674591905393</v>
      </c>
      <c r="AB386" s="260">
        <f t="shared" si="127"/>
        <v>-5.3731301590848823E-2</v>
      </c>
      <c r="AC386" s="226">
        <f t="shared" si="121"/>
        <v>7.2460547056251601E-2</v>
      </c>
      <c r="AD386" s="226">
        <f t="shared" si="122"/>
        <v>7.4712218213204062E-2</v>
      </c>
      <c r="AE386" s="226">
        <f t="shared" si="123"/>
        <v>2.2723756852409682E-3</v>
      </c>
      <c r="AF386" s="226">
        <f t="shared" si="124"/>
        <v>1.6787517794844664E-2</v>
      </c>
      <c r="AG386" s="226">
        <f t="shared" si="125"/>
        <v>2.1982293423822741E-2</v>
      </c>
      <c r="AH386" s="243">
        <f t="shared" si="126"/>
        <v>2.3246521313597057E-2</v>
      </c>
    </row>
    <row r="387" spans="21:34" x14ac:dyDescent="0.25">
      <c r="U387" s="244">
        <v>136000000</v>
      </c>
      <c r="V387" s="208">
        <v>675337815.71764946</v>
      </c>
      <c r="W387" s="208">
        <v>656276005.00897121</v>
      </c>
      <c r="X387" s="279">
        <v>1.0334799381422042</v>
      </c>
      <c r="Y387" s="279">
        <v>1.3219673874394267</v>
      </c>
      <c r="Z387" s="281">
        <v>0.12446572345759743</v>
      </c>
      <c r="AA387" s="285">
        <v>0.12572089610195847</v>
      </c>
      <c r="AB387" s="260">
        <f t="shared" si="127"/>
        <v>-5.0239535176054839E-2</v>
      </c>
      <c r="AC387" s="226">
        <f t="shared" si="121"/>
        <v>6.7751647455507991E-2</v>
      </c>
      <c r="AD387" s="226">
        <f t="shared" si="122"/>
        <v>6.9856992179073707E-2</v>
      </c>
      <c r="AE387" s="226">
        <f t="shared" si="123"/>
        <v>2.1243900407441618E-3</v>
      </c>
      <c r="AF387" s="226">
        <f t="shared" si="124"/>
        <v>1.5696569146882444E-2</v>
      </c>
      <c r="AG387" s="226">
        <f t="shared" si="125"/>
        <v>2.0554515783811844E-2</v>
      </c>
      <c r="AH387" s="243">
        <f t="shared" si="126"/>
        <v>2.1736116311533493E-2</v>
      </c>
    </row>
    <row r="388" spans="21:34" x14ac:dyDescent="0.25">
      <c r="U388" s="244">
        <v>136500000</v>
      </c>
      <c r="V388" s="208">
        <v>672359503.31852722</v>
      </c>
      <c r="W388" s="208">
        <v>653297692.6098485</v>
      </c>
      <c r="X388" s="279">
        <v>1.0333273672242338</v>
      </c>
      <c r="Y388" s="279">
        <v>1.3205474766335954</v>
      </c>
      <c r="Z388" s="281">
        <v>0.1242915805135254</v>
      </c>
      <c r="AA388" s="285">
        <v>0.12553504149899686</v>
      </c>
      <c r="AB388" s="260">
        <f t="shared" si="127"/>
        <v>-4.6747768761260966E-2</v>
      </c>
      <c r="AC388" s="226">
        <f t="shared" si="121"/>
        <v>6.3042747854764158E-2</v>
      </c>
      <c r="AD388" s="226">
        <f t="shared" si="122"/>
        <v>6.5001766144942685E-2</v>
      </c>
      <c r="AE388" s="226">
        <f t="shared" si="123"/>
        <v>1.9764480899948644E-3</v>
      </c>
      <c r="AF388" s="226">
        <f t="shared" si="124"/>
        <v>1.4605620498920224E-2</v>
      </c>
      <c r="AG388" s="226">
        <f t="shared" si="125"/>
        <v>1.9126633769169121E-2</v>
      </c>
      <c r="AH388" s="243">
        <f t="shared" si="126"/>
        <v>2.0225672414644569E-2</v>
      </c>
    </row>
    <row r="389" spans="21:34" x14ac:dyDescent="0.25">
      <c r="U389" s="244">
        <v>137000000</v>
      </c>
      <c r="V389" s="208">
        <v>669381190.91940451</v>
      </c>
      <c r="W389" s="208">
        <v>650319380.21072674</v>
      </c>
      <c r="X389" s="279">
        <v>1.0331748413471937</v>
      </c>
      <c r="Y389" s="279">
        <v>1.3191275658277641</v>
      </c>
      <c r="Z389" s="281">
        <v>0.12411742481625798</v>
      </c>
      <c r="AA389" s="285">
        <v>0.12534918208449963</v>
      </c>
      <c r="AB389" s="260">
        <f t="shared" si="127"/>
        <v>-4.3256002346466982E-2</v>
      </c>
      <c r="AC389" s="226">
        <f t="shared" si="121"/>
        <v>5.8333848254019882E-2</v>
      </c>
      <c r="AD389" s="226">
        <f t="shared" si="122"/>
        <v>6.0146540110813218E-2</v>
      </c>
      <c r="AE389" s="226">
        <f t="shared" si="123"/>
        <v>1.8285498136441092E-3</v>
      </c>
      <c r="AF389" s="226">
        <f t="shared" si="124"/>
        <v>1.3514671850957782E-2</v>
      </c>
      <c r="AG389" s="226">
        <f t="shared" si="125"/>
        <v>1.7698647184924532E-2</v>
      </c>
      <c r="AH389" s="243">
        <f t="shared" si="126"/>
        <v>1.8715189414313826E-2</v>
      </c>
    </row>
    <row r="390" spans="21:34" x14ac:dyDescent="0.25">
      <c r="U390" s="244">
        <v>137500000</v>
      </c>
      <c r="V390" s="208">
        <v>666402878.52028227</v>
      </c>
      <c r="W390" s="208">
        <v>647341067.81160355</v>
      </c>
      <c r="X390" s="279">
        <v>1.0330223604911424</v>
      </c>
      <c r="Y390" s="279">
        <v>1.3177076550219331</v>
      </c>
      <c r="Z390" s="281">
        <v>0.12394325634198666</v>
      </c>
      <c r="AA390" s="285">
        <v>0.12516331783276691</v>
      </c>
      <c r="AB390" s="260">
        <f t="shared" si="127"/>
        <v>-3.9764235931673109E-2</v>
      </c>
      <c r="AC390" s="226">
        <f t="shared" si="121"/>
        <v>5.362494865327605E-2</v>
      </c>
      <c r="AD390" s="226">
        <f t="shared" si="122"/>
        <v>5.529131407668153E-2</v>
      </c>
      <c r="AE390" s="226">
        <f t="shared" si="123"/>
        <v>1.6806951923555857E-3</v>
      </c>
      <c r="AF390" s="226">
        <f t="shared" si="124"/>
        <v>1.2423723202995562E-2</v>
      </c>
      <c r="AG390" s="226">
        <f t="shared" si="125"/>
        <v>1.6270555835860678E-2</v>
      </c>
      <c r="AH390" s="243">
        <f t="shared" si="126"/>
        <v>1.7204667101678339E-2</v>
      </c>
    </row>
    <row r="391" spans="21:34" x14ac:dyDescent="0.25">
      <c r="U391" s="244">
        <v>138000000</v>
      </c>
      <c r="V391" s="208">
        <v>663424566.12115955</v>
      </c>
      <c r="W391" s="208">
        <v>644362755.41248131</v>
      </c>
      <c r="X391" s="279">
        <v>1.0328699246361492</v>
      </c>
      <c r="Y391" s="279">
        <v>1.3162877442161018</v>
      </c>
      <c r="Z391" s="281">
        <v>0.12376907506687318</v>
      </c>
      <c r="AA391" s="285">
        <v>0.12497744871806926</v>
      </c>
      <c r="AB391" s="260">
        <f t="shared" si="127"/>
        <v>-3.6272469516879235E-2</v>
      </c>
      <c r="AC391" s="226">
        <f t="shared" si="121"/>
        <v>4.8916049052531774E-2</v>
      </c>
      <c r="AD391" s="226">
        <f t="shared" si="122"/>
        <v>5.0436088042551175E-2</v>
      </c>
      <c r="AE391" s="226">
        <f t="shared" si="123"/>
        <v>1.5328842068031978E-3</v>
      </c>
      <c r="AF391" s="226">
        <f t="shared" si="124"/>
        <v>1.133277455503312E-2</v>
      </c>
      <c r="AG391" s="226">
        <f t="shared" si="125"/>
        <v>1.4842359526516136E-2</v>
      </c>
      <c r="AH391" s="243">
        <f t="shared" si="126"/>
        <v>1.5694105267634262E-2</v>
      </c>
    </row>
    <row r="392" spans="21:34" x14ac:dyDescent="0.25">
      <c r="U392" s="244">
        <v>138500000</v>
      </c>
      <c r="V392" s="208">
        <v>660446253.72203827</v>
      </c>
      <c r="W392" s="208">
        <v>641384443.01335907</v>
      </c>
      <c r="X392" s="279">
        <v>1.0327175337622951</v>
      </c>
      <c r="Y392" s="279">
        <v>1.3148678334102712</v>
      </c>
      <c r="Z392" s="281">
        <v>0.12359488096704996</v>
      </c>
      <c r="AA392" s="285">
        <v>0.12479157471464686</v>
      </c>
      <c r="AB392" s="260">
        <f t="shared" si="127"/>
        <v>-3.2780703102085251E-2</v>
      </c>
      <c r="AC392" s="226">
        <f t="shared" si="121"/>
        <v>4.4207149451789496E-2</v>
      </c>
      <c r="AD392" s="226">
        <f t="shared" si="122"/>
        <v>4.5580862008420819E-2</v>
      </c>
      <c r="AE392" s="226">
        <f t="shared" si="123"/>
        <v>1.3851168376723955E-3</v>
      </c>
      <c r="AF392" s="226">
        <f t="shared" si="124"/>
        <v>1.0241825907071345E-2</v>
      </c>
      <c r="AG392" s="226">
        <f t="shared" si="125"/>
        <v>1.3414058061189005E-2</v>
      </c>
      <c r="AH392" s="243">
        <f t="shared" si="126"/>
        <v>1.4183503702831057E-2</v>
      </c>
    </row>
    <row r="393" spans="21:34" x14ac:dyDescent="0.25">
      <c r="U393" s="244">
        <v>139000000</v>
      </c>
      <c r="V393" s="208">
        <v>657467941.32291365</v>
      </c>
      <c r="W393" s="208">
        <v>638406130.6142354</v>
      </c>
      <c r="X393" s="279">
        <v>1.0325651878496744</v>
      </c>
      <c r="Y393" s="279">
        <v>1.3134479226044391</v>
      </c>
      <c r="Z393" s="281">
        <v>0.12342067401861878</v>
      </c>
      <c r="AA393" s="285">
        <v>0.12460569579670966</v>
      </c>
      <c r="AB393" s="260">
        <f t="shared" si="127"/>
        <v>-2.9288936687291378E-2</v>
      </c>
      <c r="AC393" s="226">
        <f t="shared" si="121"/>
        <v>3.9498249851042111E-2</v>
      </c>
      <c r="AD393" s="226">
        <f t="shared" si="122"/>
        <v>4.0725635974288243E-2</v>
      </c>
      <c r="AE393" s="226">
        <f t="shared" si="123"/>
        <v>1.2373930656612853E-3</v>
      </c>
      <c r="AF393" s="226">
        <f t="shared" si="124"/>
        <v>9.1508772591082366E-3</v>
      </c>
      <c r="AG393" s="226">
        <f t="shared" si="125"/>
        <v>1.1985651243926476E-2</v>
      </c>
      <c r="AH393" s="243">
        <f t="shared" si="126"/>
        <v>1.2672862197672607E-2</v>
      </c>
    </row>
    <row r="394" spans="21:34" x14ac:dyDescent="0.25">
      <c r="U394" s="244">
        <v>139500000</v>
      </c>
      <c r="V394" s="208">
        <v>654489628.92379284</v>
      </c>
      <c r="W394" s="208">
        <v>635427818.21511412</v>
      </c>
      <c r="X394" s="279">
        <v>1.0324128868783911</v>
      </c>
      <c r="Y394" s="279">
        <v>1.3120280117986087</v>
      </c>
      <c r="Z394" s="281">
        <v>0.12324645419765257</v>
      </c>
      <c r="AA394" s="285">
        <v>0.12441981193843854</v>
      </c>
      <c r="AB394" s="260">
        <f t="shared" si="127"/>
        <v>-2.5797170272497505E-2</v>
      </c>
      <c r="AC394" s="226">
        <f t="shared" si="121"/>
        <v>3.4789350250300721E-2</v>
      </c>
      <c r="AD394" s="226">
        <f t="shared" si="122"/>
        <v>3.5870409940159664E-2</v>
      </c>
      <c r="AE394" s="226">
        <f t="shared" si="123"/>
        <v>1.0897128714772997E-3</v>
      </c>
      <c r="AF394" s="226">
        <f t="shared" si="124"/>
        <v>8.0599286111464608E-3</v>
      </c>
      <c r="AG394" s="226">
        <f t="shared" si="125"/>
        <v>1.0557138878538597E-2</v>
      </c>
      <c r="AH394" s="243">
        <f t="shared" si="126"/>
        <v>1.1162180542326094E-2</v>
      </c>
    </row>
    <row r="395" spans="21:34" x14ac:dyDescent="0.25">
      <c r="U395" s="244">
        <v>140000000</v>
      </c>
      <c r="V395" s="208">
        <v>651511316.52466917</v>
      </c>
      <c r="W395" s="208">
        <v>632449505.81599092</v>
      </c>
      <c r="X395" s="279">
        <v>1.0322606308285627</v>
      </c>
      <c r="Y395" s="279">
        <v>1.3106081009927768</v>
      </c>
      <c r="Z395" s="281">
        <v>0.12307222148019292</v>
      </c>
      <c r="AA395" s="285">
        <v>0.12423392311398396</v>
      </c>
      <c r="AB395" s="260">
        <f t="shared" si="127"/>
        <v>-2.2305403857703521E-2</v>
      </c>
      <c r="AC395" s="226">
        <f t="shared" si="121"/>
        <v>3.0080450649554891E-2</v>
      </c>
      <c r="AD395" s="226">
        <f t="shared" si="122"/>
        <v>3.1015183906027755E-2</v>
      </c>
      <c r="AE395" s="226">
        <f t="shared" si="123"/>
        <v>9.4207623584163791E-4</v>
      </c>
      <c r="AF395" s="226">
        <f t="shared" si="124"/>
        <v>6.9689799631835747E-3</v>
      </c>
      <c r="AG395" s="226">
        <f t="shared" si="125"/>
        <v>9.1285207685791736E-3</v>
      </c>
      <c r="AH395" s="243">
        <f t="shared" si="126"/>
        <v>9.651458526712231E-3</v>
      </c>
    </row>
    <row r="396" spans="21:34" x14ac:dyDescent="0.25">
      <c r="U396" s="244">
        <v>140500000</v>
      </c>
      <c r="V396" s="208">
        <v>648533004.12554693</v>
      </c>
      <c r="W396" s="208">
        <v>629471193.41686869</v>
      </c>
      <c r="X396" s="279">
        <v>1.032108419680317</v>
      </c>
      <c r="Y396" s="279">
        <v>1.3091881901869458</v>
      </c>
      <c r="Z396" s="281">
        <v>0.12289797584225282</v>
      </c>
      <c r="AA396" s="285">
        <v>0.1240480292974655</v>
      </c>
      <c r="AB396" s="260">
        <f t="shared" si="127"/>
        <v>-1.8813637442909648E-2</v>
      </c>
      <c r="AC396" s="226">
        <f t="shared" si="121"/>
        <v>2.5371551048811058E-2</v>
      </c>
      <c r="AD396" s="226">
        <f t="shared" si="122"/>
        <v>2.6159957871897621E-2</v>
      </c>
      <c r="AE396" s="226">
        <f t="shared" si="123"/>
        <v>7.9448313948482507E-4</v>
      </c>
      <c r="AF396" s="226">
        <f t="shared" si="124"/>
        <v>5.8780313152213548E-3</v>
      </c>
      <c r="AG396" s="226">
        <f t="shared" si="125"/>
        <v>7.6997967173668691E-3</v>
      </c>
      <c r="AH396" s="243">
        <f t="shared" si="126"/>
        <v>8.1406959405001533E-3</v>
      </c>
    </row>
    <row r="397" spans="21:34" x14ac:dyDescent="0.25">
      <c r="U397" s="244">
        <v>141000000</v>
      </c>
      <c r="V397" s="208">
        <v>645554691.72642422</v>
      </c>
      <c r="W397" s="208">
        <v>626492881.01774549</v>
      </c>
      <c r="X397" s="279">
        <v>1.0319562534137945</v>
      </c>
      <c r="Y397" s="279">
        <v>1.3077682793811145</v>
      </c>
      <c r="Z397" s="281">
        <v>0.12272371725981435</v>
      </c>
      <c r="AA397" s="285">
        <v>0.12386213046297367</v>
      </c>
      <c r="AB397" s="260">
        <f t="shared" si="127"/>
        <v>-1.5321871028115663E-2</v>
      </c>
      <c r="AC397" s="226">
        <f t="shared" si="121"/>
        <v>2.0662651448066782E-2</v>
      </c>
      <c r="AD397" s="226">
        <f t="shared" si="122"/>
        <v>2.1304731837765711E-2</v>
      </c>
      <c r="AE397" s="226">
        <f t="shared" si="123"/>
        <v>6.4693356314982076E-4</v>
      </c>
      <c r="AF397" s="226">
        <f t="shared" si="124"/>
        <v>4.7870826672591349E-3</v>
      </c>
      <c r="AG397" s="226">
        <f t="shared" si="125"/>
        <v>6.2709665279674365E-3</v>
      </c>
      <c r="AH397" s="243">
        <f t="shared" si="126"/>
        <v>6.6298925731229641E-3</v>
      </c>
    </row>
    <row r="398" spans="21:34" x14ac:dyDescent="0.25">
      <c r="U398" s="244">
        <v>141500000</v>
      </c>
      <c r="V398" s="208">
        <v>642576379.32730198</v>
      </c>
      <c r="W398" s="208">
        <v>623514568.61862373</v>
      </c>
      <c r="X398" s="279">
        <v>1.0318041320091469</v>
      </c>
      <c r="Y398" s="279">
        <v>1.3063483685752835</v>
      </c>
      <c r="Z398" s="281">
        <v>0.12254944570883031</v>
      </c>
      <c r="AA398" s="285">
        <v>0.12367622658456812</v>
      </c>
      <c r="AB398" s="260">
        <f t="shared" si="127"/>
        <v>-1.183010461332179E-2</v>
      </c>
      <c r="AC398" s="226">
        <f t="shared" si="121"/>
        <v>1.5953751847323172E-2</v>
      </c>
      <c r="AD398" s="226">
        <f t="shared" si="122"/>
        <v>1.6449505803636244E-2</v>
      </c>
      <c r="AE398" s="226">
        <f t="shared" si="123"/>
        <v>4.9942748759046474E-4</v>
      </c>
      <c r="AF398" s="226">
        <f t="shared" si="124"/>
        <v>3.696134019296915E-3</v>
      </c>
      <c r="AG398" s="226">
        <f t="shared" si="125"/>
        <v>4.8420300032059327E-3</v>
      </c>
      <c r="AH398" s="243">
        <f t="shared" si="126"/>
        <v>5.1190482137628557E-3</v>
      </c>
    </row>
    <row r="399" spans="21:34" x14ac:dyDescent="0.25">
      <c r="U399" s="244">
        <v>142000000</v>
      </c>
      <c r="V399" s="208">
        <v>639598066.92817974</v>
      </c>
      <c r="W399" s="208">
        <v>620536256.2195015</v>
      </c>
      <c r="X399" s="279">
        <v>1.031652055446538</v>
      </c>
      <c r="Y399" s="279">
        <v>1.3049284577694524</v>
      </c>
      <c r="Z399" s="281">
        <v>0.12237516116522262</v>
      </c>
      <c r="AA399" s="285">
        <v>0.12349031763627782</v>
      </c>
      <c r="AB399" s="260">
        <f t="shared" si="127"/>
        <v>-8.338338198527917E-3</v>
      </c>
      <c r="AC399" s="226">
        <f t="shared" si="121"/>
        <v>1.124485224657934E-2</v>
      </c>
      <c r="AD399" s="226">
        <f t="shared" si="122"/>
        <v>1.1594279769505889E-2</v>
      </c>
      <c r="AE399" s="226">
        <f t="shared" si="123"/>
        <v>3.519648935725872E-4</v>
      </c>
      <c r="AF399" s="226">
        <f t="shared" si="124"/>
        <v>2.6051853713346951E-3</v>
      </c>
      <c r="AG399" s="226">
        <f t="shared" si="125"/>
        <v>3.41298694565495E-3</v>
      </c>
      <c r="AH399" s="243">
        <f t="shared" si="126"/>
        <v>3.6081626513528864E-3</v>
      </c>
    </row>
    <row r="400" spans="21:34" x14ac:dyDescent="0.25">
      <c r="U400" s="244">
        <v>142500000</v>
      </c>
      <c r="V400" s="208">
        <v>636619754.52905655</v>
      </c>
      <c r="W400" s="208">
        <v>617557943.8203783</v>
      </c>
      <c r="X400" s="279">
        <v>1.0315000237061425</v>
      </c>
      <c r="Y400" s="279">
        <v>1.303508546963621</v>
      </c>
      <c r="Z400" s="281">
        <v>0.12220086360488369</v>
      </c>
      <c r="AA400" s="285">
        <v>0.12330440359210293</v>
      </c>
      <c r="AB400" s="260">
        <f t="shared" si="127"/>
        <v>-4.8465717837339328E-3</v>
      </c>
      <c r="AC400" s="226">
        <f t="shared" si="121"/>
        <v>6.5359526458341755E-3</v>
      </c>
      <c r="AD400" s="226">
        <f t="shared" si="122"/>
        <v>6.7390537353742008E-3</v>
      </c>
      <c r="AE400" s="226">
        <f t="shared" si="123"/>
        <v>2.0454576187223239E-4</v>
      </c>
      <c r="AF400" s="226">
        <f t="shared" si="124"/>
        <v>1.5142367233720311E-3</v>
      </c>
      <c r="AG400" s="226">
        <f t="shared" si="125"/>
        <v>1.9838371576443858E-3</v>
      </c>
      <c r="AH400" s="243">
        <f t="shared" si="126"/>
        <v>2.0972356745918574E-3</v>
      </c>
    </row>
    <row r="401" spans="21:34" x14ac:dyDescent="0.25">
      <c r="U401" s="244">
        <v>143000000</v>
      </c>
      <c r="V401" s="208">
        <v>633641442.12993479</v>
      </c>
      <c r="W401" s="208">
        <v>614579631.42125654</v>
      </c>
      <c r="X401" s="279">
        <v>1.031348036768148</v>
      </c>
      <c r="Y401" s="279">
        <v>1.3020886361577901</v>
      </c>
      <c r="Z401" s="281">
        <v>0.1220265530036746</v>
      </c>
      <c r="AA401" s="285">
        <v>0.12311848442601159</v>
      </c>
      <c r="AB401" s="260">
        <f t="shared" si="127"/>
        <v>-1.3548053689400597E-3</v>
      </c>
      <c r="AC401" s="226">
        <f t="shared" si="121"/>
        <v>1.8270530450914535E-3</v>
      </c>
      <c r="AD401" s="226">
        <f t="shared" si="122"/>
        <v>1.8838277012447335E-3</v>
      </c>
      <c r="AE401" s="226">
        <f t="shared" si="123"/>
        <v>5.7170073278101086E-5</v>
      </c>
      <c r="AF401" s="226">
        <f t="shared" si="124"/>
        <v>4.2328807541003322E-4</v>
      </c>
      <c r="AG401" s="226">
        <f t="shared" si="125"/>
        <v>5.5458044124789829E-4</v>
      </c>
      <c r="AH401" s="243">
        <f t="shared" si="126"/>
        <v>5.8626707191811178E-4</v>
      </c>
    </row>
    <row r="402" spans="21:34" x14ac:dyDescent="0.25">
      <c r="U402" s="244">
        <v>143500000</v>
      </c>
      <c r="V402" s="208">
        <v>630663129.73081207</v>
      </c>
      <c r="W402" s="208">
        <v>611601319.02213335</v>
      </c>
      <c r="X402" s="279">
        <v>1.0311960946127532</v>
      </c>
      <c r="Y402" s="279">
        <v>1.3006687253519589</v>
      </c>
      <c r="Z402" s="281">
        <v>0.12185222933742734</v>
      </c>
      <c r="AA402" s="285">
        <v>0.12293256011194331</v>
      </c>
      <c r="AB402" s="260">
        <f t="shared" si="127"/>
        <v>2.1369610458539245E-3</v>
      </c>
      <c r="AC402" s="226">
        <f t="shared" si="121"/>
        <v>-2.8818465556530448E-3</v>
      </c>
      <c r="AD402" s="226">
        <f t="shared" si="122"/>
        <v>-2.9713983328871763E-3</v>
      </c>
      <c r="AE402" s="226">
        <f t="shared" si="123"/>
        <v>-9.0162191410225745E-5</v>
      </c>
      <c r="AF402" s="226">
        <f t="shared" si="124"/>
        <v>-6.6766057255229772E-4</v>
      </c>
      <c r="AG402" s="226">
        <f t="shared" si="125"/>
        <v>-8.7478340169988567E-4</v>
      </c>
      <c r="AH402" s="243">
        <f t="shared" si="126"/>
        <v>-9.2474336846193328E-4</v>
      </c>
    </row>
    <row r="403" spans="21:34" x14ac:dyDescent="0.25">
      <c r="U403" s="244">
        <v>144000000</v>
      </c>
      <c r="V403" s="208">
        <v>627684817.33168983</v>
      </c>
      <c r="W403" s="208">
        <v>608623006.62301159</v>
      </c>
      <c r="X403" s="279">
        <v>1.0310441972201674</v>
      </c>
      <c r="Y403" s="279">
        <v>1.2992488145461276</v>
      </c>
      <c r="Z403" s="281">
        <v>0.12167789258194373</v>
      </c>
      <c r="AA403" s="285">
        <v>0.12274663062380542</v>
      </c>
      <c r="AB403" s="260">
        <f t="shared" si="127"/>
        <v>5.6287274606476867E-3</v>
      </c>
      <c r="AC403" s="226">
        <f t="shared" si="121"/>
        <v>-7.590746156396766E-3</v>
      </c>
      <c r="AD403" s="226">
        <f t="shared" si="122"/>
        <v>-7.8266243670166435E-3</v>
      </c>
      <c r="AE403" s="226">
        <f t="shared" si="123"/>
        <v>-2.3745105138317513E-4</v>
      </c>
      <c r="AF403" s="226">
        <f t="shared" si="124"/>
        <v>-1.7586092205146286E-3</v>
      </c>
      <c r="AG403" s="226">
        <f t="shared" si="125"/>
        <v>-2.3042545696115857E-3</v>
      </c>
      <c r="AH403" s="243">
        <f t="shared" si="126"/>
        <v>-2.4357958586043171E-3</v>
      </c>
    </row>
    <row r="404" spans="21:34" x14ac:dyDescent="0.25">
      <c r="U404" s="244">
        <v>144500000</v>
      </c>
      <c r="V404" s="208">
        <v>624706504.93256664</v>
      </c>
      <c r="W404" s="208">
        <v>605644694.22388792</v>
      </c>
      <c r="X404" s="279">
        <v>1.0308923445706135</v>
      </c>
      <c r="Y404" s="279">
        <v>1.2978289037402961</v>
      </c>
      <c r="Z404" s="281">
        <v>0.12150354271299424</v>
      </c>
      <c r="AA404" s="285">
        <v>0.12256069593547569</v>
      </c>
      <c r="AB404" s="260">
        <f t="shared" si="127"/>
        <v>9.1204938754416709E-3</v>
      </c>
      <c r="AC404" s="226">
        <f t="shared" si="121"/>
        <v>-1.229964575714193E-2</v>
      </c>
      <c r="AD404" s="226">
        <f t="shared" si="122"/>
        <v>-1.2681850401149219E-2</v>
      </c>
      <c r="AE404" s="226">
        <f t="shared" si="123"/>
        <v>-3.8469652581762936E-4</v>
      </c>
      <c r="AF404" s="226">
        <f t="shared" si="124"/>
        <v>-2.8495578684771816E-3</v>
      </c>
      <c r="AG404" s="226">
        <f t="shared" si="125"/>
        <v>-3.733833261156505E-3</v>
      </c>
      <c r="AH404" s="243">
        <f t="shared" si="126"/>
        <v>-3.9468906108047763E-3</v>
      </c>
    </row>
    <row r="405" spans="21:34" x14ac:dyDescent="0.25">
      <c r="U405" s="244">
        <v>145000000</v>
      </c>
      <c r="V405" s="208">
        <v>621728192.5334444</v>
      </c>
      <c r="W405" s="208">
        <v>602666381.82476568</v>
      </c>
      <c r="X405" s="279">
        <v>1.0307405366443243</v>
      </c>
      <c r="Y405" s="279">
        <v>1.2964089929344651</v>
      </c>
      <c r="Z405" s="281">
        <v>0.12132917970631962</v>
      </c>
      <c r="AA405" s="285">
        <v>0.12237475602080217</v>
      </c>
      <c r="AB405" s="260">
        <f t="shared" si="127"/>
        <v>1.2612260290235655E-2</v>
      </c>
      <c r="AC405" s="226">
        <f t="shared" si="121"/>
        <v>-1.7008545357885541E-2</v>
      </c>
      <c r="AD405" s="226">
        <f t="shared" si="122"/>
        <v>-1.7537076435279464E-2</v>
      </c>
      <c r="AE405" s="226">
        <f t="shared" si="123"/>
        <v>-5.3189863388114489E-4</v>
      </c>
      <c r="AF405" s="226">
        <f t="shared" si="124"/>
        <v>-3.9405065164394015E-3</v>
      </c>
      <c r="AG405" s="226">
        <f t="shared" si="125"/>
        <v>-5.163519675248307E-3</v>
      </c>
      <c r="AH405" s="243">
        <f t="shared" si="126"/>
        <v>-5.458027837600854E-3</v>
      </c>
    </row>
    <row r="406" spans="21:34" x14ac:dyDescent="0.25">
      <c r="U406" s="244">
        <v>145500000</v>
      </c>
      <c r="V406" s="208">
        <v>618749880.13432217</v>
      </c>
      <c r="W406" s="208">
        <v>599688069.42564392</v>
      </c>
      <c r="X406" s="279">
        <v>1.0305887734215462</v>
      </c>
      <c r="Y406" s="279">
        <v>1.2949890821286341</v>
      </c>
      <c r="Z406" s="281">
        <v>0.12115480353762953</v>
      </c>
      <c r="AA406" s="285">
        <v>0.12218881085360045</v>
      </c>
      <c r="AB406" s="260">
        <f t="shared" si="127"/>
        <v>1.6104026705029639E-2</v>
      </c>
      <c r="AC406" s="226">
        <f t="shared" si="121"/>
        <v>-2.1717444958629262E-2</v>
      </c>
      <c r="AD406" s="226">
        <f t="shared" si="122"/>
        <v>-2.2392302469408931E-2</v>
      </c>
      <c r="AE406" s="226">
        <f t="shared" si="123"/>
        <v>-6.7905739472806648E-4</v>
      </c>
      <c r="AF406" s="226">
        <f t="shared" si="124"/>
        <v>-5.0314551644016214E-3</v>
      </c>
      <c r="AG406" s="226">
        <f t="shared" si="125"/>
        <v>-6.593314011055007E-3</v>
      </c>
      <c r="AH406" s="243">
        <f t="shared" si="126"/>
        <v>-6.9692077517935491E-3</v>
      </c>
    </row>
    <row r="407" spans="21:34" x14ac:dyDescent="0.25">
      <c r="U407" s="244">
        <v>146000000</v>
      </c>
      <c r="V407" s="208">
        <v>615771567.73519993</v>
      </c>
      <c r="W407" s="208">
        <v>596709757.02652121</v>
      </c>
      <c r="X407" s="279">
        <v>1.0304370548825348</v>
      </c>
      <c r="Y407" s="279">
        <v>1.293569171322803</v>
      </c>
      <c r="Z407" s="281">
        <v>0.12098041418260452</v>
      </c>
      <c r="AA407" s="285">
        <v>0.12200286040765729</v>
      </c>
      <c r="AB407" s="260">
        <f t="shared" si="127"/>
        <v>1.9595793119823401E-2</v>
      </c>
      <c r="AC407" s="226">
        <f t="shared" si="121"/>
        <v>-2.6426344559372872E-2</v>
      </c>
      <c r="AD407" s="226">
        <f t="shared" si="122"/>
        <v>-2.7247528503540064E-2</v>
      </c>
      <c r="AE407" s="226">
        <f t="shared" si="123"/>
        <v>-8.2617282750363508E-4</v>
      </c>
      <c r="AF407" s="226">
        <f t="shared" si="124"/>
        <v>-6.1224038123638413E-3</v>
      </c>
      <c r="AG407" s="226">
        <f t="shared" si="125"/>
        <v>-8.0232164679834295E-3</v>
      </c>
      <c r="AH407" s="243">
        <f t="shared" si="126"/>
        <v>-8.4804305664184509E-3</v>
      </c>
    </row>
    <row r="408" spans="21:34" x14ac:dyDescent="0.25">
      <c r="U408" s="244">
        <v>146500000</v>
      </c>
      <c r="V408" s="208">
        <v>612793255.33607721</v>
      </c>
      <c r="W408" s="208">
        <v>593731444.62739897</v>
      </c>
      <c r="X408" s="279">
        <v>1.0302853810075592</v>
      </c>
      <c r="Y408" s="279">
        <v>1.2921492605169718</v>
      </c>
      <c r="Z408" s="281">
        <v>0.12080601161689297</v>
      </c>
      <c r="AA408" s="285">
        <v>0.12181690465672812</v>
      </c>
      <c r="AB408" s="260">
        <f t="shared" si="127"/>
        <v>2.3087559534617386E-2</v>
      </c>
      <c r="AC408" s="226">
        <f t="shared" si="121"/>
        <v>-3.1135244160117259E-2</v>
      </c>
      <c r="AD408" s="226">
        <f t="shared" si="122"/>
        <v>-3.2102754537670308E-2</v>
      </c>
      <c r="AE408" s="226">
        <f t="shared" si="123"/>
        <v>-9.7324495134021305E-4</v>
      </c>
      <c r="AF408" s="226">
        <f t="shared" si="124"/>
        <v>-7.2133524603261723E-3</v>
      </c>
      <c r="AG408" s="226">
        <f t="shared" si="125"/>
        <v>-9.4532272457044098E-3</v>
      </c>
      <c r="AH408" s="243">
        <f t="shared" si="126"/>
        <v>-9.9916964947656117E-3</v>
      </c>
    </row>
    <row r="409" spans="21:34" x14ac:dyDescent="0.25">
      <c r="U409" s="244">
        <v>147000000</v>
      </c>
      <c r="V409" s="208">
        <v>609814942.9369545</v>
      </c>
      <c r="W409" s="208">
        <v>590753132.22827625</v>
      </c>
      <c r="X409" s="279">
        <v>1.0301337517768994</v>
      </c>
      <c r="Y409" s="279">
        <v>1.2907293497111405</v>
      </c>
      <c r="Z409" s="281">
        <v>0.12063159581611416</v>
      </c>
      <c r="AA409" s="285">
        <v>0.1216309435745373</v>
      </c>
      <c r="AB409" s="260">
        <f t="shared" si="127"/>
        <v>2.657932594941137E-2</v>
      </c>
      <c r="AC409" s="226">
        <f t="shared" si="121"/>
        <v>-3.5844143760861757E-2</v>
      </c>
      <c r="AD409" s="226">
        <f t="shared" si="122"/>
        <v>-3.695798057180133E-2</v>
      </c>
      <c r="AE409" s="226">
        <f t="shared" si="123"/>
        <v>-1.1202737853595046E-3</v>
      </c>
      <c r="AF409" s="226">
        <f t="shared" si="124"/>
        <v>-8.3043011082885032E-3</v>
      </c>
      <c r="AG409" s="226">
        <f t="shared" si="125"/>
        <v>-1.0883346544127259E-2</v>
      </c>
      <c r="AH409" s="243">
        <f t="shared" si="126"/>
        <v>-1.1503005750377659E-2</v>
      </c>
    </row>
    <row r="410" spans="21:34" x14ac:dyDescent="0.25">
      <c r="U410" s="244">
        <v>147500000</v>
      </c>
      <c r="V410" s="208">
        <v>606836630.53783226</v>
      </c>
      <c r="W410" s="208">
        <v>587774819.82915401</v>
      </c>
      <c r="X410" s="279">
        <v>1.0299821671708471</v>
      </c>
      <c r="Y410" s="279">
        <v>1.2893094389053095</v>
      </c>
      <c r="Z410" s="281">
        <v>0.12045716675585538</v>
      </c>
      <c r="AA410" s="285">
        <v>0.12144497713477964</v>
      </c>
      <c r="AB410" s="260">
        <f t="shared" si="127"/>
        <v>3.0071092364205132E-2</v>
      </c>
      <c r="AC410" s="226">
        <f t="shared" si="121"/>
        <v>-4.0553043361605368E-2</v>
      </c>
      <c r="AD410" s="226">
        <f t="shared" si="122"/>
        <v>-4.1813206605931574E-2</v>
      </c>
      <c r="AE410" s="226">
        <f t="shared" si="123"/>
        <v>-1.2672593486716677E-3</v>
      </c>
      <c r="AF410" s="226">
        <f t="shared" si="124"/>
        <v>-9.3952497562507231E-3</v>
      </c>
      <c r="AG410" s="226">
        <f t="shared" si="125"/>
        <v>-1.2313574563423413E-2</v>
      </c>
      <c r="AH410" s="243">
        <f t="shared" si="126"/>
        <v>-1.3014358547037475E-2</v>
      </c>
    </row>
    <row r="411" spans="21:34" x14ac:dyDescent="0.25">
      <c r="U411" s="244">
        <v>148000000</v>
      </c>
      <c r="V411" s="208">
        <v>603858318.13871002</v>
      </c>
      <c r="W411" s="208">
        <v>584796507.43003178</v>
      </c>
      <c r="X411" s="279">
        <v>1.0298306271697057</v>
      </c>
      <c r="Y411" s="279">
        <v>1.2878895280994782</v>
      </c>
      <c r="Z411" s="281">
        <v>0.12028272441167442</v>
      </c>
      <c r="AA411" s="285">
        <v>0.12125900531111755</v>
      </c>
      <c r="AB411" s="260">
        <f t="shared" si="127"/>
        <v>3.3562858778999116E-2</v>
      </c>
      <c r="AC411" s="226">
        <f t="shared" si="121"/>
        <v>-4.5261942962348978E-2</v>
      </c>
      <c r="AD411" s="226">
        <f t="shared" si="122"/>
        <v>-4.6668432640061819E-2</v>
      </c>
      <c r="AE411" s="226">
        <f t="shared" si="123"/>
        <v>-1.4142016603758689E-3</v>
      </c>
      <c r="AF411" s="226">
        <f t="shared" si="124"/>
        <v>-1.0486198404213165E-2</v>
      </c>
      <c r="AG411" s="226">
        <f t="shared" si="125"/>
        <v>-1.3743911504006334E-2</v>
      </c>
      <c r="AH411" s="243">
        <f t="shared" si="126"/>
        <v>-1.4525755098791171E-2</v>
      </c>
    </row>
    <row r="412" spans="21:34" x14ac:dyDescent="0.25">
      <c r="U412" s="244">
        <v>148500000</v>
      </c>
      <c r="V412" s="208">
        <v>600880005.73958731</v>
      </c>
      <c r="W412" s="208">
        <v>581818195.03090858</v>
      </c>
      <c r="X412" s="279">
        <v>1.0296791317537903</v>
      </c>
      <c r="Y412" s="279">
        <v>1.2864696172936469</v>
      </c>
      <c r="Z412" s="281">
        <v>0.12010826875909775</v>
      </c>
      <c r="AA412" s="285">
        <v>0.12107302807718479</v>
      </c>
      <c r="AB412" s="260">
        <f t="shared" si="127"/>
        <v>3.70546251937931E-2</v>
      </c>
      <c r="AC412" s="226">
        <f t="shared" si="121"/>
        <v>-4.9970842563093476E-2</v>
      </c>
      <c r="AD412" s="226">
        <f t="shared" si="122"/>
        <v>-5.1523658674193618E-2</v>
      </c>
      <c r="AE412" s="226">
        <f t="shared" si="123"/>
        <v>-1.5611007395598397E-3</v>
      </c>
      <c r="AF412" s="226">
        <f t="shared" si="124"/>
        <v>-1.1577147052175496E-2</v>
      </c>
      <c r="AG412" s="226">
        <f t="shared" si="125"/>
        <v>-1.5174357566546615E-2</v>
      </c>
      <c r="AH412" s="243">
        <f t="shared" si="126"/>
        <v>-1.6037195619917566E-2</v>
      </c>
    </row>
    <row r="413" spans="21:34" x14ac:dyDescent="0.25">
      <c r="U413" s="244">
        <v>149000000</v>
      </c>
      <c r="V413" s="208">
        <v>597901693.34046412</v>
      </c>
      <c r="W413" s="208">
        <v>578839882.63178539</v>
      </c>
      <c r="X413" s="279">
        <v>1.0295276809034271</v>
      </c>
      <c r="Y413" s="279">
        <v>1.2850497064878155</v>
      </c>
      <c r="Z413" s="281">
        <v>0.11993379977362095</v>
      </c>
      <c r="AA413" s="285">
        <v>0.12088704540658202</v>
      </c>
      <c r="AB413" s="260">
        <f t="shared" si="127"/>
        <v>4.0546391608586863E-2</v>
      </c>
      <c r="AC413" s="226">
        <f t="shared" si="121"/>
        <v>-5.4679742163838641E-2</v>
      </c>
      <c r="AD413" s="226">
        <f t="shared" si="122"/>
        <v>-5.6378884708325416E-2</v>
      </c>
      <c r="AE413" s="226">
        <f t="shared" si="123"/>
        <v>-1.7079566053005424E-3</v>
      </c>
      <c r="AF413" s="226">
        <f t="shared" si="124"/>
        <v>-1.2668095700138049E-2</v>
      </c>
      <c r="AG413" s="226">
        <f t="shared" si="125"/>
        <v>-1.6604912951967421E-2</v>
      </c>
      <c r="AH413" s="243">
        <f t="shared" si="126"/>
        <v>-1.7548680324964594E-2</v>
      </c>
    </row>
    <row r="414" spans="21:34" x14ac:dyDescent="0.25">
      <c r="U414" s="244">
        <v>149500000</v>
      </c>
      <c r="V414" s="208">
        <v>594923380.9413414</v>
      </c>
      <c r="W414" s="208">
        <v>575861570.23266315</v>
      </c>
      <c r="X414" s="279">
        <v>1.0293762745989541</v>
      </c>
      <c r="Y414" s="279">
        <v>1.2836297956819842</v>
      </c>
      <c r="Z414" s="281">
        <v>0.11975931743070922</v>
      </c>
      <c r="AA414" s="285">
        <v>0.12070105727288083</v>
      </c>
      <c r="AB414" s="260">
        <f t="shared" si="127"/>
        <v>4.4038158023380847E-2</v>
      </c>
      <c r="AC414" s="226">
        <f t="shared" si="121"/>
        <v>-5.9388641764583028E-2</v>
      </c>
      <c r="AD414" s="226">
        <f t="shared" si="122"/>
        <v>-6.1234110742455772E-2</v>
      </c>
      <c r="AE414" s="226">
        <f t="shared" si="123"/>
        <v>-1.8547692766630597E-3</v>
      </c>
      <c r="AF414" s="226">
        <f t="shared" si="124"/>
        <v>-1.375904434810038E-2</v>
      </c>
      <c r="AG414" s="226">
        <f t="shared" si="125"/>
        <v>-1.803557786144161E-2</v>
      </c>
      <c r="AH414" s="243">
        <f t="shared" si="126"/>
        <v>-1.9060209428716557E-2</v>
      </c>
    </row>
    <row r="415" spans="21:34" x14ac:dyDescent="0.25">
      <c r="U415" s="244">
        <v>150000000</v>
      </c>
      <c r="V415" s="208">
        <v>591945068.54221869</v>
      </c>
      <c r="W415" s="208">
        <v>572883257.83354044</v>
      </c>
      <c r="X415" s="279">
        <v>1.0292249128207209</v>
      </c>
      <c r="Y415" s="279">
        <v>1.2822098848761529</v>
      </c>
      <c r="Z415" s="281">
        <v>0.1195848217057971</v>
      </c>
      <c r="AA415" s="285">
        <v>0.12051506364962039</v>
      </c>
      <c r="AB415" s="260">
        <f t="shared" si="127"/>
        <v>4.7529924438174831E-2</v>
      </c>
      <c r="AC415" s="226">
        <f t="shared" si="121"/>
        <v>-6.4097541365327415E-2</v>
      </c>
      <c r="AD415" s="226">
        <f t="shared" si="122"/>
        <v>-6.6089336776586793E-2</v>
      </c>
      <c r="AE415" s="226">
        <f t="shared" si="123"/>
        <v>-2.0015387727019274E-3</v>
      </c>
      <c r="AF415" s="226">
        <f t="shared" si="124"/>
        <v>-1.4849992996062822E-2</v>
      </c>
      <c r="AG415" s="226">
        <f t="shared" si="125"/>
        <v>-1.946635249639328E-2</v>
      </c>
      <c r="AH415" s="243">
        <f t="shared" si="126"/>
        <v>-2.057178314622099E-2</v>
      </c>
    </row>
    <row r="416" spans="21:34" x14ac:dyDescent="0.25">
      <c r="U416" s="244">
        <v>150500000</v>
      </c>
      <c r="V416" s="208">
        <v>588966756.14309692</v>
      </c>
      <c r="W416" s="208">
        <v>569904945.43441868</v>
      </c>
      <c r="X416" s="279">
        <v>1.0290735955490891</v>
      </c>
      <c r="Y416" s="279">
        <v>1.2807899740703221</v>
      </c>
      <c r="Z416" s="281">
        <v>0.11941031257428714</v>
      </c>
      <c r="AA416" s="285">
        <v>0.12032906451031011</v>
      </c>
      <c r="AB416" s="260">
        <f t="shared" ref="AB416:AB435" si="128">U416/U$384-1</f>
        <v>5.1021690852968593E-2</v>
      </c>
      <c r="AC416" s="226">
        <f t="shared" ref="AC416:AC435" si="129">V416/V$384-1</f>
        <v>-6.8806440966070359E-2</v>
      </c>
      <c r="AD416" s="226">
        <f t="shared" ref="AD416:AD435" si="130">W416/W$384-1</f>
        <v>-7.0944562810716261E-2</v>
      </c>
      <c r="AE416" s="226">
        <f t="shared" ref="AE416:AE435" si="131">X416/X$384-1</f>
        <v>-2.1482651124596908E-3</v>
      </c>
      <c r="AF416" s="226">
        <f t="shared" ref="AF416:AF435" si="132">Y416/Y$384-1</f>
        <v>-1.594094164402482E-2</v>
      </c>
      <c r="AG416" s="226">
        <f t="shared" ref="AG416:AG435" si="133">Z416/Z$384-1</f>
        <v>-2.0897237058508655E-2</v>
      </c>
      <c r="AH416" s="243">
        <f t="shared" ref="AH416:AH435" si="134">AA416/AA$384-1</f>
        <v>-2.2083401692767568E-2</v>
      </c>
    </row>
    <row r="417" spans="21:34" x14ac:dyDescent="0.25">
      <c r="U417" s="244">
        <v>151000000</v>
      </c>
      <c r="V417" s="208">
        <v>585988443.74397373</v>
      </c>
      <c r="W417" s="208">
        <v>566926633.03529596</v>
      </c>
      <c r="X417" s="279">
        <v>1.0289223227644309</v>
      </c>
      <c r="Y417" s="279">
        <v>1.2793700632644907</v>
      </c>
      <c r="Z417" s="281">
        <v>0.11923579001155193</v>
      </c>
      <c r="AA417" s="285">
        <v>0.1201430598284281</v>
      </c>
      <c r="AB417" s="260">
        <f t="shared" si="128"/>
        <v>5.4513457267762577E-2</v>
      </c>
      <c r="AC417" s="226">
        <f t="shared" si="129"/>
        <v>-7.3515340566815524E-2</v>
      </c>
      <c r="AD417" s="226">
        <f t="shared" si="130"/>
        <v>-7.5799788844847282E-2</v>
      </c>
      <c r="AE417" s="226">
        <f t="shared" si="131"/>
        <v>-2.2949483149685701E-3</v>
      </c>
      <c r="AF417" s="226">
        <f t="shared" si="132"/>
        <v>-1.7031890291987373E-2</v>
      </c>
      <c r="AG417" s="226">
        <f t="shared" si="133"/>
        <v>-2.2328231749719873E-2</v>
      </c>
      <c r="AH417" s="243">
        <f t="shared" si="134"/>
        <v>-2.3595065283900096E-2</v>
      </c>
    </row>
    <row r="418" spans="21:34" x14ac:dyDescent="0.25">
      <c r="U418" s="244">
        <v>151500000</v>
      </c>
      <c r="V418" s="208">
        <v>583010131.34485102</v>
      </c>
      <c r="W418" s="208">
        <v>563948320.63617277</v>
      </c>
      <c r="X418" s="279">
        <v>1.0287710944471304</v>
      </c>
      <c r="Y418" s="279">
        <v>1.2779501524586592</v>
      </c>
      <c r="Z418" s="281">
        <v>0.11906125399293344</v>
      </c>
      <c r="AA418" s="285">
        <v>0.11995704957742048</v>
      </c>
      <c r="AB418" s="260">
        <f t="shared" si="128"/>
        <v>5.8005223682556561E-2</v>
      </c>
      <c r="AC418" s="226">
        <f t="shared" si="129"/>
        <v>-7.8224240167559911E-2</v>
      </c>
      <c r="AD418" s="226">
        <f t="shared" si="130"/>
        <v>-8.0655014878979081E-2</v>
      </c>
      <c r="AE418" s="226">
        <f t="shared" si="131"/>
        <v>-2.4415883992492393E-3</v>
      </c>
      <c r="AF418" s="226">
        <f t="shared" si="132"/>
        <v>-1.8122838939949926E-2</v>
      </c>
      <c r="AG418" s="226">
        <f t="shared" si="133"/>
        <v>-2.3759336772209982E-2</v>
      </c>
      <c r="AH418" s="243">
        <f t="shared" si="134"/>
        <v>-2.5106774135422505E-2</v>
      </c>
    </row>
    <row r="419" spans="21:34" x14ac:dyDescent="0.25">
      <c r="U419" s="244">
        <v>152000000</v>
      </c>
      <c r="V419" s="208">
        <v>580031818.94572926</v>
      </c>
      <c r="W419" s="208">
        <v>560970008.23705101</v>
      </c>
      <c r="X419" s="279">
        <v>1.0286199105775846</v>
      </c>
      <c r="Y419" s="279">
        <v>1.2765302416528284</v>
      </c>
      <c r="Z419" s="281">
        <v>0.11888670449374117</v>
      </c>
      <c r="AA419" s="285">
        <v>0.11977103373070386</v>
      </c>
      <c r="AB419" s="260">
        <f t="shared" si="128"/>
        <v>6.1496990097350546E-2</v>
      </c>
      <c r="AC419" s="226">
        <f t="shared" si="129"/>
        <v>-8.2933139768302855E-2</v>
      </c>
      <c r="AD419" s="226">
        <f t="shared" si="130"/>
        <v>-8.5510240913108548E-2</v>
      </c>
      <c r="AE419" s="226">
        <f t="shared" si="131"/>
        <v>-2.5881853843101599E-3</v>
      </c>
      <c r="AF419" s="226">
        <f t="shared" si="132"/>
        <v>-1.9213787587911924E-2</v>
      </c>
      <c r="AG419" s="226">
        <f t="shared" si="133"/>
        <v>-2.5190552328428151E-2</v>
      </c>
      <c r="AH419" s="243">
        <f t="shared" si="134"/>
        <v>-2.6618528463378532E-2</v>
      </c>
    </row>
    <row r="420" spans="21:34" x14ac:dyDescent="0.25">
      <c r="U420" s="244">
        <v>152500000</v>
      </c>
      <c r="V420" s="208">
        <v>577053506.54660702</v>
      </c>
      <c r="W420" s="208">
        <v>557991695.83792925</v>
      </c>
      <c r="X420" s="279">
        <v>1.0284687711361993</v>
      </c>
      <c r="Y420" s="279">
        <v>1.2751103308469973</v>
      </c>
      <c r="Z420" s="281">
        <v>0.11871214148925491</v>
      </c>
      <c r="AA420" s="285">
        <v>0.11958501226166263</v>
      </c>
      <c r="AB420" s="260">
        <f t="shared" si="128"/>
        <v>6.4988756512144308E-2</v>
      </c>
      <c r="AC420" s="226">
        <f t="shared" si="129"/>
        <v>-8.7642039369046465E-2</v>
      </c>
      <c r="AD420" s="226">
        <f t="shared" si="130"/>
        <v>-9.0365466947238127E-2</v>
      </c>
      <c r="AE420" s="226">
        <f t="shared" si="131"/>
        <v>-2.7347392891510225E-3</v>
      </c>
      <c r="AF420" s="226">
        <f t="shared" si="132"/>
        <v>-2.0304736235874143E-2</v>
      </c>
      <c r="AG420" s="226">
        <f t="shared" si="133"/>
        <v>-2.6621878621067574E-2</v>
      </c>
      <c r="AH420" s="243">
        <f t="shared" si="134"/>
        <v>-2.8130328484073708E-2</v>
      </c>
    </row>
    <row r="421" spans="21:34" x14ac:dyDescent="0.25">
      <c r="U421" s="244">
        <v>153000000</v>
      </c>
      <c r="V421" s="208">
        <v>574075194.1474843</v>
      </c>
      <c r="W421" s="208">
        <v>555013383.43880558</v>
      </c>
      <c r="X421" s="279">
        <v>1.0283176761033941</v>
      </c>
      <c r="Y421" s="279">
        <v>1.2736904200411661</v>
      </c>
      <c r="Z421" s="281">
        <v>0.11853756495472179</v>
      </c>
      <c r="AA421" s="285">
        <v>0.11939898514364966</v>
      </c>
      <c r="AB421" s="260">
        <f t="shared" si="128"/>
        <v>6.8480522926938292E-2</v>
      </c>
      <c r="AC421" s="226">
        <f t="shared" si="129"/>
        <v>-9.2350938969790963E-2</v>
      </c>
      <c r="AD421" s="226">
        <f t="shared" si="130"/>
        <v>-9.5220692981370703E-2</v>
      </c>
      <c r="AE421" s="226">
        <f t="shared" si="131"/>
        <v>-2.8812501327579731E-3</v>
      </c>
      <c r="AF421" s="226">
        <f t="shared" si="132"/>
        <v>-2.1395684883836585E-2</v>
      </c>
      <c r="AG421" s="226">
        <f t="shared" si="133"/>
        <v>-2.80533158530889E-2</v>
      </c>
      <c r="AH421" s="243">
        <f t="shared" si="134"/>
        <v>-2.9642174414069689E-2</v>
      </c>
    </row>
    <row r="422" spans="21:34" x14ac:dyDescent="0.25">
      <c r="U422" s="244">
        <v>153500000</v>
      </c>
      <c r="V422" s="208">
        <v>571096881.74836111</v>
      </c>
      <c r="W422" s="208">
        <v>552035071.03968287</v>
      </c>
      <c r="X422" s="279">
        <v>1.0281666254595991</v>
      </c>
      <c r="Y422" s="279">
        <v>1.2722705092353346</v>
      </c>
      <c r="Z422" s="281">
        <v>0.11836297486535985</v>
      </c>
      <c r="AA422" s="285">
        <v>0.11921295234998786</v>
      </c>
      <c r="AB422" s="260">
        <f t="shared" si="128"/>
        <v>7.1972289341732276E-2</v>
      </c>
      <c r="AC422" s="226">
        <f t="shared" si="129"/>
        <v>-9.7059838570536128E-2</v>
      </c>
      <c r="AD422" s="226">
        <f t="shared" si="130"/>
        <v>-0.10007591901550172</v>
      </c>
      <c r="AE422" s="226">
        <f t="shared" si="131"/>
        <v>-3.0277179341072769E-3</v>
      </c>
      <c r="AF422" s="226">
        <f t="shared" si="132"/>
        <v>-2.2486633531799138E-2</v>
      </c>
      <c r="AG422" s="226">
        <f t="shared" si="133"/>
        <v>-2.9484864227691143E-2</v>
      </c>
      <c r="AH422" s="243">
        <f t="shared" si="134"/>
        <v>-3.1154066470171826E-2</v>
      </c>
    </row>
    <row r="423" spans="21:34" x14ac:dyDescent="0.25">
      <c r="U423" s="244">
        <v>154000000</v>
      </c>
      <c r="V423" s="208">
        <v>568118569.34923935</v>
      </c>
      <c r="W423" s="208">
        <v>549056758.6405611</v>
      </c>
      <c r="X423" s="279">
        <v>1.0280156191852565</v>
      </c>
      <c r="Y423" s="279">
        <v>1.2708505984295038</v>
      </c>
      <c r="Z423" s="281">
        <v>0.11818837119635428</v>
      </c>
      <c r="AA423" s="285">
        <v>0.11902691385396813</v>
      </c>
      <c r="AB423" s="260">
        <f t="shared" si="128"/>
        <v>7.5464055756526038E-2</v>
      </c>
      <c r="AC423" s="226">
        <f t="shared" si="129"/>
        <v>-0.10176873817127896</v>
      </c>
      <c r="AD423" s="226">
        <f t="shared" si="130"/>
        <v>-0.10493114504963119</v>
      </c>
      <c r="AE423" s="226">
        <f t="shared" si="131"/>
        <v>-3.1741427121633192E-3</v>
      </c>
      <c r="AF423" s="226">
        <f t="shared" si="132"/>
        <v>-2.3577582179761136E-2</v>
      </c>
      <c r="AG423" s="226">
        <f t="shared" si="133"/>
        <v>-3.0916523948343211E-2</v>
      </c>
      <c r="AH423" s="243">
        <f t="shared" si="134"/>
        <v>-3.2666004869445375E-2</v>
      </c>
    </row>
    <row r="424" spans="21:34" x14ac:dyDescent="0.25">
      <c r="U424" s="244">
        <v>154500000</v>
      </c>
      <c r="V424" s="208">
        <v>565140256.95011616</v>
      </c>
      <c r="W424" s="208">
        <v>546078446.24143839</v>
      </c>
      <c r="X424" s="279">
        <v>1.0278646572608197</v>
      </c>
      <c r="Y424" s="279">
        <v>1.2694306876236723</v>
      </c>
      <c r="Z424" s="281">
        <v>0.11801375392285918</v>
      </c>
      <c r="AA424" s="285">
        <v>0.11884086962884988</v>
      </c>
      <c r="AB424" s="260">
        <f t="shared" si="128"/>
        <v>7.8955822171320023E-2</v>
      </c>
      <c r="AC424" s="226">
        <f t="shared" si="129"/>
        <v>-0.10647763777202413</v>
      </c>
      <c r="AD424" s="226">
        <f t="shared" si="130"/>
        <v>-0.10978637108376221</v>
      </c>
      <c r="AE424" s="226">
        <f t="shared" si="131"/>
        <v>-3.3205244858798277E-3</v>
      </c>
      <c r="AF424" s="226">
        <f t="shared" si="132"/>
        <v>-2.4668530827723689E-2</v>
      </c>
      <c r="AG424" s="226">
        <f t="shared" si="133"/>
        <v>-3.2348295218768475E-2</v>
      </c>
      <c r="AH424" s="243">
        <f t="shared" si="134"/>
        <v>-3.4177989829211719E-2</v>
      </c>
    </row>
    <row r="425" spans="21:34" x14ac:dyDescent="0.25">
      <c r="U425" s="244">
        <v>155000000</v>
      </c>
      <c r="V425" s="208">
        <v>562161944.5509944</v>
      </c>
      <c r="W425" s="208">
        <v>543100133.84231567</v>
      </c>
      <c r="X425" s="279">
        <v>1.0277137396667528</v>
      </c>
      <c r="Y425" s="279">
        <v>1.2680107768178415</v>
      </c>
      <c r="Z425" s="281">
        <v>0.11783912301999799</v>
      </c>
      <c r="AA425" s="285">
        <v>0.11865481964786095</v>
      </c>
      <c r="AB425" s="260">
        <f t="shared" si="128"/>
        <v>8.2447588586114007E-2</v>
      </c>
      <c r="AC425" s="226">
        <f t="shared" si="129"/>
        <v>-0.11118653737276707</v>
      </c>
      <c r="AD425" s="226">
        <f t="shared" si="130"/>
        <v>-0.11464159711789323</v>
      </c>
      <c r="AE425" s="226">
        <f t="shared" si="131"/>
        <v>-3.4668632741997607E-3</v>
      </c>
      <c r="AF425" s="226">
        <f t="shared" si="132"/>
        <v>-2.5759479475685687E-2</v>
      </c>
      <c r="AG425" s="226">
        <f t="shared" si="133"/>
        <v>-3.3780178242941772E-2</v>
      </c>
      <c r="AH425" s="243">
        <f t="shared" si="134"/>
        <v>-3.5690021567048702E-2</v>
      </c>
    </row>
    <row r="426" spans="21:34" x14ac:dyDescent="0.25">
      <c r="U426" s="244">
        <v>155500000</v>
      </c>
      <c r="V426" s="208">
        <v>559183632.15187216</v>
      </c>
      <c r="W426" s="208">
        <v>540121821.44319391</v>
      </c>
      <c r="X426" s="279">
        <v>1.0275628663835328</v>
      </c>
      <c r="Y426" s="279">
        <v>1.2665908660120102</v>
      </c>
      <c r="Z426" s="281">
        <v>0.11766447846286243</v>
      </c>
      <c r="AA426" s="285">
        <v>0.11846876388419902</v>
      </c>
      <c r="AB426" s="260">
        <f t="shared" si="128"/>
        <v>8.5939355000907769E-2</v>
      </c>
      <c r="AC426" s="226">
        <f t="shared" si="129"/>
        <v>-0.11589543697351079</v>
      </c>
      <c r="AD426" s="226">
        <f t="shared" si="130"/>
        <v>-0.1194968231520227</v>
      </c>
      <c r="AE426" s="226">
        <f t="shared" si="131"/>
        <v>-3.613159096053975E-3</v>
      </c>
      <c r="AF426" s="226">
        <f t="shared" si="132"/>
        <v>-2.6850428123648129E-2</v>
      </c>
      <c r="AG426" s="226">
        <f t="shared" si="133"/>
        <v>-3.5212173225098287E-2</v>
      </c>
      <c r="AH426" s="243">
        <f t="shared" si="134"/>
        <v>-3.7202100300779195E-2</v>
      </c>
    </row>
    <row r="427" spans="21:34" x14ac:dyDescent="0.25">
      <c r="U427" s="244">
        <v>156000000</v>
      </c>
      <c r="V427" s="208">
        <v>556205319.75274897</v>
      </c>
      <c r="W427" s="208">
        <v>537143509.04407072</v>
      </c>
      <c r="X427" s="279">
        <v>1.0274120373916464</v>
      </c>
      <c r="Y427" s="279">
        <v>1.2651709552061787</v>
      </c>
      <c r="Z427" s="281">
        <v>0.11748982022651244</v>
      </c>
      <c r="AA427" s="285">
        <v>0.11828270231102889</v>
      </c>
      <c r="AB427" s="260">
        <f t="shared" si="128"/>
        <v>8.9431121415701753E-2</v>
      </c>
      <c r="AC427" s="226">
        <f t="shared" si="129"/>
        <v>-0.12060433657425595</v>
      </c>
      <c r="AD427" s="226">
        <f t="shared" si="130"/>
        <v>-0.12435204918615461</v>
      </c>
      <c r="AE427" s="226">
        <f t="shared" si="131"/>
        <v>-3.7594119703635576E-3</v>
      </c>
      <c r="AF427" s="226">
        <f t="shared" si="132"/>
        <v>-2.7941376771610571E-2</v>
      </c>
      <c r="AG427" s="226">
        <f t="shared" si="133"/>
        <v>-3.6644280369733551E-2</v>
      </c>
      <c r="AH427" s="243">
        <f t="shared" si="134"/>
        <v>-3.8714226248493522E-2</v>
      </c>
    </row>
    <row r="428" spans="21:34" x14ac:dyDescent="0.25">
      <c r="U428" s="244">
        <v>156500000</v>
      </c>
      <c r="V428" s="208">
        <v>553227007.3536272</v>
      </c>
      <c r="W428" s="208">
        <v>534165196.64494896</v>
      </c>
      <c r="X428" s="279">
        <v>1.0272612526715941</v>
      </c>
      <c r="Y428" s="279">
        <v>1.2637510444003479</v>
      </c>
      <c r="Z428" s="281">
        <v>0.11731514828597711</v>
      </c>
      <c r="AA428" s="285">
        <v>0.11809663490148492</v>
      </c>
      <c r="AB428" s="260">
        <f t="shared" si="128"/>
        <v>9.2922887830495737E-2</v>
      </c>
      <c r="AC428" s="226">
        <f t="shared" si="129"/>
        <v>-0.12531323617499879</v>
      </c>
      <c r="AD428" s="226">
        <f t="shared" si="130"/>
        <v>-0.12920727522028408</v>
      </c>
      <c r="AE428" s="226">
        <f t="shared" si="131"/>
        <v>-3.9056219160364947E-3</v>
      </c>
      <c r="AF428" s="226">
        <f t="shared" si="132"/>
        <v>-2.903232541957268E-2</v>
      </c>
      <c r="AG428" s="226">
        <f t="shared" si="133"/>
        <v>-3.8076499881596004E-2</v>
      </c>
      <c r="AH428" s="243">
        <f t="shared" si="134"/>
        <v>-4.0226399628529141E-2</v>
      </c>
    </row>
    <row r="429" spans="21:34" x14ac:dyDescent="0.25">
      <c r="U429" s="244">
        <v>157000000</v>
      </c>
      <c r="V429" s="208">
        <v>550248694.95450401</v>
      </c>
      <c r="W429" s="208">
        <v>531186884.24582577</v>
      </c>
      <c r="X429" s="279">
        <v>1.0271105122038857</v>
      </c>
      <c r="Y429" s="279">
        <v>1.2623311335945164</v>
      </c>
      <c r="Z429" s="281">
        <v>0.11714046261625355</v>
      </c>
      <c r="AA429" s="285">
        <v>0.11791056162866864</v>
      </c>
      <c r="AB429" s="260">
        <f t="shared" si="128"/>
        <v>9.6414654245289499E-2</v>
      </c>
      <c r="AC429" s="226">
        <f t="shared" si="129"/>
        <v>-0.13002213577574395</v>
      </c>
      <c r="AD429" s="226">
        <f t="shared" si="130"/>
        <v>-0.13406250125441588</v>
      </c>
      <c r="AE429" s="226">
        <f t="shared" si="131"/>
        <v>-4.0517889519716688E-3</v>
      </c>
      <c r="AF429" s="226">
        <f t="shared" si="132"/>
        <v>-3.0123274067535233E-2</v>
      </c>
      <c r="AG429" s="226">
        <f t="shared" si="133"/>
        <v>-3.9508831965696545E-2</v>
      </c>
      <c r="AH429" s="243">
        <f t="shared" si="134"/>
        <v>-4.1738620659490411E-2</v>
      </c>
    </row>
    <row r="430" spans="21:34" x14ac:dyDescent="0.25">
      <c r="U430" s="244">
        <v>157500000</v>
      </c>
      <c r="V430" s="208">
        <v>547270382.55538177</v>
      </c>
      <c r="W430" s="208">
        <v>528208571.84670353</v>
      </c>
      <c r="X430" s="279">
        <v>1.0269598159690438</v>
      </c>
      <c r="Y430" s="279">
        <v>1.2609112227886854</v>
      </c>
      <c r="Z430" s="281">
        <v>0.11696576319230756</v>
      </c>
      <c r="AA430" s="285">
        <v>0.11772448246565181</v>
      </c>
      <c r="AB430" s="260">
        <f t="shared" si="128"/>
        <v>9.9906420660083484E-2</v>
      </c>
      <c r="AC430" s="226">
        <f t="shared" si="129"/>
        <v>-0.13473103537648767</v>
      </c>
      <c r="AD430" s="226">
        <f t="shared" si="130"/>
        <v>-0.13891772728854612</v>
      </c>
      <c r="AE430" s="226">
        <f t="shared" si="131"/>
        <v>-4.1979130970555278E-3</v>
      </c>
      <c r="AF430" s="226">
        <f t="shared" si="132"/>
        <v>-3.1214222715497453E-2</v>
      </c>
      <c r="AG430" s="226">
        <f t="shared" si="133"/>
        <v>-4.0941276827302531E-2</v>
      </c>
      <c r="AH430" s="243">
        <f t="shared" si="134"/>
        <v>-4.3250889560223715E-2</v>
      </c>
    </row>
    <row r="431" spans="21:34" x14ac:dyDescent="0.25">
      <c r="U431" s="244">
        <v>158000000</v>
      </c>
      <c r="V431" s="208">
        <v>544292070.15625858</v>
      </c>
      <c r="W431" s="208">
        <v>525230259.44758034</v>
      </c>
      <c r="X431" s="279">
        <v>1.0268091639476009</v>
      </c>
      <c r="Y431" s="279">
        <v>1.2594913119828539</v>
      </c>
      <c r="Z431" s="281">
        <v>0.11679104998907341</v>
      </c>
      <c r="AA431" s="285">
        <v>0.11753839738547311</v>
      </c>
      <c r="AB431" s="260">
        <f t="shared" si="128"/>
        <v>0.10339818707487747</v>
      </c>
      <c r="AC431" s="226">
        <f t="shared" si="129"/>
        <v>-0.13943993497723284</v>
      </c>
      <c r="AD431" s="226">
        <f t="shared" si="130"/>
        <v>-0.14377295332267792</v>
      </c>
      <c r="AE431" s="226">
        <f t="shared" si="131"/>
        <v>-4.3439943701649719E-3</v>
      </c>
      <c r="AF431" s="226">
        <f t="shared" si="132"/>
        <v>-3.2305171363459895E-2</v>
      </c>
      <c r="AG431" s="226">
        <f t="shared" si="133"/>
        <v>-4.2373834671940114E-2</v>
      </c>
      <c r="AH431" s="243">
        <f t="shared" si="134"/>
        <v>-4.4763206549844226E-2</v>
      </c>
    </row>
    <row r="432" spans="21:34" x14ac:dyDescent="0.25">
      <c r="U432" s="244">
        <v>158500000</v>
      </c>
      <c r="V432" s="208">
        <v>541313757.75713539</v>
      </c>
      <c r="W432" s="208">
        <v>522251947.04845715</v>
      </c>
      <c r="X432" s="279">
        <v>1.0266585561201031</v>
      </c>
      <c r="Y432" s="279">
        <v>1.2580714011770224</v>
      </c>
      <c r="Z432" s="281">
        <v>0.11661632298145319</v>
      </c>
      <c r="AA432" s="285">
        <v>0.11735230636113969</v>
      </c>
      <c r="AB432" s="260">
        <f t="shared" si="128"/>
        <v>0.10688995348967145</v>
      </c>
      <c r="AC432" s="226">
        <f t="shared" si="129"/>
        <v>-0.144148834577978</v>
      </c>
      <c r="AD432" s="226">
        <f t="shared" si="130"/>
        <v>-0.14862817935680972</v>
      </c>
      <c r="AE432" s="226">
        <f t="shared" si="131"/>
        <v>-4.4900327901635784E-3</v>
      </c>
      <c r="AF432" s="226">
        <f t="shared" si="132"/>
        <v>-3.3396120011422448E-2</v>
      </c>
      <c r="AG432" s="226">
        <f t="shared" si="133"/>
        <v>-4.3806505705399013E-2</v>
      </c>
      <c r="AH432" s="243">
        <f t="shared" si="134"/>
        <v>-4.6275571847723351E-2</v>
      </c>
    </row>
    <row r="433" spans="21:34" x14ac:dyDescent="0.25">
      <c r="U433" s="244">
        <v>159000000</v>
      </c>
      <c r="V433" s="208">
        <v>538335445.35801411</v>
      </c>
      <c r="W433" s="208">
        <v>519273634.64933538</v>
      </c>
      <c r="X433" s="279">
        <v>1.0265079924671061</v>
      </c>
      <c r="Y433" s="279">
        <v>1.2566514903711918</v>
      </c>
      <c r="Z433" s="281">
        <v>0.11644158214431788</v>
      </c>
      <c r="AA433" s="285">
        <v>0.11716620936562805</v>
      </c>
      <c r="AB433" s="260">
        <f t="shared" si="128"/>
        <v>0.11038171990446521</v>
      </c>
      <c r="AC433" s="226">
        <f t="shared" si="129"/>
        <v>-0.14885773417872017</v>
      </c>
      <c r="AD433" s="226">
        <f t="shared" si="130"/>
        <v>-0.1534834053909393</v>
      </c>
      <c r="AE433" s="226">
        <f t="shared" si="131"/>
        <v>-4.6360283759059318E-3</v>
      </c>
      <c r="AF433" s="226">
        <f t="shared" si="132"/>
        <v>-3.4487068659384335E-2</v>
      </c>
      <c r="AG433" s="226">
        <f t="shared" si="133"/>
        <v>-4.5239290133724297E-2</v>
      </c>
      <c r="AH433" s="243">
        <f t="shared" si="134"/>
        <v>-4.7787985673481526E-2</v>
      </c>
    </row>
    <row r="434" spans="21:34" x14ac:dyDescent="0.25">
      <c r="U434" s="244">
        <v>159500000</v>
      </c>
      <c r="V434" s="208">
        <v>535357132.95889091</v>
      </c>
      <c r="W434" s="208">
        <v>516295322.25021219</v>
      </c>
      <c r="X434" s="279">
        <v>1.026357472969178</v>
      </c>
      <c r="Y434" s="279">
        <v>1.2552315795653601</v>
      </c>
      <c r="Z434" s="281">
        <v>0.11626682745250605</v>
      </c>
      <c r="AA434" s="285">
        <v>0.11698010637188161</v>
      </c>
      <c r="AB434" s="260">
        <f t="shared" si="128"/>
        <v>0.1138734863192592</v>
      </c>
      <c r="AC434" s="226">
        <f t="shared" si="129"/>
        <v>-0.15356663377946533</v>
      </c>
      <c r="AD434" s="226">
        <f t="shared" si="130"/>
        <v>-0.1583386314250711</v>
      </c>
      <c r="AE434" s="226">
        <f t="shared" si="131"/>
        <v>-4.7819811462340711E-3</v>
      </c>
      <c r="AF434" s="226">
        <f t="shared" si="132"/>
        <v>-3.557801730734711E-2</v>
      </c>
      <c r="AG434" s="226">
        <f t="shared" si="133"/>
        <v>-4.6672188163226602E-2</v>
      </c>
      <c r="AH434" s="243">
        <f t="shared" si="134"/>
        <v>-4.9300448247008077E-2</v>
      </c>
    </row>
    <row r="435" spans="21:34" ht="15.75" thickBot="1" x14ac:dyDescent="0.3">
      <c r="U435" s="245">
        <v>160000000</v>
      </c>
      <c r="V435" s="241">
        <v>532378820.5597682</v>
      </c>
      <c r="W435" s="241">
        <v>513317009.85108995</v>
      </c>
      <c r="X435" s="280">
        <v>1.0262069976068973</v>
      </c>
      <c r="Y435" s="280">
        <v>1.2538116687595289</v>
      </c>
      <c r="Z435" s="283">
        <v>0.11609205888082541</v>
      </c>
      <c r="AA435" s="286">
        <v>0.11679399735281248</v>
      </c>
      <c r="AB435" s="274">
        <f t="shared" si="128"/>
        <v>0.11736525273405318</v>
      </c>
      <c r="AC435" s="228">
        <f t="shared" si="129"/>
        <v>-0.15827553338020972</v>
      </c>
      <c r="AD435" s="228">
        <f t="shared" si="130"/>
        <v>-0.16319385745920134</v>
      </c>
      <c r="AE435" s="228">
        <f t="shared" si="131"/>
        <v>-4.9278911199804876E-3</v>
      </c>
      <c r="AF435" s="228">
        <f t="shared" si="132"/>
        <v>-3.666896595530944E-2</v>
      </c>
      <c r="AG435" s="228">
        <f t="shared" si="133"/>
        <v>-4.8105200000469694E-2</v>
      </c>
      <c r="AH435" s="247">
        <f t="shared" si="134"/>
        <v>-5.081295978844691E-2</v>
      </c>
    </row>
    <row r="437" spans="21:34" ht="15.75" thickBot="1" x14ac:dyDescent="0.3"/>
    <row r="438" spans="21:34" ht="15.75" thickBot="1" x14ac:dyDescent="0.3">
      <c r="U438" s="379" t="s">
        <v>357</v>
      </c>
      <c r="V438" s="380"/>
      <c r="W438" s="380"/>
      <c r="X438" s="380"/>
      <c r="Y438" s="380"/>
      <c r="Z438" s="380"/>
      <c r="AA438" s="381"/>
      <c r="AB438" s="379" t="s">
        <v>358</v>
      </c>
      <c r="AC438" s="380"/>
      <c r="AD438" s="380"/>
      <c r="AE438" s="380"/>
      <c r="AF438" s="380"/>
      <c r="AG438" s="380"/>
      <c r="AH438" s="381"/>
    </row>
    <row r="439" spans="21:34" x14ac:dyDescent="0.25">
      <c r="U439" s="229" t="s">
        <v>366</v>
      </c>
      <c r="V439" s="230" t="s">
        <v>332</v>
      </c>
      <c r="W439" s="230" t="s">
        <v>333</v>
      </c>
      <c r="X439" s="230" t="s">
        <v>335</v>
      </c>
      <c r="Y439" s="230" t="s">
        <v>336</v>
      </c>
      <c r="Z439" s="230" t="s">
        <v>338</v>
      </c>
      <c r="AA439" s="231" t="s">
        <v>339</v>
      </c>
      <c r="AB439" s="229" t="s">
        <v>366</v>
      </c>
      <c r="AC439" s="275" t="s">
        <v>332</v>
      </c>
      <c r="AD439" s="275" t="s">
        <v>333</v>
      </c>
      <c r="AE439" s="275" t="s">
        <v>335</v>
      </c>
      <c r="AF439" s="275" t="s">
        <v>336</v>
      </c>
      <c r="AG439" s="275" t="s">
        <v>338</v>
      </c>
      <c r="AH439" s="276" t="s">
        <v>339</v>
      </c>
    </row>
    <row r="440" spans="21:34" x14ac:dyDescent="0.25">
      <c r="U440" s="287">
        <f>AC15</f>
        <v>0.65</v>
      </c>
      <c r="V440" s="208">
        <f>V384</f>
        <v>632485856.91907358</v>
      </c>
      <c r="W440" s="208">
        <f t="shared" ref="W440:AA440" si="135">W384</f>
        <v>613424046.21039581</v>
      </c>
      <c r="X440" s="240">
        <f t="shared" si="135"/>
        <v>1.0312890778959938</v>
      </c>
      <c r="Y440" s="240">
        <f t="shared" si="135"/>
        <v>1.3015377107651267</v>
      </c>
      <c r="Z440" s="219">
        <f t="shared" si="135"/>
        <v>0.12195891697368522</v>
      </c>
      <c r="AA440" s="219">
        <f t="shared" si="135"/>
        <v>0.12304634640479462</v>
      </c>
      <c r="AB440" s="260">
        <f>(U440-U$440)/U$440</f>
        <v>0</v>
      </c>
      <c r="AC440" s="226">
        <f t="shared" ref="AC440:AH440" si="136">(V440-V$440)/V$440</f>
        <v>0</v>
      </c>
      <c r="AD440" s="226">
        <f t="shared" si="136"/>
        <v>0</v>
      </c>
      <c r="AE440" s="226">
        <f t="shared" si="136"/>
        <v>0</v>
      </c>
      <c r="AF440" s="226">
        <f t="shared" si="136"/>
        <v>0</v>
      </c>
      <c r="AG440" s="226">
        <f t="shared" si="136"/>
        <v>0</v>
      </c>
      <c r="AH440" s="243">
        <f t="shared" si="136"/>
        <v>0</v>
      </c>
    </row>
    <row r="441" spans="21:34" x14ac:dyDescent="0.25">
      <c r="U441" s="287">
        <v>0.4</v>
      </c>
      <c r="V441" s="208">
        <f t="dataTable" ref="V441:AA461" dt2D="0" dtr="0" r1="AC15" ca="1"/>
        <v>24492242.814848185</v>
      </c>
      <c r="W441" s="208">
        <v>5430432.1061697006</v>
      </c>
      <c r="X441" s="240">
        <v>1.0012208608832904</v>
      </c>
      <c r="Y441" s="240">
        <v>1.0116766798009806</v>
      </c>
      <c r="Z441" s="219">
        <v>8.5898576742208022E-2</v>
      </c>
      <c r="AA441" s="219">
        <v>8.4904453039533756E-2</v>
      </c>
      <c r="AB441" s="260">
        <f t="shared" ref="AB441:AB461" si="137">(U441-U$440)/U$440</f>
        <v>-0.38461538461538458</v>
      </c>
      <c r="AC441" s="226">
        <f t="shared" ref="AC441:AC461" si="138">(V441-V$440)/V$440</f>
        <v>-0.96127622057170847</v>
      </c>
      <c r="AD441" s="226">
        <f t="shared" ref="AD441:AD461" si="139">(W441-W$440)/W$440</f>
        <v>-0.99114734392999793</v>
      </c>
      <c r="AE441" s="226">
        <f t="shared" ref="AE441:AE461" si="140">(X441-X$440)/X$440</f>
        <v>-2.9155954093926462E-2</v>
      </c>
      <c r="AF441" s="226">
        <f t="shared" ref="AF441:AF461" si="141">(Y441-Y$440)/Y$440</f>
        <v>-0.22270659433582396</v>
      </c>
      <c r="AG441" s="226">
        <f t="shared" ref="AG441:AG461" si="142">(Z441-Z$440)/Z$440</f>
        <v>-0.29567612706217988</v>
      </c>
      <c r="AH441" s="243">
        <f t="shared" ref="AH441:AH461" si="143">(AA441-AA$440)/AA$440</f>
        <v>-0.30997989359052291</v>
      </c>
    </row>
    <row r="442" spans="21:34" x14ac:dyDescent="0.25">
      <c r="U442" s="287">
        <f>U441+2%</f>
        <v>0.42000000000000004</v>
      </c>
      <c r="V442" s="208">
        <v>73131731.943185806</v>
      </c>
      <c r="W442" s="208">
        <v>54069921.234507561</v>
      </c>
      <c r="X442" s="240">
        <v>1.0036431655364639</v>
      </c>
      <c r="Y442" s="240">
        <v>1.0348655622781122</v>
      </c>
      <c r="Z442" s="219">
        <v>8.8503649230080139E-2</v>
      </c>
      <c r="AA442" s="219">
        <v>8.7631732203930168E-2</v>
      </c>
      <c r="AB442" s="260">
        <f t="shared" si="137"/>
        <v>-0.35384615384615381</v>
      </c>
      <c r="AC442" s="226">
        <f t="shared" si="138"/>
        <v>-0.88437412292597239</v>
      </c>
      <c r="AD442" s="226">
        <f t="shared" si="139"/>
        <v>-0.91185555641559846</v>
      </c>
      <c r="AE442" s="226">
        <f t="shared" si="140"/>
        <v>-2.6807141617297293E-2</v>
      </c>
      <c r="AF442" s="226">
        <f t="shared" si="141"/>
        <v>-0.20489006678895813</v>
      </c>
      <c r="AG442" s="226">
        <f t="shared" si="142"/>
        <v>-0.27431588090294079</v>
      </c>
      <c r="AH442" s="243">
        <f t="shared" si="143"/>
        <v>-0.28781524389483609</v>
      </c>
    </row>
    <row r="443" spans="21:34" x14ac:dyDescent="0.25">
      <c r="U443" s="287">
        <f t="shared" ref="U443:U461" si="144">U442+2%</f>
        <v>0.44000000000000006</v>
      </c>
      <c r="V443" s="208">
        <v>121771221.07152462</v>
      </c>
      <c r="W443" s="208">
        <v>102709410.3628459</v>
      </c>
      <c r="X443" s="240">
        <v>1.006062521500787</v>
      </c>
      <c r="Y443" s="240">
        <v>1.0580544447552442</v>
      </c>
      <c r="Z443" s="219">
        <v>9.1152527523365112E-2</v>
      </c>
      <c r="AA443" s="219">
        <v>9.0409068921727176E-2</v>
      </c>
      <c r="AB443" s="260">
        <f t="shared" si="137"/>
        <v>-0.32307692307692298</v>
      </c>
      <c r="AC443" s="226">
        <f t="shared" si="138"/>
        <v>-0.80747202528023454</v>
      </c>
      <c r="AD443" s="226">
        <f t="shared" si="139"/>
        <v>-0.83256376890119821</v>
      </c>
      <c r="AE443" s="226">
        <f t="shared" si="140"/>
        <v>-2.4461188366964245E-2</v>
      </c>
      <c r="AF443" s="226">
        <f t="shared" si="141"/>
        <v>-0.18707353924209197</v>
      </c>
      <c r="AG443" s="226">
        <f t="shared" si="142"/>
        <v>-0.25259644981077622</v>
      </c>
      <c r="AH443" s="243">
        <f t="shared" si="143"/>
        <v>-0.26524377550958067</v>
      </c>
    </row>
    <row r="444" spans="21:34" x14ac:dyDescent="0.25">
      <c r="U444" s="287">
        <f t="shared" si="144"/>
        <v>0.46000000000000008</v>
      </c>
      <c r="V444" s="208">
        <v>170410710.19986248</v>
      </c>
      <c r="W444" s="208">
        <v>151348899.49118423</v>
      </c>
      <c r="X444" s="240">
        <v>1.0084789341571754</v>
      </c>
      <c r="Y444" s="240">
        <v>1.0812433272323758</v>
      </c>
      <c r="Z444" s="219">
        <v>9.3846469996395676E-2</v>
      </c>
      <c r="AA444" s="219">
        <v>9.3238074549514272E-2</v>
      </c>
      <c r="AB444" s="260">
        <f t="shared" si="137"/>
        <v>-0.29230769230769221</v>
      </c>
      <c r="AC444" s="226">
        <f t="shared" si="138"/>
        <v>-0.73056992763449813</v>
      </c>
      <c r="AD444" s="226">
        <f t="shared" si="139"/>
        <v>-0.75327198138679796</v>
      </c>
      <c r="AE444" s="226">
        <f t="shared" si="140"/>
        <v>-2.2118089125267377E-2</v>
      </c>
      <c r="AF444" s="226">
        <f t="shared" si="141"/>
        <v>-0.16925701169522611</v>
      </c>
      <c r="AG444" s="226">
        <f t="shared" si="142"/>
        <v>-0.2305075157674227</v>
      </c>
      <c r="AH444" s="243">
        <f t="shared" si="143"/>
        <v>-0.2422523929090741</v>
      </c>
    </row>
    <row r="445" spans="21:34" x14ac:dyDescent="0.25">
      <c r="U445" s="287">
        <f t="shared" si="144"/>
        <v>0.48000000000000009</v>
      </c>
      <c r="V445" s="208">
        <v>219050199.32820082</v>
      </c>
      <c r="W445" s="208">
        <v>199988388.61952186</v>
      </c>
      <c r="X445" s="240">
        <v>1.010892408873459</v>
      </c>
      <c r="Y445" s="240">
        <v>1.1044322097095076</v>
      </c>
      <c r="Z445" s="219">
        <v>9.6586784082727695E-2</v>
      </c>
      <c r="AA445" s="219">
        <v>9.6120432700228742E-2</v>
      </c>
      <c r="AB445" s="260">
        <f t="shared" si="137"/>
        <v>-0.26153846153846144</v>
      </c>
      <c r="AC445" s="226">
        <f t="shared" si="138"/>
        <v>-0.65366782998876094</v>
      </c>
      <c r="AD445" s="226">
        <f t="shared" si="139"/>
        <v>-0.67398019387239894</v>
      </c>
      <c r="AE445" s="226">
        <f t="shared" si="140"/>
        <v>-1.9777838687235476E-2</v>
      </c>
      <c r="AF445" s="226">
        <f t="shared" si="141"/>
        <v>-0.15144048414836012</v>
      </c>
      <c r="AG445" s="226">
        <f t="shared" si="142"/>
        <v>-0.2080383584943773</v>
      </c>
      <c r="AH445" s="243">
        <f t="shared" si="143"/>
        <v>-0.21882741333891959</v>
      </c>
    </row>
    <row r="446" spans="21:34" x14ac:dyDescent="0.25">
      <c r="U446" s="287">
        <f t="shared" si="144"/>
        <v>0.50000000000000011</v>
      </c>
      <c r="V446" s="208">
        <v>267689688.45653915</v>
      </c>
      <c r="W446" s="208">
        <v>248627877.74786019</v>
      </c>
      <c r="X446" s="240">
        <v>1.0133029510044236</v>
      </c>
      <c r="Y446" s="240">
        <v>1.1276210921866396</v>
      </c>
      <c r="Z446" s="219">
        <v>9.9374828596498821E-2</v>
      </c>
      <c r="AA446" s="219">
        <v>9.9057903305376005E-2</v>
      </c>
      <c r="AB446" s="260">
        <f t="shared" si="137"/>
        <v>-0.23076923076923062</v>
      </c>
      <c r="AC446" s="226">
        <f t="shared" si="138"/>
        <v>-0.57676573234302375</v>
      </c>
      <c r="AD446" s="226">
        <f t="shared" si="139"/>
        <v>-0.59468840635799869</v>
      </c>
      <c r="AE446" s="226">
        <f t="shared" si="140"/>
        <v>-1.7440431860545808E-2</v>
      </c>
      <c r="AF446" s="226">
        <f t="shared" si="141"/>
        <v>-0.13362395660149393</v>
      </c>
      <c r="AG446" s="226">
        <f t="shared" si="142"/>
        <v>-0.18517783641895827</v>
      </c>
      <c r="AH446" s="243">
        <f t="shared" si="143"/>
        <v>-0.19495453380226394</v>
      </c>
    </row>
    <row r="447" spans="21:34" x14ac:dyDescent="0.25">
      <c r="U447" s="287">
        <f t="shared" si="144"/>
        <v>0.52000000000000013</v>
      </c>
      <c r="V447" s="208">
        <v>316329177.58487701</v>
      </c>
      <c r="W447" s="208">
        <v>297267366.87619853</v>
      </c>
      <c r="X447" s="240">
        <v>1.0157105658918504</v>
      </c>
      <c r="Y447" s="240">
        <v>1.1508099746637712</v>
      </c>
      <c r="Z447" s="219">
        <v>0.10221201617626918</v>
      </c>
      <c r="AA447" s="219">
        <v>0.10205232694488142</v>
      </c>
      <c r="AB447" s="260">
        <f t="shared" si="137"/>
        <v>-0.19999999999999982</v>
      </c>
      <c r="AC447" s="226">
        <f t="shared" si="138"/>
        <v>-0.4998636346972874</v>
      </c>
      <c r="AD447" s="226">
        <f t="shared" si="139"/>
        <v>-0.51539661884359844</v>
      </c>
      <c r="AE447" s="226">
        <f t="shared" si="140"/>
        <v>-1.5105863465485573E-2</v>
      </c>
      <c r="AF447" s="226">
        <f t="shared" si="141"/>
        <v>-0.1158074290546281</v>
      </c>
      <c r="AG447" s="226">
        <f t="shared" si="142"/>
        <v>-0.16191436663607611</v>
      </c>
      <c r="AH447" s="243">
        <f t="shared" si="143"/>
        <v>-0.17061879587100964</v>
      </c>
    </row>
    <row r="448" spans="21:34" x14ac:dyDescent="0.25">
      <c r="U448" s="287">
        <f t="shared" si="144"/>
        <v>0.54000000000000015</v>
      </c>
      <c r="V448" s="208">
        <v>364968666.71321583</v>
      </c>
      <c r="W448" s="208">
        <v>345906856.00453663</v>
      </c>
      <c r="X448" s="240">
        <v>1.0181152588645537</v>
      </c>
      <c r="Y448" s="240">
        <v>1.1739988571409032</v>
      </c>
      <c r="Z448" s="219">
        <v>0.10509981585782557</v>
      </c>
      <c r="AA448" s="219">
        <v>0.10510562946406443</v>
      </c>
      <c r="AB448" s="260">
        <f t="shared" si="137"/>
        <v>-0.16923076923076905</v>
      </c>
      <c r="AC448" s="226">
        <f t="shared" si="138"/>
        <v>-0.42296153705154949</v>
      </c>
      <c r="AD448" s="226">
        <f t="shared" si="139"/>
        <v>-0.43610483132919858</v>
      </c>
      <c r="AE448" s="226">
        <f t="shared" si="140"/>
        <v>-1.2774128334915511E-2</v>
      </c>
      <c r="AF448" s="226">
        <f t="shared" si="141"/>
        <v>-9.7990901507761921E-2</v>
      </c>
      <c r="AG448" s="226">
        <f t="shared" si="142"/>
        <v>-0.13823590381257067</v>
      </c>
      <c r="AH448" s="243">
        <f t="shared" si="143"/>
        <v>-0.14580454816357805</v>
      </c>
    </row>
    <row r="449" spans="21:34" x14ac:dyDescent="0.25">
      <c r="U449" s="287">
        <f t="shared" si="144"/>
        <v>0.56000000000000016</v>
      </c>
      <c r="V449" s="208">
        <v>413608155.84155273</v>
      </c>
      <c r="W449" s="208">
        <v>394546345.13287449</v>
      </c>
      <c r="X449" s="240">
        <v>1.0205170352384223</v>
      </c>
      <c r="Y449" s="240">
        <v>1.1971877396180344</v>
      </c>
      <c r="Z449" s="219">
        <v>0.10803975578267</v>
      </c>
      <c r="AA449" s="219">
        <v>0.10821982689869669</v>
      </c>
      <c r="AB449" s="260">
        <f t="shared" si="137"/>
        <v>-0.13846153846153825</v>
      </c>
      <c r="AC449" s="226">
        <f t="shared" si="138"/>
        <v>-0.34605943940581457</v>
      </c>
      <c r="AD449" s="226">
        <f t="shared" si="139"/>
        <v>-0.35681304381479911</v>
      </c>
      <c r="AE449" s="226">
        <f t="shared" si="140"/>
        <v>-1.0445221314229652E-2</v>
      </c>
      <c r="AF449" s="226">
        <f t="shared" si="141"/>
        <v>-8.0174373960896425E-2</v>
      </c>
      <c r="AG449" s="226">
        <f t="shared" si="142"/>
        <v>-0.11412991797900698</v>
      </c>
      <c r="AH449" s="243">
        <f t="shared" si="143"/>
        <v>-0.12049540631886811</v>
      </c>
    </row>
    <row r="450" spans="21:34" x14ac:dyDescent="0.25">
      <c r="U450" s="287">
        <f t="shared" si="144"/>
        <v>0.58000000000000018</v>
      </c>
      <c r="V450" s="208">
        <v>462247644.96989155</v>
      </c>
      <c r="W450" s="208">
        <v>443185834.26121283</v>
      </c>
      <c r="X450" s="240">
        <v>1.0229159003164567</v>
      </c>
      <c r="Y450" s="240">
        <v>1.2203766220951664</v>
      </c>
      <c r="Z450" s="219">
        <v>0.11103342604917099</v>
      </c>
      <c r="AA450" s="219">
        <v>0.11139703073065799</v>
      </c>
      <c r="AB450" s="260">
        <f t="shared" si="137"/>
        <v>-0.10769230769230745</v>
      </c>
      <c r="AC450" s="226">
        <f t="shared" si="138"/>
        <v>-0.26915734176007666</v>
      </c>
      <c r="AD450" s="226">
        <f t="shared" si="139"/>
        <v>-0.27752125630039887</v>
      </c>
      <c r="AE450" s="226">
        <f t="shared" si="140"/>
        <v>-8.1191372613193518E-3</v>
      </c>
      <c r="AF450" s="226">
        <f t="shared" si="141"/>
        <v>-6.2357846414030256E-2</v>
      </c>
      <c r="AG450" s="226">
        <f t="shared" si="142"/>
        <v>-8.9583371151709987E-2</v>
      </c>
      <c r="AH450" s="243">
        <f t="shared" si="143"/>
        <v>-9.4674210283440835E-2</v>
      </c>
    </row>
    <row r="451" spans="21:34" x14ac:dyDescent="0.25">
      <c r="U451" s="287">
        <f t="shared" si="144"/>
        <v>0.6000000000000002</v>
      </c>
      <c r="V451" s="208">
        <v>510887134.09822941</v>
      </c>
      <c r="W451" s="208">
        <v>491825323.38955116</v>
      </c>
      <c r="X451" s="240">
        <v>1.0253118593888113</v>
      </c>
      <c r="Y451" s="240">
        <v>1.243565504572298</v>
      </c>
      <c r="Z451" s="219">
        <v>0.11408248171357704</v>
      </c>
      <c r="AA451" s="219">
        <v>0.11463945349836036</v>
      </c>
      <c r="AB451" s="260">
        <f t="shared" si="137"/>
        <v>-7.692307692307665E-2</v>
      </c>
      <c r="AC451" s="226">
        <f t="shared" si="138"/>
        <v>-0.19225524411434025</v>
      </c>
      <c r="AD451" s="226">
        <f t="shared" si="139"/>
        <v>-0.19822946878599865</v>
      </c>
      <c r="AE451" s="226">
        <f t="shared" si="140"/>
        <v>-5.7958710465323823E-3</v>
      </c>
      <c r="AF451" s="226">
        <f t="shared" si="141"/>
        <v>-4.454131886716442E-2</v>
      </c>
      <c r="AG451" s="226">
        <f t="shared" si="142"/>
        <v>-6.4582692726007501E-2</v>
      </c>
      <c r="AH451" s="243">
        <f t="shared" si="143"/>
        <v>-6.8322978715495433E-2</v>
      </c>
    </row>
    <row r="452" spans="21:34" x14ac:dyDescent="0.25">
      <c r="U452" s="287">
        <f t="shared" si="144"/>
        <v>0.62000000000000022</v>
      </c>
      <c r="V452" s="208">
        <v>559526623.22656775</v>
      </c>
      <c r="W452" s="208">
        <v>540464812.51788902</v>
      </c>
      <c r="X452" s="240">
        <v>1.0277049177328281</v>
      </c>
      <c r="Y452" s="240">
        <v>1.2667543870494298</v>
      </c>
      <c r="Z452" s="219">
        <v>0.11718864594830136</v>
      </c>
      <c r="AA452" s="219">
        <v>0.11794941478786702</v>
      </c>
      <c r="AB452" s="260">
        <f t="shared" si="137"/>
        <v>-4.6153846153845851E-2</v>
      </c>
      <c r="AC452" s="226">
        <f t="shared" si="138"/>
        <v>-0.11535314646860309</v>
      </c>
      <c r="AD452" s="226">
        <f t="shared" si="139"/>
        <v>-0.11893768127159919</v>
      </c>
      <c r="AE452" s="226">
        <f t="shared" si="140"/>
        <v>-3.4754175526399938E-3</v>
      </c>
      <c r="AF452" s="226">
        <f t="shared" si="141"/>
        <v>-2.6724791320298411E-2</v>
      </c>
      <c r="AG452" s="226">
        <f t="shared" si="142"/>
        <v>-3.9113753579929904E-2</v>
      </c>
      <c r="AH452" s="243">
        <f t="shared" si="143"/>
        <v>-4.14228602949318E-2</v>
      </c>
    </row>
    <row r="453" spans="21:34" x14ac:dyDescent="0.25">
      <c r="U453" s="287">
        <f t="shared" si="144"/>
        <v>0.64000000000000024</v>
      </c>
      <c r="V453" s="208">
        <v>608166112.35490561</v>
      </c>
      <c r="W453" s="208">
        <v>589104301.64622736</v>
      </c>
      <c r="X453" s="240">
        <v>1.0300950806130817</v>
      </c>
      <c r="Y453" s="240">
        <v>1.2899432695265614</v>
      </c>
      <c r="Z453" s="219">
        <v>0.12035371336507006</v>
      </c>
      <c r="AA453" s="219">
        <v>0.1213293476324675</v>
      </c>
      <c r="AB453" s="260">
        <f t="shared" si="137"/>
        <v>-1.5384615384615056E-2</v>
      </c>
      <c r="AC453" s="226">
        <f t="shared" si="138"/>
        <v>-3.8451048822866693E-2</v>
      </c>
      <c r="AD453" s="226">
        <f t="shared" si="139"/>
        <v>-3.9645893757198951E-2</v>
      </c>
      <c r="AE453" s="226">
        <f t="shared" si="140"/>
        <v>-1.157771674793636E-3</v>
      </c>
      <c r="AF453" s="226">
        <f t="shared" si="141"/>
        <v>-8.9082637734325763E-3</v>
      </c>
      <c r="AG453" s="226">
        <f t="shared" si="142"/>
        <v>-1.3161838826114771E-2</v>
      </c>
      <c r="AH453" s="243">
        <f t="shared" si="143"/>
        <v>-1.395408171388185E-2</v>
      </c>
    </row>
    <row r="454" spans="21:34" x14ac:dyDescent="0.25">
      <c r="U454" s="287">
        <f t="shared" si="144"/>
        <v>0.66000000000000025</v>
      </c>
      <c r="V454" s="208">
        <v>656805601.48324347</v>
      </c>
      <c r="W454" s="208">
        <v>637743790.77456522</v>
      </c>
      <c r="X454" s="240">
        <v>1.0324823532814129</v>
      </c>
      <c r="Y454" s="240">
        <v>1.3131321520036929</v>
      </c>
      <c r="Z454" s="219">
        <v>0.12357955351065386</v>
      </c>
      <c r="AA454" s="219">
        <v>0.12478180535043371</v>
      </c>
      <c r="AB454" s="260">
        <f t="shared" si="137"/>
        <v>1.5384615384615739E-2</v>
      </c>
      <c r="AC454" s="226">
        <f t="shared" si="138"/>
        <v>3.8451048822869711E-2</v>
      </c>
      <c r="AD454" s="226">
        <f t="shared" si="139"/>
        <v>3.9645893757200505E-2</v>
      </c>
      <c r="AE454" s="226">
        <f t="shared" si="140"/>
        <v>1.1570716795077677E-3</v>
      </c>
      <c r="AF454" s="226">
        <f t="shared" si="141"/>
        <v>8.9082637734332597E-3</v>
      </c>
      <c r="AG454" s="226">
        <f t="shared" si="142"/>
        <v>1.3288380851383961E-2</v>
      </c>
      <c r="AH454" s="243">
        <f t="shared" si="143"/>
        <v>1.4104107893864831E-2</v>
      </c>
    </row>
    <row r="455" spans="21:34" x14ac:dyDescent="0.25">
      <c r="U455" s="287">
        <f t="shared" si="144"/>
        <v>0.68000000000000027</v>
      </c>
      <c r="V455" s="208">
        <v>705445090.61158228</v>
      </c>
      <c r="W455" s="208">
        <v>686383279.90290403</v>
      </c>
      <c r="X455" s="240">
        <v>1.0348667409769687</v>
      </c>
      <c r="Y455" s="240">
        <v>1.3363210344808252</v>
      </c>
      <c r="Z455" s="219">
        <v>0.12686811454300151</v>
      </c>
      <c r="AA455" s="219">
        <v>0.12830946885268824</v>
      </c>
      <c r="AB455" s="260">
        <f t="shared" si="137"/>
        <v>4.6153846153846538E-2</v>
      </c>
      <c r="AC455" s="226">
        <f t="shared" si="138"/>
        <v>0.11535314646860761</v>
      </c>
      <c r="AD455" s="226">
        <f t="shared" si="139"/>
        <v>0.11893768127160152</v>
      </c>
      <c r="AE455" s="226">
        <f t="shared" si="140"/>
        <v>3.4691175904567927E-3</v>
      </c>
      <c r="AF455" s="226">
        <f t="shared" si="141"/>
        <v>2.6724791320299607E-2</v>
      </c>
      <c r="AG455" s="226">
        <f t="shared" si="142"/>
        <v>4.0252879339487235E-2</v>
      </c>
      <c r="AH455" s="243">
        <f t="shared" si="143"/>
        <v>4.2773496342419948E-2</v>
      </c>
    </row>
    <row r="456" spans="21:34" x14ac:dyDescent="0.25">
      <c r="U456" s="287">
        <f t="shared" si="144"/>
        <v>0.70000000000000029</v>
      </c>
      <c r="V456" s="208">
        <v>754084579.73991919</v>
      </c>
      <c r="W456" s="208">
        <v>735022769.03124094</v>
      </c>
      <c r="X456" s="240">
        <v>1.0372482489262422</v>
      </c>
      <c r="Y456" s="240">
        <v>1.3595099169579563</v>
      </c>
      <c r="Z456" s="219">
        <v>0.13022142709562035</v>
      </c>
      <c r="AA456" s="219">
        <v>0.13191515445422519</v>
      </c>
      <c r="AB456" s="260">
        <f t="shared" si="137"/>
        <v>7.692307692307733E-2</v>
      </c>
      <c r="AC456" s="226">
        <f t="shared" si="138"/>
        <v>0.19225524411434253</v>
      </c>
      <c r="AD456" s="226">
        <f t="shared" si="139"/>
        <v>0.19822946878599942</v>
      </c>
      <c r="AE456" s="226">
        <f t="shared" si="140"/>
        <v>5.7783711259758366E-3</v>
      </c>
      <c r="AF456" s="226">
        <f t="shared" si="141"/>
        <v>4.45413188671651E-2</v>
      </c>
      <c r="AG456" s="226">
        <f t="shared" si="142"/>
        <v>6.7748306782011783E-2</v>
      </c>
      <c r="AH456" s="243">
        <f t="shared" si="143"/>
        <v>7.2076971877362422E-2</v>
      </c>
    </row>
    <row r="457" spans="21:34" x14ac:dyDescent="0.25">
      <c r="U457" s="287">
        <f t="shared" si="144"/>
        <v>0.72000000000000031</v>
      </c>
      <c r="V457" s="208">
        <v>802724068.86825705</v>
      </c>
      <c r="W457" s="208">
        <v>783662258.1595788</v>
      </c>
      <c r="X457" s="240">
        <v>1.039626882343109</v>
      </c>
      <c r="Y457" s="240">
        <v>1.3826987994350879</v>
      </c>
      <c r="Z457" s="219">
        <v>0.13364160833798522</v>
      </c>
      <c r="AA457" s="219">
        <v>0.13560182222528017</v>
      </c>
      <c r="AB457" s="260">
        <f t="shared" si="137"/>
        <v>0.10769230769230813</v>
      </c>
      <c r="AC457" s="226">
        <f t="shared" si="138"/>
        <v>0.26915734176007894</v>
      </c>
      <c r="AD457" s="226">
        <f t="shared" si="139"/>
        <v>0.27752125630039887</v>
      </c>
      <c r="AE457" s="226">
        <f t="shared" si="140"/>
        <v>8.0848373417526445E-3</v>
      </c>
      <c r="AF457" s="226">
        <f t="shared" si="141"/>
        <v>6.2357846414030936E-2</v>
      </c>
      <c r="AG457" s="226">
        <f t="shared" si="142"/>
        <v>9.5792022872921614E-2</v>
      </c>
      <c r="AH457" s="243">
        <f t="shared" si="143"/>
        <v>0.10203859104585583</v>
      </c>
    </row>
    <row r="458" spans="21:34" x14ac:dyDescent="0.25">
      <c r="U458" s="287">
        <f t="shared" si="144"/>
        <v>0.74000000000000032</v>
      </c>
      <c r="V458" s="208">
        <v>851363557.99659586</v>
      </c>
      <c r="W458" s="208">
        <v>832301747.28791761</v>
      </c>
      <c r="X458" s="240">
        <v>1.042002646428865</v>
      </c>
      <c r="Y458" s="240">
        <v>1.4058876819122199</v>
      </c>
      <c r="Z458" s="219">
        <v>0.13713086623962956</v>
      </c>
      <c r="AA458" s="219">
        <v>0.13937258492043214</v>
      </c>
      <c r="AB458" s="260">
        <f t="shared" si="137"/>
        <v>0.13846153846153891</v>
      </c>
      <c r="AC458" s="226">
        <f t="shared" si="138"/>
        <v>0.34605943940581685</v>
      </c>
      <c r="AD458" s="226">
        <f t="shared" si="139"/>
        <v>0.35681304381479989</v>
      </c>
      <c r="AE458" s="226">
        <f t="shared" si="140"/>
        <v>1.038852128127713E-2</v>
      </c>
      <c r="AF458" s="226">
        <f t="shared" si="141"/>
        <v>8.0174373960897119E-2</v>
      </c>
      <c r="AG458" s="226">
        <f t="shared" si="142"/>
        <v>0.12440213181966805</v>
      </c>
      <c r="AH458" s="243">
        <f t="shared" si="143"/>
        <v>0.13268365126362955</v>
      </c>
    </row>
    <row r="459" spans="21:34" x14ac:dyDescent="0.25">
      <c r="U459" s="287">
        <f t="shared" si="144"/>
        <v>0.76000000000000034</v>
      </c>
      <c r="V459" s="208">
        <v>900003047.12493372</v>
      </c>
      <c r="W459" s="208">
        <v>880941236.41625547</v>
      </c>
      <c r="X459" s="240">
        <v>1.0443755463722666</v>
      </c>
      <c r="Y459" s="240">
        <v>1.4290765643893515</v>
      </c>
      <c r="Z459" s="219">
        <v>0.14069150404528252</v>
      </c>
      <c r="AA459" s="219">
        <v>0.1432307175260068</v>
      </c>
      <c r="AB459" s="260">
        <f t="shared" si="137"/>
        <v>0.16923076923076971</v>
      </c>
      <c r="AC459" s="226">
        <f t="shared" si="138"/>
        <v>0.42296153705155326</v>
      </c>
      <c r="AD459" s="226">
        <f t="shared" si="139"/>
        <v>0.43610483132919936</v>
      </c>
      <c r="AE459" s="226">
        <f t="shared" si="140"/>
        <v>1.2689427975879908E-2</v>
      </c>
      <c r="AF459" s="226">
        <f t="shared" si="141"/>
        <v>9.7990901507762948E-2</v>
      </c>
      <c r="AG459" s="226">
        <f t="shared" si="142"/>
        <v>0.15359751903699828</v>
      </c>
      <c r="AH459" s="243">
        <f t="shared" si="143"/>
        <v>0.16403876840690723</v>
      </c>
    </row>
    <row r="460" spans="21:34" x14ac:dyDescent="0.25">
      <c r="U460" s="287">
        <f t="shared" si="144"/>
        <v>0.78000000000000036</v>
      </c>
      <c r="V460" s="208">
        <v>948642536.25327158</v>
      </c>
      <c r="W460" s="208">
        <v>929580725.54459333</v>
      </c>
      <c r="X460" s="240">
        <v>1.0467455873495661</v>
      </c>
      <c r="Y460" s="240">
        <v>1.4522654468664831</v>
      </c>
      <c r="Z460" s="219">
        <v>0.14432592496803087</v>
      </c>
      <c r="AA460" s="219">
        <v>0.14717966746830324</v>
      </c>
      <c r="AB460" s="260">
        <f t="shared" si="137"/>
        <v>0.20000000000000051</v>
      </c>
      <c r="AC460" s="226">
        <f t="shared" si="138"/>
        <v>0.49986363469728962</v>
      </c>
      <c r="AD460" s="226">
        <f t="shared" si="139"/>
        <v>0.51539661884359877</v>
      </c>
      <c r="AE460" s="226">
        <f t="shared" si="140"/>
        <v>1.4987562444766969E-2</v>
      </c>
      <c r="AF460" s="226">
        <f t="shared" si="141"/>
        <v>0.11580742905462879</v>
      </c>
      <c r="AG460" s="226">
        <f t="shared" si="142"/>
        <v>0.18339788962845358</v>
      </c>
      <c r="AH460" s="243">
        <f t="shared" si="143"/>
        <v>0.1961319597748597</v>
      </c>
    </row>
    <row r="461" spans="21:34" ht="15.75" thickBot="1" x14ac:dyDescent="0.3">
      <c r="U461" s="288">
        <f t="shared" si="144"/>
        <v>0.80000000000000038</v>
      </c>
      <c r="V461" s="241">
        <v>997282025.38161039</v>
      </c>
      <c r="W461" s="241">
        <v>978220214.67293119</v>
      </c>
      <c r="X461" s="242">
        <v>1.0491127745245494</v>
      </c>
      <c r="Y461" s="242">
        <v>1.4754543293436151</v>
      </c>
      <c r="Z461" s="224">
        <v>0.14803663710688153</v>
      </c>
      <c r="AA461" s="224">
        <v>0.15122306552721088</v>
      </c>
      <c r="AB461" s="274">
        <f t="shared" si="137"/>
        <v>0.23076923076923131</v>
      </c>
      <c r="AC461" s="228">
        <f t="shared" si="138"/>
        <v>0.57676573234302753</v>
      </c>
      <c r="AD461" s="228">
        <f t="shared" si="139"/>
        <v>0.59468840635799824</v>
      </c>
      <c r="AE461" s="228">
        <f t="shared" si="140"/>
        <v>1.728292969505606E-2</v>
      </c>
      <c r="AF461" s="228">
        <f t="shared" si="141"/>
        <v>0.13362395660149495</v>
      </c>
      <c r="AG461" s="228">
        <f t="shared" si="142"/>
        <v>0.21382380870783757</v>
      </c>
      <c r="AH461" s="247">
        <f t="shared" si="143"/>
        <v>0.22899273278477716</v>
      </c>
    </row>
    <row r="462" spans="21:34" x14ac:dyDescent="0.25">
      <c r="U462" s="92"/>
    </row>
    <row r="463" spans="21:34" x14ac:dyDescent="0.25">
      <c r="U463" s="92"/>
    </row>
    <row r="464" spans="21:34" x14ac:dyDescent="0.25">
      <c r="U464" s="92"/>
    </row>
    <row r="465" spans="20:50" ht="21" x14ac:dyDescent="0.35">
      <c r="U465" s="289" t="s">
        <v>367</v>
      </c>
    </row>
    <row r="467" spans="20:50" x14ac:dyDescent="0.25">
      <c r="U467" s="290" t="s">
        <v>332</v>
      </c>
      <c r="V467" s="1" t="s">
        <v>368</v>
      </c>
    </row>
    <row r="468" spans="20:50" x14ac:dyDescent="0.25">
      <c r="T468" s="293" t="s">
        <v>321</v>
      </c>
      <c r="U468" s="291">
        <f>V154</f>
        <v>632485856.91907358</v>
      </c>
      <c r="V468" s="292">
        <f>AC6</f>
        <v>25000000</v>
      </c>
      <c r="W468" s="292">
        <v>20000000</v>
      </c>
      <c r="X468" s="292">
        <f>W468+500000</f>
        <v>20500000</v>
      </c>
      <c r="Y468" s="292">
        <f t="shared" ref="Y468:AJ468" si="145">X468+500000</f>
        <v>21000000</v>
      </c>
      <c r="Z468" s="292">
        <f t="shared" si="145"/>
        <v>21500000</v>
      </c>
      <c r="AA468" s="292">
        <f t="shared" si="145"/>
        <v>22000000</v>
      </c>
      <c r="AB468" s="292">
        <f t="shared" si="145"/>
        <v>22500000</v>
      </c>
      <c r="AC468" s="292">
        <f t="shared" si="145"/>
        <v>23000000</v>
      </c>
      <c r="AD468" s="292">
        <f t="shared" si="145"/>
        <v>23500000</v>
      </c>
      <c r="AE468" s="292">
        <f t="shared" si="145"/>
        <v>24000000</v>
      </c>
      <c r="AF468" s="292">
        <f t="shared" si="145"/>
        <v>24500000</v>
      </c>
      <c r="AG468" s="292">
        <f t="shared" si="145"/>
        <v>25000000</v>
      </c>
      <c r="AH468" s="292">
        <f t="shared" si="145"/>
        <v>25500000</v>
      </c>
      <c r="AI468" s="292">
        <f t="shared" si="145"/>
        <v>26000000</v>
      </c>
      <c r="AJ468" s="292">
        <f t="shared" si="145"/>
        <v>26500000</v>
      </c>
      <c r="AK468" s="292">
        <f>AJ468+500000</f>
        <v>27000000</v>
      </c>
      <c r="AL468" s="292">
        <f>AK468+500000</f>
        <v>27500000</v>
      </c>
      <c r="AM468" s="292">
        <f t="shared" ref="AM468:AQ468" si="146">AL468+500000</f>
        <v>28000000</v>
      </c>
      <c r="AN468" s="292">
        <f t="shared" si="146"/>
        <v>28500000</v>
      </c>
      <c r="AO468" s="292">
        <f t="shared" si="146"/>
        <v>29000000</v>
      </c>
      <c r="AP468" s="292">
        <f t="shared" si="146"/>
        <v>29500000</v>
      </c>
      <c r="AQ468" s="292">
        <f t="shared" si="146"/>
        <v>30000000</v>
      </c>
      <c r="AR468" s="77"/>
      <c r="AS468" s="77"/>
      <c r="AT468" s="77"/>
      <c r="AU468" s="77"/>
      <c r="AV468" s="77"/>
      <c r="AW468" s="77"/>
      <c r="AX468" s="77"/>
    </row>
    <row r="469" spans="20:50" x14ac:dyDescent="0.25">
      <c r="U469" s="292">
        <f>W31</f>
        <v>143194000</v>
      </c>
      <c r="V469" s="208">
        <f t="dataTable" ref="V469:AQ505" dt2D="1" dtr="1" r1="AC6" r2="W31" ca="1"/>
        <v>632485856.91907358</v>
      </c>
      <c r="W469" s="208">
        <v>-320817975.13516116</v>
      </c>
      <c r="X469" s="208">
        <v>-225487591.92973781</v>
      </c>
      <c r="Y469" s="208">
        <v>-130157208.72431564</v>
      </c>
      <c r="Z469" s="208">
        <v>-34826825.518891096</v>
      </c>
      <c r="AA469" s="208">
        <v>60503557.686532497</v>
      </c>
      <c r="AB469" s="208">
        <v>155833940.89195681</v>
      </c>
      <c r="AC469" s="208">
        <v>251164324.09737921</v>
      </c>
      <c r="AD469" s="208">
        <v>346494707.30280352</v>
      </c>
      <c r="AE469" s="208">
        <v>441825090.50822592</v>
      </c>
      <c r="AF469" s="208">
        <v>537155473.7136507</v>
      </c>
      <c r="AG469" s="208">
        <v>632485856.91907358</v>
      </c>
      <c r="AH469" s="208">
        <v>727816240.12449694</v>
      </c>
      <c r="AI469" s="208">
        <v>823146623.32992125</v>
      </c>
      <c r="AJ469" s="208">
        <v>918477006.53534317</v>
      </c>
      <c r="AK469" s="208">
        <v>1013807389.740766</v>
      </c>
      <c r="AL469" s="208">
        <v>1109137772.9461923</v>
      </c>
      <c r="AM469" s="208">
        <v>1204468156.1516147</v>
      </c>
      <c r="AN469" s="208">
        <v>1299798539.357038</v>
      </c>
      <c r="AO469" s="208">
        <v>1395128922.5624604</v>
      </c>
      <c r="AP469" s="208">
        <v>1490459305.7678862</v>
      </c>
      <c r="AQ469" s="208">
        <v>1585789688.9733076</v>
      </c>
    </row>
    <row r="470" spans="20:50" x14ac:dyDescent="0.25">
      <c r="U470" s="292">
        <v>130000000</v>
      </c>
      <c r="V470" s="208">
        <v>1664381396.5613537</v>
      </c>
      <c r="W470" s="208">
        <v>-242226267.5471158</v>
      </c>
      <c r="X470" s="208">
        <v>-146895884.34169221</v>
      </c>
      <c r="Y470" s="208">
        <v>-51565501.136268854</v>
      </c>
      <c r="Z470" s="208">
        <v>43764882.069154501</v>
      </c>
      <c r="AA470" s="208">
        <v>139095265.27457857</v>
      </c>
      <c r="AB470" s="208">
        <v>234425648.48000145</v>
      </c>
      <c r="AC470" s="208">
        <v>329756031.6854248</v>
      </c>
      <c r="AD470" s="208">
        <v>425086414.89084959</v>
      </c>
      <c r="AE470" s="208">
        <v>520416798.09627247</v>
      </c>
      <c r="AF470" s="208">
        <v>615747181.30169725</v>
      </c>
      <c r="AG470" s="208">
        <v>711077564.50712013</v>
      </c>
      <c r="AH470" s="208">
        <v>806407947.71254301</v>
      </c>
      <c r="AI470" s="208">
        <v>901738330.91796637</v>
      </c>
      <c r="AJ470" s="208">
        <v>997068714.12338877</v>
      </c>
      <c r="AK470" s="208">
        <v>1092399097.3288116</v>
      </c>
      <c r="AL470" s="208">
        <v>1187729480.5342383</v>
      </c>
      <c r="AM470" s="208">
        <v>1283059863.7396598</v>
      </c>
      <c r="AN470" s="208">
        <v>1378390246.9450841</v>
      </c>
      <c r="AO470" s="208">
        <v>1473720630.150507</v>
      </c>
      <c r="AP470" s="208">
        <v>1569051013.3559318</v>
      </c>
      <c r="AQ470" s="208">
        <v>1664381396.5613537</v>
      </c>
    </row>
    <row r="471" spans="20:50" x14ac:dyDescent="0.25">
      <c r="U471" s="292">
        <f>U470+2000000</f>
        <v>132000000</v>
      </c>
      <c r="V471" s="208">
        <v>1652468146.9648633</v>
      </c>
      <c r="W471" s="208">
        <v>-254139517.14360595</v>
      </c>
      <c r="X471" s="208">
        <v>-158809133.93818212</v>
      </c>
      <c r="Y471" s="208">
        <v>-63478750.732759714</v>
      </c>
      <c r="Z471" s="208">
        <v>31851632.472664356</v>
      </c>
      <c r="AA471" s="208">
        <v>127182015.67808771</v>
      </c>
      <c r="AB471" s="208">
        <v>222512398.88351154</v>
      </c>
      <c r="AC471" s="208">
        <v>317842782.08893442</v>
      </c>
      <c r="AD471" s="208">
        <v>413173165.29435873</v>
      </c>
      <c r="AE471" s="208">
        <v>508503548.49978209</v>
      </c>
      <c r="AF471" s="208">
        <v>603833931.70520592</v>
      </c>
      <c r="AG471" s="208">
        <v>699164314.91063023</v>
      </c>
      <c r="AH471" s="208">
        <v>794494698.11605215</v>
      </c>
      <c r="AI471" s="208">
        <v>889825081.32147646</v>
      </c>
      <c r="AJ471" s="208">
        <v>985155464.52689838</v>
      </c>
      <c r="AK471" s="208">
        <v>1080485847.7323217</v>
      </c>
      <c r="AL471" s="208">
        <v>1175816230.937747</v>
      </c>
      <c r="AM471" s="208">
        <v>1271146614.1431704</v>
      </c>
      <c r="AN471" s="208">
        <v>1366476997.3485937</v>
      </c>
      <c r="AO471" s="208">
        <v>1461807380.5540166</v>
      </c>
      <c r="AP471" s="208">
        <v>1557137763.7594419</v>
      </c>
      <c r="AQ471" s="208">
        <v>1652468146.9648633</v>
      </c>
    </row>
    <row r="472" spans="20:50" x14ac:dyDescent="0.25">
      <c r="U472" s="292">
        <f t="shared" ref="U472:U505" si="147">U471+2000000</f>
        <v>134000000</v>
      </c>
      <c r="V472" s="208">
        <v>1640554897.3683734</v>
      </c>
      <c r="W472" s="208">
        <v>-266052766.74009562</v>
      </c>
      <c r="X472" s="208">
        <v>-170722383.53467226</v>
      </c>
      <c r="Y472" s="208">
        <v>-75392000.329249382</v>
      </c>
      <c r="Z472" s="208">
        <v>19938382.876174927</v>
      </c>
      <c r="AA472" s="208">
        <v>115268766.08159876</v>
      </c>
      <c r="AB472" s="208">
        <v>210599149.28702164</v>
      </c>
      <c r="AC472" s="208">
        <v>305929532.49244452</v>
      </c>
      <c r="AD472" s="208">
        <v>401259915.69786978</v>
      </c>
      <c r="AE472" s="208">
        <v>496590298.90329218</v>
      </c>
      <c r="AF472" s="208">
        <v>591920682.10871649</v>
      </c>
      <c r="AG472" s="208">
        <v>687251065.31413937</v>
      </c>
      <c r="AH472" s="208">
        <v>782581448.51956272</v>
      </c>
      <c r="AI472" s="208">
        <v>877911831.72498655</v>
      </c>
      <c r="AJ472" s="208">
        <v>973242214.93040895</v>
      </c>
      <c r="AK472" s="208">
        <v>1068572598.1358314</v>
      </c>
      <c r="AL472" s="208">
        <v>1163902981.341258</v>
      </c>
      <c r="AM472" s="208">
        <v>1259233364.5466795</v>
      </c>
      <c r="AN472" s="208">
        <v>1354563747.7521038</v>
      </c>
      <c r="AO472" s="208">
        <v>1449894130.9575267</v>
      </c>
      <c r="AP472" s="208">
        <v>1545224514.1629515</v>
      </c>
      <c r="AQ472" s="208">
        <v>1640554897.3683734</v>
      </c>
    </row>
    <row r="473" spans="20:50" x14ac:dyDescent="0.25">
      <c r="U473" s="292">
        <f t="shared" si="147"/>
        <v>136000000</v>
      </c>
      <c r="V473" s="208">
        <v>1628641647.7718844</v>
      </c>
      <c r="W473" s="208">
        <v>-277966016.33658576</v>
      </c>
      <c r="X473" s="208">
        <v>-182635633.13116264</v>
      </c>
      <c r="Y473" s="208">
        <v>-87305249.925739527</v>
      </c>
      <c r="Z473" s="208">
        <v>8025133.2796843052</v>
      </c>
      <c r="AA473" s="208">
        <v>103355516.48510742</v>
      </c>
      <c r="AB473" s="208">
        <v>198685899.69053078</v>
      </c>
      <c r="AC473" s="208">
        <v>294016282.89595461</v>
      </c>
      <c r="AD473" s="208">
        <v>389346666.10137892</v>
      </c>
      <c r="AE473" s="208">
        <v>484677049.30680227</v>
      </c>
      <c r="AF473" s="208">
        <v>580007432.51222706</v>
      </c>
      <c r="AG473" s="208">
        <v>675337815.71764946</v>
      </c>
      <c r="AH473" s="208">
        <v>770668198.92307329</v>
      </c>
      <c r="AI473" s="208">
        <v>865998582.12849665</v>
      </c>
      <c r="AJ473" s="208">
        <v>961328965.33391905</v>
      </c>
      <c r="AK473" s="208">
        <v>1056659348.5393414</v>
      </c>
      <c r="AL473" s="208">
        <v>1151989731.7447686</v>
      </c>
      <c r="AM473" s="208">
        <v>1247320114.9501901</v>
      </c>
      <c r="AN473" s="208">
        <v>1342650498.1556139</v>
      </c>
      <c r="AO473" s="208">
        <v>1437980881.3610373</v>
      </c>
      <c r="AP473" s="208">
        <v>1533311264.566462</v>
      </c>
      <c r="AQ473" s="208">
        <v>1628641647.7718844</v>
      </c>
    </row>
    <row r="474" spans="20:50" x14ac:dyDescent="0.25">
      <c r="U474" s="292">
        <f t="shared" si="147"/>
        <v>138000000</v>
      </c>
      <c r="V474" s="208">
        <v>1616728398.1753926</v>
      </c>
      <c r="W474" s="208">
        <v>-289879265.9330759</v>
      </c>
      <c r="X474" s="208">
        <v>-194548882.72765255</v>
      </c>
      <c r="Y474" s="208">
        <v>-99218499.522230387</v>
      </c>
      <c r="Z474" s="208">
        <v>-3888116.3168056011</v>
      </c>
      <c r="AA474" s="208">
        <v>91442266.888617992</v>
      </c>
      <c r="AB474" s="208">
        <v>186772650.09404087</v>
      </c>
      <c r="AC474" s="208">
        <v>282103033.29946423</v>
      </c>
      <c r="AD474" s="208">
        <v>377433416.50488853</v>
      </c>
      <c r="AE474" s="208">
        <v>472763799.71031141</v>
      </c>
      <c r="AF474" s="208">
        <v>568094182.91573572</v>
      </c>
      <c r="AG474" s="208">
        <v>663424566.12115955</v>
      </c>
      <c r="AH474" s="208">
        <v>758754949.32658195</v>
      </c>
      <c r="AI474" s="208">
        <v>854085332.53200626</v>
      </c>
      <c r="AJ474" s="208">
        <v>949415715.73742819</v>
      </c>
      <c r="AK474" s="208">
        <v>1044746098.9428515</v>
      </c>
      <c r="AL474" s="208">
        <v>1140076482.1482778</v>
      </c>
      <c r="AM474" s="208">
        <v>1235406865.3536992</v>
      </c>
      <c r="AN474" s="208">
        <v>1330737248.559123</v>
      </c>
      <c r="AO474" s="208">
        <v>1426067631.7645454</v>
      </c>
      <c r="AP474" s="208">
        <v>1521398014.9699712</v>
      </c>
      <c r="AQ474" s="208">
        <v>1616728398.1753926</v>
      </c>
    </row>
    <row r="475" spans="20:50" x14ac:dyDescent="0.25">
      <c r="U475" s="292">
        <f t="shared" si="147"/>
        <v>140000000</v>
      </c>
      <c r="V475" s="208">
        <v>1604815148.5789037</v>
      </c>
      <c r="W475" s="208">
        <v>-301792515.52956629</v>
      </c>
      <c r="X475" s="208">
        <v>-206462132.32414317</v>
      </c>
      <c r="Y475" s="208">
        <v>-111131749.11872077</v>
      </c>
      <c r="Z475" s="208">
        <v>-15801365.913296223</v>
      </c>
      <c r="AA475" s="208">
        <v>79529017.292127132</v>
      </c>
      <c r="AB475" s="208">
        <v>174859400.49755096</v>
      </c>
      <c r="AC475" s="208">
        <v>270189783.70297384</v>
      </c>
      <c r="AD475" s="208">
        <v>365520166.90839911</v>
      </c>
      <c r="AE475" s="208">
        <v>460850550.11382103</v>
      </c>
      <c r="AF475" s="208">
        <v>556180933.31924534</v>
      </c>
      <c r="AG475" s="208">
        <v>651511316.52466917</v>
      </c>
      <c r="AH475" s="208">
        <v>746841699.73009157</v>
      </c>
      <c r="AI475" s="208">
        <v>842172082.93551588</v>
      </c>
      <c r="AJ475" s="208">
        <v>937502466.14093876</v>
      </c>
      <c r="AK475" s="208">
        <v>1032832849.3463612</v>
      </c>
      <c r="AL475" s="208">
        <v>1128163232.5517869</v>
      </c>
      <c r="AM475" s="208">
        <v>1223493615.7572093</v>
      </c>
      <c r="AN475" s="208">
        <v>1318823998.9626331</v>
      </c>
      <c r="AO475" s="208">
        <v>1414154382.1680555</v>
      </c>
      <c r="AP475" s="208">
        <v>1509484765.3734808</v>
      </c>
      <c r="AQ475" s="208">
        <v>1604815148.5789037</v>
      </c>
    </row>
    <row r="476" spans="20:50" x14ac:dyDescent="0.25">
      <c r="U476" s="292">
        <f t="shared" si="147"/>
        <v>142000000</v>
      </c>
      <c r="V476" s="208">
        <v>1592901898.9824138</v>
      </c>
      <c r="W476" s="208">
        <v>-313705765.12605572</v>
      </c>
      <c r="X476" s="208">
        <v>-218375381.9206326</v>
      </c>
      <c r="Y476" s="208">
        <v>-123044998.71520925</v>
      </c>
      <c r="Z476" s="208">
        <v>-27714615.509785891</v>
      </c>
      <c r="AA476" s="208">
        <v>67615767.695637703</v>
      </c>
      <c r="AB476" s="208">
        <v>162946150.90106106</v>
      </c>
      <c r="AC476" s="208">
        <v>258276534.10648394</v>
      </c>
      <c r="AD476" s="208">
        <v>353606917.3119092</v>
      </c>
      <c r="AE476" s="208">
        <v>448937300.5173316</v>
      </c>
      <c r="AF476" s="208">
        <v>544267683.72275639</v>
      </c>
      <c r="AG476" s="208">
        <v>639598066.92817974</v>
      </c>
      <c r="AH476" s="208">
        <v>734928450.13360214</v>
      </c>
      <c r="AI476" s="208">
        <v>830258833.33902645</v>
      </c>
      <c r="AJ476" s="208">
        <v>925589216.54444933</v>
      </c>
      <c r="AK476" s="208">
        <v>1020919599.7498713</v>
      </c>
      <c r="AL476" s="208">
        <v>1116249982.9552984</v>
      </c>
      <c r="AM476" s="208">
        <v>1211580366.1607203</v>
      </c>
      <c r="AN476" s="208">
        <v>1306910749.3661432</v>
      </c>
      <c r="AO476" s="208">
        <v>1402241132.5715666</v>
      </c>
      <c r="AP476" s="208">
        <v>1497571515.7769914</v>
      </c>
      <c r="AQ476" s="208">
        <v>1592901898.9824138</v>
      </c>
    </row>
    <row r="477" spans="20:50" x14ac:dyDescent="0.25">
      <c r="U477" s="292">
        <f t="shared" si="147"/>
        <v>144000000</v>
      </c>
      <c r="V477" s="208">
        <v>1580988649.3859234</v>
      </c>
      <c r="W477" s="208">
        <v>-325619014.72254586</v>
      </c>
      <c r="X477" s="208">
        <v>-230288631.51712251</v>
      </c>
      <c r="Y477" s="208">
        <v>-134958248.31169963</v>
      </c>
      <c r="Z477" s="208">
        <v>-39627865.106276751</v>
      </c>
      <c r="AA477" s="208">
        <v>55702518.099146843</v>
      </c>
      <c r="AB477" s="208">
        <v>151032901.3045702</v>
      </c>
      <c r="AC477" s="208">
        <v>246363284.50999403</v>
      </c>
      <c r="AD477" s="208">
        <v>341693667.71541882</v>
      </c>
      <c r="AE477" s="208">
        <v>437024050.92084169</v>
      </c>
      <c r="AF477" s="208">
        <v>532354434.126266</v>
      </c>
      <c r="AG477" s="208">
        <v>627684817.33168983</v>
      </c>
      <c r="AH477" s="208">
        <v>723015200.53711176</v>
      </c>
      <c r="AI477" s="208">
        <v>818345583.74253559</v>
      </c>
      <c r="AJ477" s="208">
        <v>913675966.94795847</v>
      </c>
      <c r="AK477" s="208">
        <v>1009006350.1533818</v>
      </c>
      <c r="AL477" s="208">
        <v>1104336733.3588071</v>
      </c>
      <c r="AM477" s="208">
        <v>1199667116.564229</v>
      </c>
      <c r="AN477" s="208">
        <v>1294997499.7696538</v>
      </c>
      <c r="AO477" s="208">
        <v>1390327882.9750767</v>
      </c>
      <c r="AP477" s="208">
        <v>1485658266.180501</v>
      </c>
      <c r="AQ477" s="208">
        <v>1580988649.3859234</v>
      </c>
    </row>
    <row r="478" spans="20:50" x14ac:dyDescent="0.25">
      <c r="U478" s="292">
        <f t="shared" si="147"/>
        <v>146000000</v>
      </c>
      <c r="V478" s="208">
        <v>1569075399.7894335</v>
      </c>
      <c r="W478" s="208">
        <v>-337532264.31903648</v>
      </c>
      <c r="X478" s="208">
        <v>-242201881.11361265</v>
      </c>
      <c r="Y478" s="208">
        <v>-146871497.90819001</v>
      </c>
      <c r="Z478" s="208">
        <v>-51541114.702765942</v>
      </c>
      <c r="AA478" s="208">
        <v>43789268.50265789</v>
      </c>
      <c r="AB478" s="208">
        <v>139119651.70808125</v>
      </c>
      <c r="AC478" s="208">
        <v>234450034.91350365</v>
      </c>
      <c r="AD478" s="208">
        <v>329780418.11892891</v>
      </c>
      <c r="AE478" s="208">
        <v>425110801.32435179</v>
      </c>
      <c r="AF478" s="208">
        <v>520441184.5297761</v>
      </c>
      <c r="AG478" s="208">
        <v>615771567.73519993</v>
      </c>
      <c r="AH478" s="208">
        <v>711101950.9406209</v>
      </c>
      <c r="AI478" s="208">
        <v>806432334.14604568</v>
      </c>
      <c r="AJ478" s="208">
        <v>901762717.35146904</v>
      </c>
      <c r="AK478" s="208">
        <v>997093100.55689144</v>
      </c>
      <c r="AL478" s="208">
        <v>1092423483.7623172</v>
      </c>
      <c r="AM478" s="208">
        <v>1187753866.9677396</v>
      </c>
      <c r="AN478" s="208">
        <v>1283084250.1731629</v>
      </c>
      <c r="AO478" s="208">
        <v>1378414633.3785863</v>
      </c>
      <c r="AP478" s="208">
        <v>1473745016.5840116</v>
      </c>
      <c r="AQ478" s="208">
        <v>1569075399.7894335</v>
      </c>
    </row>
    <row r="479" spans="20:50" x14ac:dyDescent="0.25">
      <c r="U479" s="292">
        <f t="shared" si="147"/>
        <v>148000000</v>
      </c>
      <c r="V479" s="208">
        <v>1557162150.1929431</v>
      </c>
      <c r="W479" s="208">
        <v>-349445513.91552663</v>
      </c>
      <c r="X479" s="208">
        <v>-254115130.71010327</v>
      </c>
      <c r="Y479" s="208">
        <v>-158784747.50467992</v>
      </c>
      <c r="Z479" s="208">
        <v>-63454364.299255848</v>
      </c>
      <c r="AA479" s="208">
        <v>31876018.906167746</v>
      </c>
      <c r="AB479" s="208">
        <v>127206402.11159182</v>
      </c>
      <c r="AC479" s="208">
        <v>222536785.31701422</v>
      </c>
      <c r="AD479" s="208">
        <v>317867168.522439</v>
      </c>
      <c r="AE479" s="208">
        <v>413197551.72786188</v>
      </c>
      <c r="AF479" s="208">
        <v>508527934.93328619</v>
      </c>
      <c r="AG479" s="208">
        <v>603858318.13871002</v>
      </c>
      <c r="AH479" s="208">
        <v>699188701.34413242</v>
      </c>
      <c r="AI479" s="208">
        <v>794519084.54955673</v>
      </c>
      <c r="AJ479" s="208">
        <v>889849467.75497913</v>
      </c>
      <c r="AK479" s="208">
        <v>985179850.96040106</v>
      </c>
      <c r="AL479" s="208">
        <v>1080510234.1658273</v>
      </c>
      <c r="AM479" s="208">
        <v>1175840617.3712492</v>
      </c>
      <c r="AN479" s="208">
        <v>1271171000.5766735</v>
      </c>
      <c r="AO479" s="208">
        <v>1366501383.7820959</v>
      </c>
      <c r="AP479" s="208">
        <v>1461831766.9875212</v>
      </c>
      <c r="AQ479" s="208">
        <v>1557162150.1929431</v>
      </c>
    </row>
    <row r="480" spans="20:50" x14ac:dyDescent="0.25">
      <c r="U480" s="292">
        <f t="shared" si="147"/>
        <v>150000000</v>
      </c>
      <c r="V480" s="208">
        <v>1545248900.5964527</v>
      </c>
      <c r="W480" s="208">
        <v>-361358763.51201773</v>
      </c>
      <c r="X480" s="208">
        <v>-266028380.30659342</v>
      </c>
      <c r="Y480" s="208">
        <v>-170697997.10117054</v>
      </c>
      <c r="Z480" s="208">
        <v>-75367613.895746946</v>
      </c>
      <c r="AA480" s="208">
        <v>19962769.309676409</v>
      </c>
      <c r="AB480" s="208">
        <v>115293152.51509953</v>
      </c>
      <c r="AC480" s="208">
        <v>210623535.7205224</v>
      </c>
      <c r="AD480" s="208">
        <v>305953918.92594719</v>
      </c>
      <c r="AE480" s="208">
        <v>401284302.13137007</v>
      </c>
      <c r="AF480" s="208">
        <v>496614685.33679485</v>
      </c>
      <c r="AG480" s="208">
        <v>591945068.54221869</v>
      </c>
      <c r="AH480" s="208">
        <v>687275451.74764156</v>
      </c>
      <c r="AI480" s="208">
        <v>782605834.9530654</v>
      </c>
      <c r="AJ480" s="208">
        <v>877936218.1584878</v>
      </c>
      <c r="AK480" s="208">
        <v>973266601.3639102</v>
      </c>
      <c r="AL480" s="208">
        <v>1068596984.5693355</v>
      </c>
      <c r="AM480" s="208">
        <v>1163927367.7747583</v>
      </c>
      <c r="AN480" s="208">
        <v>1259257750.9801817</v>
      </c>
      <c r="AO480" s="208">
        <v>1354588134.1856046</v>
      </c>
      <c r="AP480" s="208">
        <v>1449918517.3910303</v>
      </c>
      <c r="AQ480" s="208">
        <v>1545248900.5964527</v>
      </c>
    </row>
    <row r="481" spans="21:43" x14ac:dyDescent="0.25">
      <c r="U481" s="292">
        <f t="shared" si="147"/>
        <v>152000000</v>
      </c>
      <c r="V481" s="208">
        <v>1533335650.9999633</v>
      </c>
      <c r="W481" s="208">
        <v>-373272013.10850596</v>
      </c>
      <c r="X481" s="208">
        <v>-277941629.90308261</v>
      </c>
      <c r="Y481" s="208">
        <v>-182611246.69766021</v>
      </c>
      <c r="Z481" s="208">
        <v>-87280863.492236614</v>
      </c>
      <c r="AA481" s="208">
        <v>8049519.7131876945</v>
      </c>
      <c r="AB481" s="208">
        <v>103379902.91861153</v>
      </c>
      <c r="AC481" s="208">
        <v>198710286.1240344</v>
      </c>
      <c r="AD481" s="208">
        <v>294040669.32945919</v>
      </c>
      <c r="AE481" s="208">
        <v>389371052.53488207</v>
      </c>
      <c r="AF481" s="208">
        <v>484701435.74030638</v>
      </c>
      <c r="AG481" s="208">
        <v>580031818.94572926</v>
      </c>
      <c r="AH481" s="208">
        <v>675362202.15115213</v>
      </c>
      <c r="AI481" s="208">
        <v>770692585.35657549</v>
      </c>
      <c r="AJ481" s="208">
        <v>866022968.56199884</v>
      </c>
      <c r="AK481" s="208">
        <v>961353351.76742172</v>
      </c>
      <c r="AL481" s="208">
        <v>1056683734.9728475</v>
      </c>
      <c r="AM481" s="208">
        <v>1152014118.1782694</v>
      </c>
      <c r="AN481" s="208">
        <v>1247344501.3836932</v>
      </c>
      <c r="AO481" s="208">
        <v>1342674884.5891161</v>
      </c>
      <c r="AP481" s="208">
        <v>1438005267.7945404</v>
      </c>
      <c r="AQ481" s="208">
        <v>1533335650.9999633</v>
      </c>
    </row>
    <row r="482" spans="21:43" x14ac:dyDescent="0.25">
      <c r="U482" s="292">
        <f t="shared" si="147"/>
        <v>154000000</v>
      </c>
      <c r="V482" s="208">
        <v>1521422401.4034743</v>
      </c>
      <c r="W482" s="208">
        <v>-385185262.70499659</v>
      </c>
      <c r="X482" s="208">
        <v>-289854879.49957395</v>
      </c>
      <c r="Y482" s="208">
        <v>-194524496.29415011</v>
      </c>
      <c r="Z482" s="208">
        <v>-99194113.088726997</v>
      </c>
      <c r="AA482" s="208">
        <v>-3863729.8833024502</v>
      </c>
      <c r="AB482" s="208">
        <v>91466653.322120667</v>
      </c>
      <c r="AC482" s="208">
        <v>186797036.52754354</v>
      </c>
      <c r="AD482" s="208">
        <v>282127419.73296785</v>
      </c>
      <c r="AE482" s="208">
        <v>377457802.93839073</v>
      </c>
      <c r="AF482" s="208">
        <v>472788186.14381552</v>
      </c>
      <c r="AG482" s="208">
        <v>568118569.34923935</v>
      </c>
      <c r="AH482" s="208">
        <v>663448952.55466223</v>
      </c>
      <c r="AI482" s="208">
        <v>758779335.76008606</v>
      </c>
      <c r="AJ482" s="208">
        <v>854109718.96550894</v>
      </c>
      <c r="AK482" s="208">
        <v>949440102.17093086</v>
      </c>
      <c r="AL482" s="208">
        <v>1044770485.3763571</v>
      </c>
      <c r="AM482" s="208">
        <v>1140100868.581779</v>
      </c>
      <c r="AN482" s="208">
        <v>1235431251.7872028</v>
      </c>
      <c r="AO482" s="208">
        <v>1330761634.9926257</v>
      </c>
      <c r="AP482" s="208">
        <v>1426092018.1980515</v>
      </c>
      <c r="AQ482" s="208">
        <v>1521422401.4034743</v>
      </c>
    </row>
    <row r="483" spans="21:43" x14ac:dyDescent="0.25">
      <c r="U483" s="292">
        <f t="shared" si="147"/>
        <v>156000000</v>
      </c>
      <c r="V483" s="208">
        <v>1509509151.806983</v>
      </c>
      <c r="W483" s="208">
        <v>-397098512.30148697</v>
      </c>
      <c r="X483" s="208">
        <v>-301768129.09606361</v>
      </c>
      <c r="Y483" s="208">
        <v>-206437745.89064074</v>
      </c>
      <c r="Z483" s="208">
        <v>-111107362.68521667</v>
      </c>
      <c r="AA483" s="208">
        <v>-15776979.47979331</v>
      </c>
      <c r="AB483" s="208">
        <v>79553403.725629807</v>
      </c>
      <c r="AC483" s="208">
        <v>174883786.93105316</v>
      </c>
      <c r="AD483" s="208">
        <v>270214170.13647842</v>
      </c>
      <c r="AE483" s="208">
        <v>365544553.34190035</v>
      </c>
      <c r="AF483" s="208">
        <v>460874936.54732513</v>
      </c>
      <c r="AG483" s="208">
        <v>556205319.75274897</v>
      </c>
      <c r="AH483" s="208">
        <v>651535702.95817137</v>
      </c>
      <c r="AI483" s="208">
        <v>746866086.16359568</v>
      </c>
      <c r="AJ483" s="208">
        <v>842196469.36901808</v>
      </c>
      <c r="AK483" s="208">
        <v>937526852.57444048</v>
      </c>
      <c r="AL483" s="208">
        <v>1032857235.7798667</v>
      </c>
      <c r="AM483" s="208">
        <v>1128187618.9852886</v>
      </c>
      <c r="AN483" s="208">
        <v>1223518002.1907125</v>
      </c>
      <c r="AO483" s="208">
        <v>1318848385.3961353</v>
      </c>
      <c r="AP483" s="208">
        <v>1414178768.6015611</v>
      </c>
      <c r="AQ483" s="208">
        <v>1509509151.806983</v>
      </c>
    </row>
    <row r="484" spans="21:43" x14ac:dyDescent="0.25">
      <c r="U484" s="292">
        <f t="shared" si="147"/>
        <v>158000000</v>
      </c>
      <c r="V484" s="208">
        <v>1497595902.2104926</v>
      </c>
      <c r="W484" s="208">
        <v>-409011761.8979764</v>
      </c>
      <c r="X484" s="208">
        <v>-313681378.69255328</v>
      </c>
      <c r="Y484" s="208">
        <v>-218350995.48713017</v>
      </c>
      <c r="Z484" s="208">
        <v>-123020612.28170657</v>
      </c>
      <c r="AA484" s="208">
        <v>-27690229.076282978</v>
      </c>
      <c r="AB484" s="208">
        <v>67640154.129140854</v>
      </c>
      <c r="AC484" s="208">
        <v>162970537.33456326</v>
      </c>
      <c r="AD484" s="208">
        <v>258300920.53998852</v>
      </c>
      <c r="AE484" s="208">
        <v>353631303.74541187</v>
      </c>
      <c r="AF484" s="208">
        <v>448961686.95083523</v>
      </c>
      <c r="AG484" s="208">
        <v>544292070.15625858</v>
      </c>
      <c r="AH484" s="208">
        <v>639622453.36168194</v>
      </c>
      <c r="AI484" s="208">
        <v>734952836.56710577</v>
      </c>
      <c r="AJ484" s="208">
        <v>830283219.77252817</v>
      </c>
      <c r="AK484" s="208">
        <v>925613602.97795105</v>
      </c>
      <c r="AL484" s="208">
        <v>1020943986.1833773</v>
      </c>
      <c r="AM484" s="208">
        <v>1116274369.3887992</v>
      </c>
      <c r="AN484" s="208">
        <v>1211604752.594223</v>
      </c>
      <c r="AO484" s="208">
        <v>1306935135.7996459</v>
      </c>
      <c r="AP484" s="208">
        <v>1402265519.0050707</v>
      </c>
      <c r="AQ484" s="208">
        <v>1497595902.2104926</v>
      </c>
    </row>
    <row r="485" spans="21:43" x14ac:dyDescent="0.25">
      <c r="U485" s="292">
        <f t="shared" si="147"/>
        <v>160000000</v>
      </c>
      <c r="V485" s="208">
        <v>1485682652.6140022</v>
      </c>
      <c r="W485" s="208">
        <v>-420925011.49446678</v>
      </c>
      <c r="X485" s="208">
        <v>-325594628.2890439</v>
      </c>
      <c r="Y485" s="208">
        <v>-230264245.08362031</v>
      </c>
      <c r="Z485" s="208">
        <v>-134933861.87819672</v>
      </c>
      <c r="AA485" s="208">
        <v>-39603478.672773361</v>
      </c>
      <c r="AB485" s="208">
        <v>55726904.532650471</v>
      </c>
      <c r="AC485" s="208">
        <v>151057287.73807335</v>
      </c>
      <c r="AD485" s="208">
        <v>246387670.94349766</v>
      </c>
      <c r="AE485" s="208">
        <v>341718054.14892054</v>
      </c>
      <c r="AF485" s="208">
        <v>437048437.35434532</v>
      </c>
      <c r="AG485" s="208">
        <v>532378820.5597682</v>
      </c>
      <c r="AH485" s="208">
        <v>627709203.76519108</v>
      </c>
      <c r="AI485" s="208">
        <v>723039586.97061491</v>
      </c>
      <c r="AJ485" s="208">
        <v>818369970.17603874</v>
      </c>
      <c r="AK485" s="208">
        <v>913700353.38145971</v>
      </c>
      <c r="AL485" s="208">
        <v>1009030736.5868859</v>
      </c>
      <c r="AM485" s="208">
        <v>1104361119.7923083</v>
      </c>
      <c r="AN485" s="208">
        <v>1199691502.9977326</v>
      </c>
      <c r="AO485" s="208">
        <v>1295021886.2031555</v>
      </c>
      <c r="AP485" s="208">
        <v>1390352269.4085803</v>
      </c>
      <c r="AQ485" s="208">
        <v>1485682652.6140022</v>
      </c>
    </row>
    <row r="486" spans="21:43" x14ac:dyDescent="0.25">
      <c r="U486" s="292">
        <f t="shared" si="147"/>
        <v>162000000</v>
      </c>
      <c r="V486" s="208">
        <v>1473769403.0175133</v>
      </c>
      <c r="W486" s="208">
        <v>-432838261.0909574</v>
      </c>
      <c r="X486" s="208">
        <v>-337507877.88553429</v>
      </c>
      <c r="Y486" s="208">
        <v>-242177494.68011045</v>
      </c>
      <c r="Z486" s="208">
        <v>-146847111.47468686</v>
      </c>
      <c r="AA486" s="208">
        <v>-51516728.269263506</v>
      </c>
      <c r="AB486" s="208">
        <v>43813654.936159849</v>
      </c>
      <c r="AC486" s="208">
        <v>139144038.14158297</v>
      </c>
      <c r="AD486" s="208">
        <v>234474421.34700775</v>
      </c>
      <c r="AE486" s="208">
        <v>329804804.55243063</v>
      </c>
      <c r="AF486" s="208">
        <v>425135187.75785589</v>
      </c>
      <c r="AG486" s="208">
        <v>520465570.96327925</v>
      </c>
      <c r="AH486" s="208">
        <v>615795954.16870117</v>
      </c>
      <c r="AI486" s="208">
        <v>711126337.37412548</v>
      </c>
      <c r="AJ486" s="208">
        <v>806456720.57954788</v>
      </c>
      <c r="AK486" s="208">
        <v>901787103.78497028</v>
      </c>
      <c r="AL486" s="208">
        <v>997117486.9903965</v>
      </c>
      <c r="AM486" s="208">
        <v>1092447870.1958179</v>
      </c>
      <c r="AN486" s="208">
        <v>1187778253.4012418</v>
      </c>
      <c r="AO486" s="208">
        <v>1283108636.6066647</v>
      </c>
      <c r="AP486" s="208">
        <v>1378439019.8120904</v>
      </c>
      <c r="AQ486" s="208">
        <v>1473769403.0175133</v>
      </c>
    </row>
    <row r="487" spans="21:43" x14ac:dyDescent="0.25">
      <c r="U487" s="292">
        <f t="shared" si="147"/>
        <v>164000000</v>
      </c>
      <c r="V487" s="208">
        <v>1461856153.4210229</v>
      </c>
      <c r="W487" s="208">
        <v>-444751510.68744731</v>
      </c>
      <c r="X487" s="208">
        <v>-349421127.48202348</v>
      </c>
      <c r="Y487" s="208">
        <v>-254090744.27660012</v>
      </c>
      <c r="Z487" s="208">
        <v>-158760361.07117629</v>
      </c>
      <c r="AA487" s="208">
        <v>-63429977.865752935</v>
      </c>
      <c r="AB487" s="208">
        <v>31900405.339670658</v>
      </c>
      <c r="AC487" s="208">
        <v>127230788.54509354</v>
      </c>
      <c r="AD487" s="208">
        <v>222561171.75051832</v>
      </c>
      <c r="AE487" s="208">
        <v>317891554.95594072</v>
      </c>
      <c r="AF487" s="208">
        <v>413221938.16136551</v>
      </c>
      <c r="AG487" s="208">
        <v>508552321.36678886</v>
      </c>
      <c r="AH487" s="208">
        <v>603882704.57221127</v>
      </c>
      <c r="AI487" s="208">
        <v>699213087.77763557</v>
      </c>
      <c r="AJ487" s="208">
        <v>794543470.98305845</v>
      </c>
      <c r="AK487" s="208">
        <v>889873854.18848038</v>
      </c>
      <c r="AL487" s="208">
        <v>985204237.39390659</v>
      </c>
      <c r="AM487" s="208">
        <v>1080534620.5993295</v>
      </c>
      <c r="AN487" s="208">
        <v>1175865003.8047523</v>
      </c>
      <c r="AO487" s="208">
        <v>1271195387.0101757</v>
      </c>
      <c r="AP487" s="208">
        <v>1366525770.215601</v>
      </c>
      <c r="AQ487" s="208">
        <v>1461856153.4210229</v>
      </c>
    </row>
    <row r="488" spans="21:43" x14ac:dyDescent="0.25">
      <c r="U488" s="292">
        <f t="shared" si="147"/>
        <v>166000000</v>
      </c>
      <c r="V488" s="208">
        <v>1449942903.824532</v>
      </c>
      <c r="W488" s="208">
        <v>-456664760.28393745</v>
      </c>
      <c r="X488" s="208">
        <v>-361334377.07851386</v>
      </c>
      <c r="Y488" s="208">
        <v>-266003993.87309074</v>
      </c>
      <c r="Z488" s="208">
        <v>-170673610.66766715</v>
      </c>
      <c r="AA488" s="208">
        <v>-75343227.462244034</v>
      </c>
      <c r="AB488" s="208">
        <v>19987155.743180275</v>
      </c>
      <c r="AC488" s="208">
        <v>115317538.94860268</v>
      </c>
      <c r="AD488" s="208">
        <v>210647922.15402746</v>
      </c>
      <c r="AE488" s="208">
        <v>305978305.35945034</v>
      </c>
      <c r="AF488" s="208">
        <v>401308688.56487513</v>
      </c>
      <c r="AG488" s="208">
        <v>496639071.77029848</v>
      </c>
      <c r="AH488" s="208">
        <v>591969454.97572088</v>
      </c>
      <c r="AI488" s="208">
        <v>687299838.18114519</v>
      </c>
      <c r="AJ488" s="208">
        <v>782630221.38656807</v>
      </c>
      <c r="AK488" s="208">
        <v>877960604.59199047</v>
      </c>
      <c r="AL488" s="208">
        <v>973290987.79741621</v>
      </c>
      <c r="AM488" s="208">
        <v>1068621371.0028386</v>
      </c>
      <c r="AN488" s="208">
        <v>1163951754.2082624</v>
      </c>
      <c r="AO488" s="208">
        <v>1259282137.4136858</v>
      </c>
      <c r="AP488" s="208">
        <v>1354612520.6191101</v>
      </c>
      <c r="AQ488" s="208">
        <v>1449942903.824532</v>
      </c>
    </row>
    <row r="489" spans="21:43" x14ac:dyDescent="0.25">
      <c r="U489" s="292">
        <f t="shared" si="147"/>
        <v>168000000</v>
      </c>
      <c r="V489" s="208">
        <v>1438029654.2280426</v>
      </c>
      <c r="W489" s="208">
        <v>-468578009.88042712</v>
      </c>
      <c r="X489" s="208">
        <v>-373247626.67500401</v>
      </c>
      <c r="Y489" s="208">
        <v>-277917243.46958113</v>
      </c>
      <c r="Z489" s="208">
        <v>-182586860.2641573</v>
      </c>
      <c r="AA489" s="208">
        <v>-87256477.058732748</v>
      </c>
      <c r="AB489" s="208">
        <v>8073906.1466901302</v>
      </c>
      <c r="AC489" s="208">
        <v>103404289.35211325</v>
      </c>
      <c r="AD489" s="208">
        <v>198734672.55753756</v>
      </c>
      <c r="AE489" s="208">
        <v>294065055.76296043</v>
      </c>
      <c r="AF489" s="208">
        <v>389395438.96838474</v>
      </c>
      <c r="AG489" s="208">
        <v>484725822.17380905</v>
      </c>
      <c r="AH489" s="208">
        <v>580056205.37923145</v>
      </c>
      <c r="AI489" s="208">
        <v>675386588.58465528</v>
      </c>
      <c r="AJ489" s="208">
        <v>770716971.79007912</v>
      </c>
      <c r="AK489" s="208">
        <v>866047354.99550104</v>
      </c>
      <c r="AL489" s="208">
        <v>961377738.2009263</v>
      </c>
      <c r="AM489" s="208">
        <v>1056708121.4063487</v>
      </c>
      <c r="AN489" s="208">
        <v>1152038504.6117725</v>
      </c>
      <c r="AO489" s="208">
        <v>1247368887.8171949</v>
      </c>
      <c r="AP489" s="208">
        <v>1342699271.0226207</v>
      </c>
      <c r="AQ489" s="208">
        <v>1438029654.2280426</v>
      </c>
    </row>
    <row r="490" spans="21:43" x14ac:dyDescent="0.25">
      <c r="U490" s="292">
        <f t="shared" si="147"/>
        <v>170000000</v>
      </c>
      <c r="V490" s="208">
        <v>1426116404.6315527</v>
      </c>
      <c r="W490" s="208">
        <v>-480491259.47691703</v>
      </c>
      <c r="X490" s="208">
        <v>-385160876.27149415</v>
      </c>
      <c r="Y490" s="208">
        <v>-289830493.06607103</v>
      </c>
      <c r="Z490" s="208">
        <v>-194500109.86064744</v>
      </c>
      <c r="AA490" s="208">
        <v>-99169726.655223131</v>
      </c>
      <c r="AB490" s="208">
        <v>-3839343.4498002529</v>
      </c>
      <c r="AC490" s="208">
        <v>91491039.755623341</v>
      </c>
      <c r="AD490" s="208">
        <v>186821422.96104765</v>
      </c>
      <c r="AE490" s="208">
        <v>282151806.16647148</v>
      </c>
      <c r="AF490" s="208">
        <v>377482189.37189531</v>
      </c>
      <c r="AG490" s="208">
        <v>472812572.57731819</v>
      </c>
      <c r="AH490" s="208">
        <v>568142955.78274155</v>
      </c>
      <c r="AI490" s="208">
        <v>663473338.98816538</v>
      </c>
      <c r="AJ490" s="208">
        <v>758803722.1935873</v>
      </c>
      <c r="AK490" s="208">
        <v>854134105.39901018</v>
      </c>
      <c r="AL490" s="208">
        <v>949464488.60443735</v>
      </c>
      <c r="AM490" s="208">
        <v>1044794871.8098583</v>
      </c>
      <c r="AN490" s="208">
        <v>1140125255.0152836</v>
      </c>
      <c r="AO490" s="208">
        <v>1235455638.220705</v>
      </c>
      <c r="AP490" s="208">
        <v>1330786021.4261303</v>
      </c>
      <c r="AQ490" s="208">
        <v>1426116404.6315527</v>
      </c>
    </row>
    <row r="491" spans="21:43" x14ac:dyDescent="0.25">
      <c r="U491" s="292">
        <f t="shared" si="147"/>
        <v>172000000</v>
      </c>
      <c r="V491" s="208">
        <v>1414203155.0350618</v>
      </c>
      <c r="W491" s="208">
        <v>-492404509.0734067</v>
      </c>
      <c r="X491" s="208">
        <v>-397074125.86798358</v>
      </c>
      <c r="Y491" s="208">
        <v>-301743742.66256094</v>
      </c>
      <c r="Z491" s="208">
        <v>-206413359.45713639</v>
      </c>
      <c r="AA491" s="208">
        <v>-111082976.25171328</v>
      </c>
      <c r="AB491" s="208">
        <v>-15752593.046289921</v>
      </c>
      <c r="AC491" s="208">
        <v>79577790.159133434</v>
      </c>
      <c r="AD491" s="208">
        <v>174908173.36455774</v>
      </c>
      <c r="AE491" s="208">
        <v>270238556.5699811</v>
      </c>
      <c r="AF491" s="208">
        <v>365568939.77540398</v>
      </c>
      <c r="AG491" s="208">
        <v>460899322.98082829</v>
      </c>
      <c r="AH491" s="208">
        <v>556229706.18625116</v>
      </c>
      <c r="AI491" s="208">
        <v>651560089.39167452</v>
      </c>
      <c r="AJ491" s="208">
        <v>746890472.5970974</v>
      </c>
      <c r="AK491" s="208">
        <v>842220855.80252075</v>
      </c>
      <c r="AL491" s="208">
        <v>937551239.00794649</v>
      </c>
      <c r="AM491" s="208">
        <v>1032881622.2133679</v>
      </c>
      <c r="AN491" s="208">
        <v>1128212005.4187927</v>
      </c>
      <c r="AO491" s="208">
        <v>1223542388.6242151</v>
      </c>
      <c r="AP491" s="208">
        <v>1318872771.8296409</v>
      </c>
      <c r="AQ491" s="208">
        <v>1414203155.0350618</v>
      </c>
    </row>
    <row r="492" spans="21:43" x14ac:dyDescent="0.25">
      <c r="U492" s="292">
        <f t="shared" si="147"/>
        <v>174000000</v>
      </c>
      <c r="V492" s="208">
        <v>1402289905.438571</v>
      </c>
      <c r="W492" s="208">
        <v>-504317758.66989779</v>
      </c>
      <c r="X492" s="208">
        <v>-408987375.46447468</v>
      </c>
      <c r="Y492" s="208">
        <v>-313656992.2590518</v>
      </c>
      <c r="Z492" s="208">
        <v>-218326609.05362749</v>
      </c>
      <c r="AA492" s="208">
        <v>-122996225.84820414</v>
      </c>
      <c r="AB492" s="208">
        <v>-27665842.642780542</v>
      </c>
      <c r="AC492" s="208">
        <v>67664540.562642097</v>
      </c>
      <c r="AD492" s="208">
        <v>162994923.76806736</v>
      </c>
      <c r="AE492" s="208">
        <v>258325306.97349024</v>
      </c>
      <c r="AF492" s="208">
        <v>353655690.17891407</v>
      </c>
      <c r="AG492" s="208">
        <v>448986073.38433695</v>
      </c>
      <c r="AH492" s="208">
        <v>544316456.5897603</v>
      </c>
      <c r="AI492" s="208">
        <v>639646839.79518509</v>
      </c>
      <c r="AJ492" s="208">
        <v>734977223.00060654</v>
      </c>
      <c r="AK492" s="208">
        <v>830307606.20602989</v>
      </c>
      <c r="AL492" s="208">
        <v>925637989.41145563</v>
      </c>
      <c r="AM492" s="208">
        <v>1020968372.616878</v>
      </c>
      <c r="AN492" s="208">
        <v>1116298755.8223009</v>
      </c>
      <c r="AO492" s="208">
        <v>1211629139.0277243</v>
      </c>
      <c r="AP492" s="208">
        <v>1306959522.2331495</v>
      </c>
      <c r="AQ492" s="208">
        <v>1402289905.438571</v>
      </c>
    </row>
    <row r="493" spans="21:43" x14ac:dyDescent="0.25">
      <c r="U493" s="292">
        <f t="shared" si="147"/>
        <v>176000000</v>
      </c>
      <c r="V493" s="208">
        <v>1390376655.842082</v>
      </c>
      <c r="W493" s="208">
        <v>-516231008.26638699</v>
      </c>
      <c r="X493" s="208">
        <v>-420900625.06096435</v>
      </c>
      <c r="Y493" s="208">
        <v>-325570241.85554099</v>
      </c>
      <c r="Z493" s="208">
        <v>-230239858.65011787</v>
      </c>
      <c r="AA493" s="208">
        <v>-134909475.44469404</v>
      </c>
      <c r="AB493" s="208">
        <v>-39579092.239269972</v>
      </c>
      <c r="AC493" s="208">
        <v>55751290.966153145</v>
      </c>
      <c r="AD493" s="208">
        <v>151081674.17157745</v>
      </c>
      <c r="AE493" s="208">
        <v>246412057.37700033</v>
      </c>
      <c r="AF493" s="208">
        <v>341742440.58242512</v>
      </c>
      <c r="AG493" s="208">
        <v>437072823.78784847</v>
      </c>
      <c r="AH493" s="208">
        <v>532403206.99327087</v>
      </c>
      <c r="AI493" s="208">
        <v>627733590.19869518</v>
      </c>
      <c r="AJ493" s="208">
        <v>723063973.40411758</v>
      </c>
      <c r="AK493" s="208">
        <v>818394356.60954046</v>
      </c>
      <c r="AL493" s="208">
        <v>913724739.81496668</v>
      </c>
      <c r="AM493" s="208">
        <v>1009055123.0203886</v>
      </c>
      <c r="AN493" s="208">
        <v>1104385506.2258129</v>
      </c>
      <c r="AO493" s="208">
        <v>1199715889.4312353</v>
      </c>
      <c r="AP493" s="208">
        <v>1295046272.6366611</v>
      </c>
      <c r="AQ493" s="208">
        <v>1390376655.842082</v>
      </c>
    </row>
    <row r="494" spans="21:43" x14ac:dyDescent="0.25">
      <c r="U494" s="292">
        <f t="shared" si="147"/>
        <v>178000000</v>
      </c>
      <c r="V494" s="208">
        <v>1378463406.2455916</v>
      </c>
      <c r="W494" s="208">
        <v>-528144257.86287737</v>
      </c>
      <c r="X494" s="208">
        <v>-432813874.65745449</v>
      </c>
      <c r="Y494" s="208">
        <v>-337483491.45203114</v>
      </c>
      <c r="Z494" s="208">
        <v>-242153108.24660802</v>
      </c>
      <c r="AA494" s="208">
        <v>-146822725.04118371</v>
      </c>
      <c r="AB494" s="208">
        <v>-51492341.835760117</v>
      </c>
      <c r="AC494" s="208">
        <v>43838041.369663239</v>
      </c>
      <c r="AD494" s="208">
        <v>139168424.57508707</v>
      </c>
      <c r="AE494" s="208">
        <v>234498807.78051043</v>
      </c>
      <c r="AF494" s="208">
        <v>329829190.98593426</v>
      </c>
      <c r="AG494" s="208">
        <v>425159574.19135714</v>
      </c>
      <c r="AH494" s="208">
        <v>520489957.39678049</v>
      </c>
      <c r="AI494" s="208">
        <v>615820340.6022048</v>
      </c>
      <c r="AJ494" s="208">
        <v>711150723.8076272</v>
      </c>
      <c r="AK494" s="208">
        <v>806481107.0130496</v>
      </c>
      <c r="AL494" s="208">
        <v>901811490.2184763</v>
      </c>
      <c r="AM494" s="208">
        <v>997141873.42389727</v>
      </c>
      <c r="AN494" s="208">
        <v>1092472256.6293225</v>
      </c>
      <c r="AO494" s="208">
        <v>1187802639.8347445</v>
      </c>
      <c r="AP494" s="208">
        <v>1283133023.0401697</v>
      </c>
      <c r="AQ494" s="208">
        <v>1378463406.2455916</v>
      </c>
    </row>
    <row r="495" spans="21:43" x14ac:dyDescent="0.25">
      <c r="U495" s="292">
        <f t="shared" si="147"/>
        <v>180000000</v>
      </c>
      <c r="V495" s="208">
        <v>1366550156.6491013</v>
      </c>
      <c r="W495" s="208">
        <v>-540057507.45936751</v>
      </c>
      <c r="X495" s="208">
        <v>-444727124.2539444</v>
      </c>
      <c r="Y495" s="208">
        <v>-349396741.04852128</v>
      </c>
      <c r="Z495" s="208">
        <v>-254066357.84309721</v>
      </c>
      <c r="AA495" s="208">
        <v>-158735974.63767385</v>
      </c>
      <c r="AB495" s="208">
        <v>-63405591.432250023</v>
      </c>
      <c r="AC495" s="208">
        <v>31924791.773173571</v>
      </c>
      <c r="AD495" s="208">
        <v>127255174.97859764</v>
      </c>
      <c r="AE495" s="208">
        <v>222585558.18402147</v>
      </c>
      <c r="AF495" s="208">
        <v>317915941.38944435</v>
      </c>
      <c r="AG495" s="208">
        <v>413246324.59486866</v>
      </c>
      <c r="AH495" s="208">
        <v>508576707.80029106</v>
      </c>
      <c r="AI495" s="208">
        <v>603907091.00571489</v>
      </c>
      <c r="AJ495" s="208">
        <v>699237474.21113825</v>
      </c>
      <c r="AK495" s="208">
        <v>794567857.41656065</v>
      </c>
      <c r="AL495" s="208">
        <v>889898240.62198639</v>
      </c>
      <c r="AM495" s="208">
        <v>985228623.82740831</v>
      </c>
      <c r="AN495" s="208">
        <v>1080559007.0328321</v>
      </c>
      <c r="AO495" s="208">
        <v>1175889390.238255</v>
      </c>
      <c r="AP495" s="208">
        <v>1271219773.4436803</v>
      </c>
      <c r="AQ495" s="208">
        <v>1366550156.6491013</v>
      </c>
    </row>
    <row r="496" spans="21:43" x14ac:dyDescent="0.25">
      <c r="U496" s="292">
        <f t="shared" si="147"/>
        <v>182000000</v>
      </c>
      <c r="V496" s="208">
        <v>1354636907.0526123</v>
      </c>
      <c r="W496" s="208">
        <v>-551970757.0558579</v>
      </c>
      <c r="X496" s="208">
        <v>-456640373.85043502</v>
      </c>
      <c r="Y496" s="208">
        <v>-361309990.64501143</v>
      </c>
      <c r="Z496" s="208">
        <v>-265979607.43958783</v>
      </c>
      <c r="AA496" s="208">
        <v>-170649224.234164</v>
      </c>
      <c r="AB496" s="208">
        <v>-75318841.028740168</v>
      </c>
      <c r="AC496" s="208">
        <v>20011542.176682711</v>
      </c>
      <c r="AD496" s="208">
        <v>115341925.38210773</v>
      </c>
      <c r="AE496" s="208">
        <v>210672308.58753061</v>
      </c>
      <c r="AF496" s="208">
        <v>306002691.79295444</v>
      </c>
      <c r="AG496" s="208">
        <v>401333074.99837732</v>
      </c>
      <c r="AH496" s="208">
        <v>496663458.20380068</v>
      </c>
      <c r="AI496" s="208">
        <v>591993841.40922499</v>
      </c>
      <c r="AJ496" s="208">
        <v>687324224.61464787</v>
      </c>
      <c r="AK496" s="208">
        <v>782654607.82006931</v>
      </c>
      <c r="AL496" s="208">
        <v>877984991.02549553</v>
      </c>
      <c r="AM496" s="208">
        <v>973315374.23091793</v>
      </c>
      <c r="AN496" s="208">
        <v>1068645757.4363422</v>
      </c>
      <c r="AO496" s="208">
        <v>1163976140.6417646</v>
      </c>
      <c r="AP496" s="208">
        <v>1259306523.8471904</v>
      </c>
      <c r="AQ496" s="208">
        <v>1354636907.0526123</v>
      </c>
    </row>
    <row r="497" spans="21:43" x14ac:dyDescent="0.25">
      <c r="U497" s="292">
        <f t="shared" si="147"/>
        <v>184000000</v>
      </c>
      <c r="V497" s="208">
        <v>1342723657.4561219</v>
      </c>
      <c r="W497" s="208">
        <v>-563884006.6523478</v>
      </c>
      <c r="X497" s="208">
        <v>-468553623.44692397</v>
      </c>
      <c r="Y497" s="208">
        <v>-373223240.24150157</v>
      </c>
      <c r="Z497" s="208">
        <v>-277892857.03607774</v>
      </c>
      <c r="AA497" s="208">
        <v>-182562473.83065391</v>
      </c>
      <c r="AB497" s="208">
        <v>-87232090.625231028</v>
      </c>
      <c r="AC497" s="208">
        <v>8098292.5801930428</v>
      </c>
      <c r="AD497" s="208">
        <v>103428675.78561735</v>
      </c>
      <c r="AE497" s="208">
        <v>198759058.99104023</v>
      </c>
      <c r="AF497" s="208">
        <v>294089442.19646454</v>
      </c>
      <c r="AG497" s="208">
        <v>389419825.40188789</v>
      </c>
      <c r="AH497" s="208">
        <v>484750208.60731125</v>
      </c>
      <c r="AI497" s="208">
        <v>580080591.81273508</v>
      </c>
      <c r="AJ497" s="208">
        <v>675410975.01815701</v>
      </c>
      <c r="AK497" s="208">
        <v>770741358.22357988</v>
      </c>
      <c r="AL497" s="208">
        <v>866071741.4290061</v>
      </c>
      <c r="AM497" s="208">
        <v>961402124.63442707</v>
      </c>
      <c r="AN497" s="208">
        <v>1056732507.8398514</v>
      </c>
      <c r="AO497" s="208">
        <v>1152062891.0452743</v>
      </c>
      <c r="AP497" s="208">
        <v>1247393274.2507005</v>
      </c>
      <c r="AQ497" s="208">
        <v>1342723657.4561219</v>
      </c>
    </row>
    <row r="498" spans="21:43" x14ac:dyDescent="0.25">
      <c r="U498" s="292">
        <f t="shared" si="147"/>
        <v>186000000</v>
      </c>
      <c r="V498" s="208">
        <v>1330810407.8596311</v>
      </c>
      <c r="W498" s="208">
        <v>-575797256.24883747</v>
      </c>
      <c r="X498" s="208">
        <v>-480466873.04341435</v>
      </c>
      <c r="Y498" s="208">
        <v>-385136489.83799195</v>
      </c>
      <c r="Z498" s="208">
        <v>-289806106.63256836</v>
      </c>
      <c r="AA498" s="208">
        <v>-194475723.42714357</v>
      </c>
      <c r="AB498" s="208">
        <v>-99145340.221720219</v>
      </c>
      <c r="AC498" s="208">
        <v>-3814957.0162968636</v>
      </c>
      <c r="AD498" s="208">
        <v>91515426.189127445</v>
      </c>
      <c r="AE498" s="208">
        <v>186845809.39455032</v>
      </c>
      <c r="AF498" s="208">
        <v>282176192.59997368</v>
      </c>
      <c r="AG498" s="208">
        <v>377506575.80539751</v>
      </c>
      <c r="AH498" s="208">
        <v>472836959.01082039</v>
      </c>
      <c r="AI498" s="208">
        <v>568167342.21624422</v>
      </c>
      <c r="AJ498" s="208">
        <v>663497725.4216671</v>
      </c>
      <c r="AK498" s="208">
        <v>758828108.6270895</v>
      </c>
      <c r="AL498" s="208">
        <v>854158491.83251572</v>
      </c>
      <c r="AM498" s="208">
        <v>949488875.03793859</v>
      </c>
      <c r="AN498" s="208">
        <v>1044819258.2433615</v>
      </c>
      <c r="AO498" s="208">
        <v>1140149641.4487844</v>
      </c>
      <c r="AP498" s="208">
        <v>1235480024.6542096</v>
      </c>
      <c r="AQ498" s="208">
        <v>1330810407.8596311</v>
      </c>
    </row>
    <row r="499" spans="21:43" x14ac:dyDescent="0.25">
      <c r="U499" s="292">
        <f t="shared" si="147"/>
        <v>188000000</v>
      </c>
      <c r="V499" s="208">
        <v>1318897158.2631412</v>
      </c>
      <c r="W499" s="208">
        <v>-587710505.84532762</v>
      </c>
      <c r="X499" s="208">
        <v>-492380122.63990426</v>
      </c>
      <c r="Y499" s="208">
        <v>-397049739.4344821</v>
      </c>
      <c r="Z499" s="208">
        <v>-301719356.22905731</v>
      </c>
      <c r="AA499" s="208">
        <v>-206388973.0236342</v>
      </c>
      <c r="AB499" s="208">
        <v>-111058589.81821036</v>
      </c>
      <c r="AC499" s="208">
        <v>-15728206.612787008</v>
      </c>
      <c r="AD499" s="208">
        <v>79602176.592637539</v>
      </c>
      <c r="AE499" s="208">
        <v>174932559.79806137</v>
      </c>
      <c r="AF499" s="208">
        <v>270262943.00348425</v>
      </c>
      <c r="AG499" s="208">
        <v>365593326.20890713</v>
      </c>
      <c r="AH499" s="208">
        <v>460923709.41433048</v>
      </c>
      <c r="AI499" s="208">
        <v>556254092.61975527</v>
      </c>
      <c r="AJ499" s="208">
        <v>651584475.82517719</v>
      </c>
      <c r="AK499" s="208">
        <v>746914859.03060055</v>
      </c>
      <c r="AL499" s="208">
        <v>842245242.23602629</v>
      </c>
      <c r="AM499" s="208">
        <v>937575625.44144773</v>
      </c>
      <c r="AN499" s="208">
        <v>1032906008.6468725</v>
      </c>
      <c r="AO499" s="208">
        <v>1128236391.8522949</v>
      </c>
      <c r="AP499" s="208">
        <v>1223566775.0577197</v>
      </c>
      <c r="AQ499" s="208">
        <v>1318897158.2631412</v>
      </c>
    </row>
    <row r="500" spans="21:43" x14ac:dyDescent="0.25">
      <c r="U500" s="292">
        <f t="shared" si="147"/>
        <v>190000000</v>
      </c>
      <c r="V500" s="208">
        <v>1306983908.6666503</v>
      </c>
      <c r="W500" s="208">
        <v>-599623755.44181871</v>
      </c>
      <c r="X500" s="208">
        <v>-504293372.23639536</v>
      </c>
      <c r="Y500" s="208">
        <v>-408962989.03097248</v>
      </c>
      <c r="Z500" s="208">
        <v>-313632605.82554841</v>
      </c>
      <c r="AA500" s="208">
        <v>-218302222.62012506</v>
      </c>
      <c r="AB500" s="208">
        <v>-122971839.41470146</v>
      </c>
      <c r="AC500" s="208">
        <v>-27641456.209278345</v>
      </c>
      <c r="AD500" s="208">
        <v>67688926.996146202</v>
      </c>
      <c r="AE500" s="208">
        <v>163019310.20156908</v>
      </c>
      <c r="AF500" s="208">
        <v>258349693.40699291</v>
      </c>
      <c r="AG500" s="208">
        <v>353680076.61241627</v>
      </c>
      <c r="AH500" s="208">
        <v>449010459.81784058</v>
      </c>
      <c r="AI500" s="208">
        <v>544340843.02326393</v>
      </c>
      <c r="AJ500" s="208">
        <v>639671226.22868538</v>
      </c>
      <c r="AK500" s="208">
        <v>735001609.43410873</v>
      </c>
      <c r="AL500" s="208">
        <v>830331992.63953495</v>
      </c>
      <c r="AM500" s="208">
        <v>925662375.84495687</v>
      </c>
      <c r="AN500" s="208">
        <v>1020992759.0503817</v>
      </c>
      <c r="AO500" s="208">
        <v>1116323142.2558031</v>
      </c>
      <c r="AP500" s="208">
        <v>1211653525.4612293</v>
      </c>
      <c r="AQ500" s="208">
        <v>1306983908.6666503</v>
      </c>
    </row>
    <row r="501" spans="21:43" x14ac:dyDescent="0.25">
      <c r="U501" s="292">
        <f t="shared" si="147"/>
        <v>192000000</v>
      </c>
      <c r="V501" s="208">
        <v>1295070659.0701613</v>
      </c>
      <c r="W501" s="208">
        <v>-611537005.03830695</v>
      </c>
      <c r="X501" s="208">
        <v>-516206621.83288407</v>
      </c>
      <c r="Y501" s="208">
        <v>-420876238.62746096</v>
      </c>
      <c r="Z501" s="208">
        <v>-325545855.42203736</v>
      </c>
      <c r="AA501" s="208">
        <v>-230215472.21661377</v>
      </c>
      <c r="AB501" s="208">
        <v>-134885089.01119089</v>
      </c>
      <c r="AC501" s="208">
        <v>-39554705.805767059</v>
      </c>
      <c r="AD501" s="208">
        <v>55775677.399657726</v>
      </c>
      <c r="AE501" s="208">
        <v>151106060.6050806</v>
      </c>
      <c r="AF501" s="208">
        <v>246436443.81050396</v>
      </c>
      <c r="AG501" s="208">
        <v>341766827.01592779</v>
      </c>
      <c r="AH501" s="208">
        <v>437097210.22135067</v>
      </c>
      <c r="AI501" s="208">
        <v>532427593.42677498</v>
      </c>
      <c r="AJ501" s="208">
        <v>627757976.63219738</v>
      </c>
      <c r="AK501" s="208">
        <v>723088359.83761978</v>
      </c>
      <c r="AL501" s="208">
        <v>818418743.043046</v>
      </c>
      <c r="AM501" s="208">
        <v>913749126.24846792</v>
      </c>
      <c r="AN501" s="208">
        <v>1009079509.4538922</v>
      </c>
      <c r="AO501" s="208">
        <v>1104409892.6593146</v>
      </c>
      <c r="AP501" s="208">
        <v>1199740275.8647408</v>
      </c>
      <c r="AQ501" s="208">
        <v>1295070659.0701613</v>
      </c>
    </row>
    <row r="502" spans="21:43" x14ac:dyDescent="0.25">
      <c r="U502" s="292">
        <f t="shared" si="147"/>
        <v>194000000</v>
      </c>
      <c r="V502" s="208">
        <v>1283157409.4736705</v>
      </c>
      <c r="W502" s="208">
        <v>-623450254.63479829</v>
      </c>
      <c r="X502" s="208">
        <v>-528119871.42937541</v>
      </c>
      <c r="Y502" s="208">
        <v>-432789488.22395229</v>
      </c>
      <c r="Z502" s="208">
        <v>-337459105.01852822</v>
      </c>
      <c r="AA502" s="208">
        <v>-242128721.81310439</v>
      </c>
      <c r="AB502" s="208">
        <v>-146798338.60768104</v>
      </c>
      <c r="AC502" s="208">
        <v>-51467955.402257681</v>
      </c>
      <c r="AD502" s="208">
        <v>43862427.803167105</v>
      </c>
      <c r="AE502" s="208">
        <v>139192811.00858974</v>
      </c>
      <c r="AF502" s="208">
        <v>234523194.21401358</v>
      </c>
      <c r="AG502" s="208">
        <v>329853577.41943741</v>
      </c>
      <c r="AH502" s="208">
        <v>425183960.62486029</v>
      </c>
      <c r="AI502" s="208">
        <v>520514343.83028412</v>
      </c>
      <c r="AJ502" s="208">
        <v>615844727.035707</v>
      </c>
      <c r="AK502" s="208">
        <v>711175110.24112892</v>
      </c>
      <c r="AL502" s="208">
        <v>806505493.44655514</v>
      </c>
      <c r="AM502" s="208">
        <v>901835876.65197754</v>
      </c>
      <c r="AN502" s="208">
        <v>997166259.85740185</v>
      </c>
      <c r="AO502" s="208">
        <v>1092496643.0628238</v>
      </c>
      <c r="AP502" s="208">
        <v>1187827026.2682495</v>
      </c>
      <c r="AQ502" s="208">
        <v>1283157409.4736705</v>
      </c>
    </row>
    <row r="503" spans="21:43" x14ac:dyDescent="0.25">
      <c r="U503" s="292">
        <f t="shared" si="147"/>
        <v>196000000</v>
      </c>
      <c r="V503" s="208">
        <v>1271244159.8771806</v>
      </c>
      <c r="W503" s="208">
        <v>-635363504.23128819</v>
      </c>
      <c r="X503" s="208">
        <v>-540033121.02586484</v>
      </c>
      <c r="Y503" s="208">
        <v>-444702737.82044172</v>
      </c>
      <c r="Z503" s="208">
        <v>-349372354.61501837</v>
      </c>
      <c r="AA503" s="208">
        <v>-254041971.40959477</v>
      </c>
      <c r="AB503" s="208">
        <v>-158711588.20417094</v>
      </c>
      <c r="AC503" s="208">
        <v>-63381204.99874711</v>
      </c>
      <c r="AD503" s="208">
        <v>31949178.206676483</v>
      </c>
      <c r="AE503" s="208">
        <v>127279561.41209984</v>
      </c>
      <c r="AF503" s="208">
        <v>222609944.61752367</v>
      </c>
      <c r="AG503" s="208">
        <v>317940327.8229475</v>
      </c>
      <c r="AH503" s="208">
        <v>413270711.0283699</v>
      </c>
      <c r="AI503" s="208">
        <v>508601094.23379469</v>
      </c>
      <c r="AJ503" s="208">
        <v>603931477.43921661</v>
      </c>
      <c r="AK503" s="208">
        <v>699261860.64463902</v>
      </c>
      <c r="AL503" s="208">
        <v>794592243.85006523</v>
      </c>
      <c r="AM503" s="208">
        <v>889922627.05548668</v>
      </c>
      <c r="AN503" s="208">
        <v>985253010.26091051</v>
      </c>
      <c r="AO503" s="208">
        <v>1080583393.4663334</v>
      </c>
      <c r="AP503" s="208">
        <v>1175913776.6717596</v>
      </c>
      <c r="AQ503" s="208">
        <v>1271244159.8771806</v>
      </c>
    </row>
    <row r="504" spans="21:43" x14ac:dyDescent="0.25">
      <c r="U504" s="292">
        <f t="shared" si="147"/>
        <v>198000000</v>
      </c>
      <c r="V504" s="208">
        <v>1259330910.2806911</v>
      </c>
      <c r="W504" s="208">
        <v>-647276753.82777858</v>
      </c>
      <c r="X504" s="208">
        <v>-551946370.62235522</v>
      </c>
      <c r="Y504" s="208">
        <v>-456615987.41693187</v>
      </c>
      <c r="Z504" s="208">
        <v>-361285604.21150804</v>
      </c>
      <c r="AA504" s="208">
        <v>-265955221.00608468</v>
      </c>
      <c r="AB504" s="208">
        <v>-170624837.80066109</v>
      </c>
      <c r="AC504" s="208">
        <v>-75294454.595237255</v>
      </c>
      <c r="AD504" s="208">
        <v>20035928.610186815</v>
      </c>
      <c r="AE504" s="208">
        <v>115366311.81560993</v>
      </c>
      <c r="AF504" s="208">
        <v>210696695.02103329</v>
      </c>
      <c r="AG504" s="208">
        <v>306027078.22645664</v>
      </c>
      <c r="AH504" s="208">
        <v>401357461.43188</v>
      </c>
      <c r="AI504" s="208">
        <v>496687844.63730383</v>
      </c>
      <c r="AJ504" s="208">
        <v>592018227.84272671</v>
      </c>
      <c r="AK504" s="208">
        <v>687348611.04814863</v>
      </c>
      <c r="AL504" s="208">
        <v>782678994.2535758</v>
      </c>
      <c r="AM504" s="208">
        <v>878009377.45899725</v>
      </c>
      <c r="AN504" s="208">
        <v>973339760.66442204</v>
      </c>
      <c r="AO504" s="208">
        <v>1068670143.8698444</v>
      </c>
      <c r="AP504" s="208">
        <v>1164000527.0752697</v>
      </c>
      <c r="AQ504" s="208">
        <v>1259330910.2806911</v>
      </c>
    </row>
    <row r="505" spans="21:43" x14ac:dyDescent="0.25">
      <c r="U505" s="292">
        <f t="shared" si="147"/>
        <v>200000000</v>
      </c>
      <c r="V505" s="208">
        <v>1247417660.6842012</v>
      </c>
      <c r="W505" s="208">
        <v>-659190003.42426777</v>
      </c>
      <c r="X505" s="208">
        <v>-563859620.21884489</v>
      </c>
      <c r="Y505" s="208">
        <v>-468529237.01342225</v>
      </c>
      <c r="Z505" s="208">
        <v>-373198853.80799842</v>
      </c>
      <c r="AA505" s="208">
        <v>-277868470.60257411</v>
      </c>
      <c r="AB505" s="208">
        <v>-182538087.39715099</v>
      </c>
      <c r="AC505" s="208">
        <v>-87207704.191727877</v>
      </c>
      <c r="AD505" s="208">
        <v>8122679.0136959553</v>
      </c>
      <c r="AE505" s="208">
        <v>103453062.2191205</v>
      </c>
      <c r="AF505" s="208">
        <v>198783445.42454338</v>
      </c>
      <c r="AG505" s="208">
        <v>294113828.62996721</v>
      </c>
      <c r="AH505" s="208">
        <v>389444211.83539009</v>
      </c>
      <c r="AI505" s="208">
        <v>484774595.04081392</v>
      </c>
      <c r="AJ505" s="208">
        <v>580104978.2462368</v>
      </c>
      <c r="AK505" s="208">
        <v>675435361.45165968</v>
      </c>
      <c r="AL505" s="208">
        <v>770765744.65708494</v>
      </c>
      <c r="AM505" s="208">
        <v>866096127.86250734</v>
      </c>
      <c r="AN505" s="208">
        <v>961426511.06793165</v>
      </c>
      <c r="AO505" s="208">
        <v>1056756894.2733536</v>
      </c>
      <c r="AP505" s="208">
        <v>1152087277.4787793</v>
      </c>
      <c r="AQ505" s="208">
        <v>1247417660.6842012</v>
      </c>
    </row>
    <row r="506" spans="21:43" x14ac:dyDescent="0.25">
      <c r="U506" s="77"/>
    </row>
    <row r="507" spans="21:43" x14ac:dyDescent="0.25">
      <c r="U507" s="77"/>
    </row>
    <row r="508" spans="21:43" x14ac:dyDescent="0.25">
      <c r="U508" s="77"/>
    </row>
    <row r="509" spans="21:43" x14ac:dyDescent="0.25">
      <c r="U509" s="77"/>
    </row>
    <row r="510" spans="21:43" x14ac:dyDescent="0.25">
      <c r="U510" s="77"/>
    </row>
    <row r="511" spans="21:43" ht="24" x14ac:dyDescent="0.4">
      <c r="U511" s="303" t="s">
        <v>395</v>
      </c>
    </row>
    <row r="512" spans="21:43" ht="15.75" x14ac:dyDescent="0.25">
      <c r="U512" s="236" t="s">
        <v>380</v>
      </c>
      <c r="V512" s="236"/>
      <c r="W512" s="236"/>
      <c r="X512" s="236"/>
      <c r="Y512" s="236"/>
      <c r="Z512" s="236"/>
    </row>
    <row r="513" spans="21:26" ht="15.75" x14ac:dyDescent="0.25">
      <c r="U513" s="236"/>
      <c r="V513" s="236"/>
      <c r="W513" s="236" t="s">
        <v>382</v>
      </c>
      <c r="X513" s="236" t="s">
        <v>374</v>
      </c>
      <c r="Y513" s="236" t="s">
        <v>376</v>
      </c>
      <c r="Z513" s="236" t="s">
        <v>378</v>
      </c>
    </row>
    <row r="514" spans="21:26" ht="175.5" x14ac:dyDescent="0.25">
      <c r="U514" s="298"/>
      <c r="V514" s="298"/>
      <c r="W514" s="299"/>
      <c r="X514" s="300" t="s">
        <v>375</v>
      </c>
      <c r="Y514" s="300" t="s">
        <v>377</v>
      </c>
      <c r="Z514" s="300" t="s">
        <v>379</v>
      </c>
    </row>
    <row r="515" spans="21:26" x14ac:dyDescent="0.25">
      <c r="U515" s="296" t="s">
        <v>381</v>
      </c>
      <c r="V515" s="296"/>
      <c r="W515" s="294"/>
      <c r="X515" s="294"/>
      <c r="Y515" s="294"/>
      <c r="Z515" s="294"/>
    </row>
    <row r="516" spans="21:26" x14ac:dyDescent="0.25">
      <c r="U516" s="295"/>
      <c r="V516" s="295" t="s">
        <v>370</v>
      </c>
      <c r="W516" s="92">
        <v>0.75</v>
      </c>
      <c r="X516" s="92">
        <v>0.8</v>
      </c>
      <c r="Y516" s="92">
        <v>0.75</v>
      </c>
      <c r="Z516" s="92">
        <v>0.5</v>
      </c>
    </row>
    <row r="517" spans="21:26" x14ac:dyDescent="0.25">
      <c r="U517" s="295"/>
      <c r="V517" s="295" t="s">
        <v>371</v>
      </c>
      <c r="W517" s="302">
        <v>0.125</v>
      </c>
      <c r="X517" s="302">
        <v>0.95</v>
      </c>
      <c r="Y517" s="302">
        <v>0.125</v>
      </c>
      <c r="Z517" s="302">
        <v>0.15</v>
      </c>
    </row>
    <row r="518" spans="21:26" x14ac:dyDescent="0.25">
      <c r="U518" s="295"/>
      <c r="V518" s="295" t="s">
        <v>372</v>
      </c>
      <c r="W518" s="77">
        <v>80000000</v>
      </c>
      <c r="X518" s="77">
        <v>70000000</v>
      </c>
      <c r="Y518" s="77">
        <v>80000000</v>
      </c>
      <c r="Z518" s="77">
        <v>85000000</v>
      </c>
    </row>
    <row r="519" spans="21:26" x14ac:dyDescent="0.25">
      <c r="U519" s="295"/>
      <c r="V519" s="295" t="s">
        <v>373</v>
      </c>
      <c r="W519" s="92">
        <v>0.05</v>
      </c>
      <c r="X519" s="92">
        <v>0.02</v>
      </c>
      <c r="Y519" s="92">
        <v>0.05</v>
      </c>
      <c r="Z519" s="92">
        <v>0.08</v>
      </c>
    </row>
    <row r="520" spans="21:26" x14ac:dyDescent="0.25">
      <c r="U520" s="296" t="s">
        <v>383</v>
      </c>
      <c r="V520" s="296"/>
      <c r="W520" s="294"/>
      <c r="X520" s="294"/>
      <c r="Y520" s="294"/>
      <c r="Z520" s="294"/>
    </row>
    <row r="521" spans="21:26" x14ac:dyDescent="0.25">
      <c r="U521" s="295" t="str" cm="1">
        <f t="array" ref="U521:U526">TRANSPOSE(Costing!V439:AA439)</f>
        <v>NPV (TIPV)</v>
      </c>
      <c r="V521" s="295" t="s">
        <v>387</v>
      </c>
      <c r="W521" s="208">
        <v>-157989655.358922</v>
      </c>
      <c r="X521" s="208">
        <v>-968064356.94674504</v>
      </c>
      <c r="Y521" s="208">
        <v>-137780259.059028</v>
      </c>
      <c r="Z521" s="208">
        <v>-1832251929.3923199</v>
      </c>
    </row>
    <row r="522" spans="21:26" x14ac:dyDescent="0.25">
      <c r="U522" s="295" t="str">
        <v>NPV (EPV)</v>
      </c>
      <c r="V522" s="295" t="s">
        <v>388</v>
      </c>
      <c r="W522" s="208">
        <v>-1154515302.82268</v>
      </c>
      <c r="X522" s="208">
        <v>-1015296321.25788</v>
      </c>
      <c r="Y522" s="208">
        <v>712386952.01821995</v>
      </c>
      <c r="Z522" s="208">
        <v>-1063074754.89145</v>
      </c>
    </row>
    <row r="523" spans="21:26" x14ac:dyDescent="0.25">
      <c r="U523" s="295" t="str">
        <v>BCR (View 1)</v>
      </c>
      <c r="V523" s="295" t="s">
        <v>389</v>
      </c>
      <c r="W523" s="240">
        <v>0.99259958585511199</v>
      </c>
      <c r="X523" s="240">
        <v>0.89671054715393395</v>
      </c>
      <c r="Y523" s="240">
        <v>1.03238341202658</v>
      </c>
      <c r="Z523" s="240">
        <v>0.910896140029544</v>
      </c>
    </row>
    <row r="524" spans="21:26" x14ac:dyDescent="0.25">
      <c r="U524" s="295" t="str">
        <v>BCR (View 2)</v>
      </c>
      <c r="V524" s="295" t="s">
        <v>390</v>
      </c>
      <c r="W524" s="240">
        <v>1.3431104460925101</v>
      </c>
      <c r="X524" s="240">
        <v>0.743474971948621</v>
      </c>
      <c r="Y524" s="240">
        <v>0.96085233004822501</v>
      </c>
      <c r="Z524" s="240">
        <v>0.46933578242086899</v>
      </c>
    </row>
    <row r="525" spans="21:26" x14ac:dyDescent="0.25">
      <c r="U525" s="295" t="str">
        <v>IRR (TIPV)</v>
      </c>
      <c r="V525" s="295" t="s">
        <v>391</v>
      </c>
      <c r="W525" s="113">
        <v>7.75870667757277E-2</v>
      </c>
      <c r="X525" s="113">
        <v>0.23221017774675501</v>
      </c>
      <c r="Y525" s="113">
        <v>3.7557323286519E-2</v>
      </c>
      <c r="Z525" s="113">
        <v>-9.2983806199381496E-3</v>
      </c>
    </row>
    <row r="526" spans="21:26" x14ac:dyDescent="0.25">
      <c r="U526" s="295" t="str">
        <v>IRR (EPV)</v>
      </c>
      <c r="V526" s="295" t="s">
        <v>392</v>
      </c>
      <c r="W526" s="113">
        <v>0.13870122484449501</v>
      </c>
      <c r="X526" s="113">
        <v>0.22182863805425801</v>
      </c>
      <c r="Y526" s="113">
        <v>0.13795211060604801</v>
      </c>
      <c r="Z526" s="113">
        <v>3.33176900544261E-2</v>
      </c>
    </row>
    <row r="527" spans="21:26" x14ac:dyDescent="0.25">
      <c r="U527" s="295" t="str">
        <f>Costing!U172</f>
        <v>PP (TIPV)</v>
      </c>
      <c r="V527" s="295" t="s">
        <v>393</v>
      </c>
      <c r="W527" s="240">
        <v>3.7453241122980598</v>
      </c>
      <c r="X527" s="240">
        <v>1.7250555042208</v>
      </c>
      <c r="Y527" s="240">
        <v>3.7453241122980598</v>
      </c>
      <c r="Z527" s="240">
        <v>4.5472823774094504</v>
      </c>
    </row>
    <row r="528" spans="21:26" ht="15.75" thickBot="1" x14ac:dyDescent="0.3">
      <c r="U528" s="295" t="str">
        <f>Costing!U173</f>
        <v>PP(EPV)</v>
      </c>
      <c r="V528" s="297" t="s">
        <v>394</v>
      </c>
      <c r="W528" s="301">
        <v>3.8802231956499802</v>
      </c>
      <c r="X528" s="301">
        <v>3.6408527931947199</v>
      </c>
      <c r="Y528" s="301">
        <v>3.82439416259413</v>
      </c>
      <c r="Z528" s="301">
        <v>4.4650440529065198</v>
      </c>
    </row>
    <row r="529" spans="21:21" x14ac:dyDescent="0.25">
      <c r="U529" s="1" t="s">
        <v>384</v>
      </c>
    </row>
    <row r="530" spans="21:21" x14ac:dyDescent="0.25">
      <c r="U530" s="1" t="s">
        <v>385</v>
      </c>
    </row>
    <row r="531" spans="21:21" x14ac:dyDescent="0.25">
      <c r="U531" s="1" t="s">
        <v>386</v>
      </c>
    </row>
    <row r="535" spans="21:21" x14ac:dyDescent="0.25">
      <c r="U535" s="77"/>
    </row>
    <row r="536" spans="21:21" x14ac:dyDescent="0.25">
      <c r="U536" s="77"/>
    </row>
    <row r="537" spans="21:21" x14ac:dyDescent="0.25">
      <c r="U537" s="77"/>
    </row>
    <row r="538" spans="21:21" x14ac:dyDescent="0.25">
      <c r="U538" s="77"/>
    </row>
    <row r="539" spans="21:21" x14ac:dyDescent="0.25">
      <c r="U539" s="77"/>
    </row>
    <row r="540" spans="21:21" x14ac:dyDescent="0.25">
      <c r="U540" s="77"/>
    </row>
    <row r="541" spans="21:21" x14ac:dyDescent="0.25">
      <c r="U541" s="77"/>
    </row>
    <row r="542" spans="21:21" x14ac:dyDescent="0.25">
      <c r="U542" s="77"/>
    </row>
    <row r="543" spans="21:21" x14ac:dyDescent="0.25">
      <c r="U543" s="77"/>
    </row>
    <row r="544" spans="21:21" x14ac:dyDescent="0.25">
      <c r="U544" s="77"/>
    </row>
    <row r="545" spans="21:21" x14ac:dyDescent="0.25">
      <c r="U545" s="77"/>
    </row>
    <row r="546" spans="21:21" x14ac:dyDescent="0.25">
      <c r="U546" s="77"/>
    </row>
    <row r="547" spans="21:21" x14ac:dyDescent="0.25">
      <c r="U547" s="77"/>
    </row>
    <row r="548" spans="21:21" x14ac:dyDescent="0.25">
      <c r="U548" s="77"/>
    </row>
    <row r="549" spans="21:21" x14ac:dyDescent="0.25">
      <c r="U549" s="77"/>
    </row>
    <row r="550" spans="21:21" x14ac:dyDescent="0.25">
      <c r="U550" s="77"/>
    </row>
    <row r="551" spans="21:21" x14ac:dyDescent="0.25">
      <c r="U551" s="77"/>
    </row>
    <row r="552" spans="21:21" x14ac:dyDescent="0.25">
      <c r="U552" s="77"/>
    </row>
    <row r="553" spans="21:21" x14ac:dyDescent="0.25">
      <c r="U553" s="77"/>
    </row>
    <row r="554" spans="21:21" x14ac:dyDescent="0.25">
      <c r="U554" s="77"/>
    </row>
    <row r="555" spans="21:21" x14ac:dyDescent="0.25">
      <c r="U555" s="77"/>
    </row>
    <row r="556" spans="21:21" x14ac:dyDescent="0.25">
      <c r="U556" s="77"/>
    </row>
    <row r="557" spans="21:21" x14ac:dyDescent="0.25">
      <c r="U557" s="77"/>
    </row>
    <row r="558" spans="21:21" x14ac:dyDescent="0.25">
      <c r="U558" s="77"/>
    </row>
    <row r="559" spans="21:21" x14ac:dyDescent="0.25">
      <c r="U559" s="77"/>
    </row>
    <row r="560" spans="21:21" x14ac:dyDescent="0.25">
      <c r="U560" s="77"/>
    </row>
    <row r="561" spans="21:21" x14ac:dyDescent="0.25">
      <c r="U561" s="77"/>
    </row>
    <row r="562" spans="21:21" x14ac:dyDescent="0.25">
      <c r="U562" s="77"/>
    </row>
    <row r="563" spans="21:21" x14ac:dyDescent="0.25">
      <c r="U563" s="77"/>
    </row>
    <row r="564" spans="21:21" x14ac:dyDescent="0.25">
      <c r="U564" s="77"/>
    </row>
    <row r="565" spans="21:21" x14ac:dyDescent="0.25">
      <c r="U565" s="77"/>
    </row>
    <row r="566" spans="21:21" x14ac:dyDescent="0.25">
      <c r="U566" s="77"/>
    </row>
    <row r="567" spans="21:21" x14ac:dyDescent="0.25">
      <c r="U567" s="77"/>
    </row>
    <row r="568" spans="21:21" x14ac:dyDescent="0.25">
      <c r="U568" s="77"/>
    </row>
    <row r="569" spans="21:21" x14ac:dyDescent="0.25">
      <c r="U569" s="77"/>
    </row>
    <row r="570" spans="21:21" x14ac:dyDescent="0.25">
      <c r="U570" s="77"/>
    </row>
    <row r="571" spans="21:21" x14ac:dyDescent="0.25">
      <c r="U571" s="77"/>
    </row>
    <row r="572" spans="21:21" x14ac:dyDescent="0.25">
      <c r="U572" s="77"/>
    </row>
    <row r="573" spans="21:21" x14ac:dyDescent="0.25">
      <c r="U573" s="77"/>
    </row>
    <row r="574" spans="21:21" x14ac:dyDescent="0.25">
      <c r="U574" s="77"/>
    </row>
    <row r="575" spans="21:21" x14ac:dyDescent="0.25">
      <c r="U575" s="77"/>
    </row>
    <row r="576" spans="21:21" x14ac:dyDescent="0.25">
      <c r="U576" s="77"/>
    </row>
    <row r="577" spans="21:21" x14ac:dyDescent="0.25">
      <c r="U577" s="77"/>
    </row>
    <row r="578" spans="21:21" x14ac:dyDescent="0.25">
      <c r="U578" s="77"/>
    </row>
    <row r="579" spans="21:21" x14ac:dyDescent="0.25">
      <c r="U579" s="77"/>
    </row>
    <row r="580" spans="21:21" x14ac:dyDescent="0.25">
      <c r="U580" s="77"/>
    </row>
    <row r="581" spans="21:21" x14ac:dyDescent="0.25">
      <c r="U581" s="77"/>
    </row>
    <row r="582" spans="21:21" x14ac:dyDescent="0.25">
      <c r="U582" s="77"/>
    </row>
    <row r="583" spans="21:21" x14ac:dyDescent="0.25">
      <c r="U583" s="77"/>
    </row>
    <row r="584" spans="21:21" x14ac:dyDescent="0.25">
      <c r="U584" s="77"/>
    </row>
    <row r="585" spans="21:21" x14ac:dyDescent="0.25">
      <c r="U585" s="77"/>
    </row>
    <row r="586" spans="21:21" x14ac:dyDescent="0.25">
      <c r="U586" s="77"/>
    </row>
    <row r="587" spans="21:21" x14ac:dyDescent="0.25">
      <c r="U587" s="77"/>
    </row>
    <row r="588" spans="21:21" x14ac:dyDescent="0.25">
      <c r="U588" s="77"/>
    </row>
    <row r="589" spans="21:21" x14ac:dyDescent="0.25">
      <c r="U589" s="77"/>
    </row>
    <row r="590" spans="21:21" x14ac:dyDescent="0.25">
      <c r="U590" s="77"/>
    </row>
    <row r="591" spans="21:21" x14ac:dyDescent="0.25">
      <c r="U591" s="77"/>
    </row>
    <row r="592" spans="21:21" x14ac:dyDescent="0.25">
      <c r="U592" s="77"/>
    </row>
    <row r="593" spans="21:21" x14ac:dyDescent="0.25">
      <c r="U593" s="77"/>
    </row>
    <row r="594" spans="21:21" x14ac:dyDescent="0.25">
      <c r="U594" s="77"/>
    </row>
    <row r="595" spans="21:21" x14ac:dyDescent="0.25">
      <c r="U595" s="77"/>
    </row>
    <row r="596" spans="21:21" x14ac:dyDescent="0.25">
      <c r="U596" s="77"/>
    </row>
    <row r="597" spans="21:21" x14ac:dyDescent="0.25">
      <c r="U597" s="77"/>
    </row>
    <row r="598" spans="21:21" x14ac:dyDescent="0.25">
      <c r="U598" s="77"/>
    </row>
    <row r="599" spans="21:21" x14ac:dyDescent="0.25">
      <c r="U599" s="77"/>
    </row>
    <row r="600" spans="21:21" x14ac:dyDescent="0.25">
      <c r="U600" s="77"/>
    </row>
    <row r="601" spans="21:21" x14ac:dyDescent="0.25">
      <c r="U601" s="77"/>
    </row>
    <row r="602" spans="21:21" x14ac:dyDescent="0.25">
      <c r="U602" s="77"/>
    </row>
    <row r="603" spans="21:21" x14ac:dyDescent="0.25">
      <c r="U603" s="77"/>
    </row>
    <row r="604" spans="21:21" x14ac:dyDescent="0.25">
      <c r="U604" s="77"/>
    </row>
    <row r="605" spans="21:21" x14ac:dyDescent="0.25">
      <c r="U605" s="77"/>
    </row>
    <row r="606" spans="21:21" x14ac:dyDescent="0.25">
      <c r="U606" s="77"/>
    </row>
    <row r="607" spans="21:21" x14ac:dyDescent="0.25">
      <c r="U607" s="77"/>
    </row>
    <row r="608" spans="21:21" x14ac:dyDescent="0.25">
      <c r="U608" s="77"/>
    </row>
    <row r="609" spans="21:21" x14ac:dyDescent="0.25">
      <c r="U609" s="77"/>
    </row>
  </sheetData>
  <scenarios current="2" show="1" sqref="V154 V155 V159 V160 V164 V165 V172 V173">
    <scenario name="Best Scenario" count="4" user="admin" comment="The best case is describe as when AR is smallen down tp 2%, Interest rate decreases by 9.5%, Occupancy rate in year 1 is 80% and Land rent is 70M VND_x000a_Modified by admin on 7/6/2025">
      <inputCells r="AC15" val="0,8" numFmtId="9"/>
      <inputCells r="AC20" val="0,95"/>
      <inputCells r="W10" val="70000000" numFmtId="3"/>
      <inputCells r="W34" val="0,02" numFmtId="9"/>
    </scenario>
    <scenario name="Common Screnario" count="4" user="admin" comment="This is the common case in the marekt where occupancy rate is not too high but not to low, interest rate is about 12.5%, land rent in general is 80,mVND while AR is about 5% since tenants can not pay all_x000a_Modified by admin on 7/6/2025">
      <inputCells r="AC15" val="0,75" numFmtId="9"/>
      <inputCells r="AC20" val="0,125"/>
      <inputCells r="W10" val="80000000" numFmtId="3"/>
      <inputCells r="W34" val="0,05" numFmtId="9"/>
    </scenario>
    <scenario name="Worst Scenario" count="4" user="admin" comment="Worst Scenario is expected to happen when sudden situation appears such as Covid pandemic. In this case, the interest rate is higher at about 15%, occupancy rate in year 1 is just 50%, land rent increased to 85mVND, AR is 8% where tenant cann't pay">
      <inputCells r="AC15" val="0,5" numFmtId="9"/>
      <inputCells r="AC20" val="0,15"/>
      <inputCells r="W10" val="85000000" numFmtId="3"/>
      <inputCells r="W34" val="0,08" numFmtId="9"/>
    </scenario>
  </scenarios>
  <mergeCells count="26">
    <mergeCell ref="U438:AA438"/>
    <mergeCell ref="AB438:AH438"/>
    <mergeCell ref="U382:AA382"/>
    <mergeCell ref="AB382:AH382"/>
    <mergeCell ref="AB223:AH223"/>
    <mergeCell ref="U223:AA223"/>
    <mergeCell ref="U281:AA281"/>
    <mergeCell ref="AB281:AH281"/>
    <mergeCell ref="U327:AA327"/>
    <mergeCell ref="AB327:AH327"/>
    <mergeCell ref="U249:AA249"/>
    <mergeCell ref="AB249:AH249"/>
    <mergeCell ref="U176:U177"/>
    <mergeCell ref="U178:U179"/>
    <mergeCell ref="B1:J1"/>
    <mergeCell ref="B49:B50"/>
    <mergeCell ref="C91:F91"/>
    <mergeCell ref="B55:B71"/>
    <mergeCell ref="K82:O82"/>
    <mergeCell ref="J87:J88"/>
    <mergeCell ref="K85:N85"/>
    <mergeCell ref="AB14:AB15"/>
    <mergeCell ref="AL14:AL15"/>
    <mergeCell ref="U153:V153"/>
    <mergeCell ref="U158:V158"/>
    <mergeCell ref="U163:V163"/>
  </mergeCells>
  <conditionalFormatting sqref="V191:AA220">
    <cfRule type="cellIs" dxfId="13" priority="11" operator="lessThan">
      <formula>0</formula>
    </cfRule>
  </conditionalFormatting>
  <conditionalFormatting sqref="V251:AA278">
    <cfRule type="cellIs" dxfId="12" priority="8" operator="lessThan">
      <formula>0</formula>
    </cfRule>
  </conditionalFormatting>
  <conditionalFormatting sqref="V283:AA324">
    <cfRule type="cellIs" dxfId="11" priority="9" operator="lessThan">
      <formula>0</formula>
    </cfRule>
  </conditionalFormatting>
  <conditionalFormatting sqref="V329:AA380">
    <cfRule type="cellIs" dxfId="10" priority="6" operator="lessThan">
      <formula>0</formula>
    </cfRule>
  </conditionalFormatting>
  <conditionalFormatting sqref="V92:AE100">
    <cfRule type="cellIs" dxfId="9" priority="20" operator="lessThan">
      <formula>0</formula>
    </cfRule>
  </conditionalFormatting>
  <conditionalFormatting sqref="V112:AF128">
    <cfRule type="cellIs" dxfId="8" priority="21" operator="lessThan">
      <formula>0</formula>
    </cfRule>
  </conditionalFormatting>
  <conditionalFormatting sqref="V469:AQ505">
    <cfRule type="cellIs" dxfId="7" priority="1" operator="lessThan">
      <formula>0</formula>
    </cfRule>
  </conditionalFormatting>
  <conditionalFormatting sqref="AC191:AH220">
    <cfRule type="expression" dxfId="6" priority="13">
      <formula>ABS(AC190) &gt; ABS($AB190)</formula>
    </cfRule>
  </conditionalFormatting>
  <conditionalFormatting sqref="AC225:AH246">
    <cfRule type="expression" dxfId="5" priority="12">
      <formula>ABS(AC224) &gt; ABS($AB224)</formula>
    </cfRule>
  </conditionalFormatting>
  <conditionalFormatting sqref="AC251:AH278">
    <cfRule type="expression" dxfId="4" priority="7">
      <formula>ABS(AC250) &gt; ABS($AB250)</formula>
    </cfRule>
  </conditionalFormatting>
  <conditionalFormatting sqref="AC283:AH324">
    <cfRule type="expression" dxfId="3" priority="10">
      <formula>ABS(AC282) &gt; ABS($AB282)</formula>
    </cfRule>
  </conditionalFormatting>
  <conditionalFormatting sqref="AC329:AH380">
    <cfRule type="expression" dxfId="2" priority="2">
      <formula>ABS(AC328) &gt; ABS($AB328)</formula>
    </cfRule>
  </conditionalFormatting>
  <conditionalFormatting sqref="AC384:AH435">
    <cfRule type="expression" dxfId="1" priority="4">
      <formula>ABS(AC383) &gt; ABS($AB383)</formula>
    </cfRule>
  </conditionalFormatting>
  <conditionalFormatting sqref="AC440:AH461">
    <cfRule type="expression" dxfId="0" priority="3">
      <formula>ABS(AC439) &gt; ABS($AB439)</formula>
    </cfRule>
  </conditionalFormatting>
  <hyperlinks>
    <hyperlink ref="I4" r:id="rId1" xr:uid="{9AF402CC-7CB9-4167-8BF0-035ACCC57821}"/>
    <hyperlink ref="I5" r:id="rId2" xr:uid="{D11CF7D3-AE0E-4DB9-A64D-E743EE6555CE}"/>
    <hyperlink ref="I6" r:id="rId3" xr:uid="{12B1173A-C616-4BBC-AE42-968E84FC7DB0}"/>
    <hyperlink ref="I7" r:id="rId4" xr:uid="{FAE8F506-7C9B-47A7-B345-7DEA2B6C51E5}"/>
    <hyperlink ref="I8" r:id="rId5" xr:uid="{9C0FC0B8-BBBA-4669-986D-748205C71B72}"/>
    <hyperlink ref="I12" r:id="rId6" xr:uid="{92FCD581-9F56-4603-86ED-9F7E16D98923}"/>
    <hyperlink ref="I13" r:id="rId7" xr:uid="{07C6AA72-8076-4B76-A75B-C536848EFD21}"/>
    <hyperlink ref="I14" r:id="rId8" xr:uid="{0FCE6F41-3B1E-45C1-90C3-B62F6444F1B6}"/>
    <hyperlink ref="I15" r:id="rId9" xr:uid="{CD4DDFF6-6210-4C4B-B44C-AE41E8EF6A98}"/>
    <hyperlink ref="I15" r:id="rId10" xr:uid="{BA77940E-4CA9-4147-8D84-C02F50F0C36F}"/>
    <hyperlink ref="I16" r:id="rId11" xr:uid="{81BDA7CB-3C8D-4807-BD2A-DE202236C836}"/>
    <hyperlink ref="I17" r:id="rId12" xr:uid="{4FDE4AB5-40AB-4E21-A64A-2C03F87E42CC}"/>
    <hyperlink ref="I18" r:id="rId13" xr:uid="{D2CF399F-15E4-4115-AC8B-1288EE43D044}"/>
    <hyperlink ref="I22" r:id="rId14" xr:uid="{9D4EA800-A14C-4FF7-98FC-4F31EAE09C24}"/>
    <hyperlink ref="I23" r:id="rId15" xr:uid="{DEE86A84-0DBF-4235-9F8B-636869714B04}"/>
    <hyperlink ref="I24" r:id="rId16" xr:uid="{FF62AB07-2478-4E17-A60E-7B54B0C9CB00}"/>
    <hyperlink ref="I25" r:id="rId17" xr:uid="{F9CFFBA6-99F3-4C21-9A97-F09AD0EA9223}"/>
    <hyperlink ref="I26" r:id="rId18" xr:uid="{7483A0D2-962B-4929-BE05-88DF6B4113AC}"/>
    <hyperlink ref="I30" r:id="rId19" xr:uid="{3E7A586F-C788-4A99-8C5A-9C0053BD69C2}"/>
    <hyperlink ref="I32" r:id="rId20" xr:uid="{A67EBFC2-D094-4831-A9C8-066C3701D34A}"/>
    <hyperlink ref="I33" r:id="rId21" xr:uid="{ADD16DEB-A421-4413-98C5-A74577E76F15}"/>
    <hyperlink ref="I31" r:id="rId22" xr:uid="{F32DDD54-6474-4F2E-BE07-2D4A066272FD}"/>
    <hyperlink ref="I34" r:id="rId23" xr:uid="{1488D822-3D27-43B4-82EA-4297D7E7F3C1}"/>
    <hyperlink ref="F54" r:id="rId24" xr:uid="{4B856FB7-864A-4E92-A897-08F074EF9B83}"/>
    <hyperlink ref="I38" r:id="rId25" xr:uid="{E2C2E985-8C5A-4545-A021-E635EF099B32}"/>
    <hyperlink ref="I39" r:id="rId26" xr:uid="{DDDBD134-0103-49D4-A34A-2F6924847703}"/>
    <hyperlink ref="Q3" r:id="rId27" xr:uid="{2A960728-4BDE-4E91-8E14-9A8589274502}"/>
    <hyperlink ref="Q4" r:id="rId28" location=":~:text=B%E1%BA%A3ng%20b%C3%A1o%20gi%C3%A1%20thi%20c%C3%B4ng%20h%E1%BB%87%20th%E1%BB%91ng%20ph%C3%B2ng,5%20%C4%90%E1%BA%A7u%20b%C3%A1o%20kh%C3%B3i%20kh%C3%B4ng%20d%C3%A2y%20WSD1%3A%20620.000VND" xr:uid="{FD16573B-2D56-4FDA-A7EB-5495377A2364}"/>
    <hyperlink ref="Q5" r:id="rId29" xr:uid="{64E1BA3E-A19C-4015-95D2-D7A4C78CD85B}"/>
    <hyperlink ref="Q6" r:id="rId30" xr:uid="{EFED692A-0DA0-4559-B6A3-0FB99DC4B0D1}"/>
    <hyperlink ref="Q7" r:id="rId31" xr:uid="{CF0A4DF7-7020-4410-8825-70823270527F}"/>
    <hyperlink ref="Q8" r:id="rId32" xr:uid="{2DE57C46-A5F8-4F31-BFDC-AD461988823C}"/>
    <hyperlink ref="N87" r:id="rId33" xr:uid="{5703BEDC-9103-4849-8C74-85D426FF596F}"/>
    <hyperlink ref="N88" r:id="rId34" xr:uid="{F1060BA3-DDF4-43F0-BBCB-262106750F83}"/>
    <hyperlink ref="N89" r:id="rId35" xr:uid="{47AF1A7A-DF7A-46A9-8C59-A064D266ED9E}"/>
    <hyperlink ref="N92" r:id="rId36" xr:uid="{A747FDED-2984-44EF-99FA-08FC77B93E15}"/>
    <hyperlink ref="N90" r:id="rId37" xr:uid="{863B3B79-F494-4474-9BEE-41094160C8B0}"/>
    <hyperlink ref="N91" r:id="rId38" xr:uid="{B67DE04C-DA3D-40A0-8069-F42FF8FAAED2}"/>
    <hyperlink ref="N29" r:id="rId39" xr:uid="{42EC9CA9-5353-4752-B144-BE94E49967E9}"/>
  </hyperlinks>
  <pageMargins left="0.7" right="0.7" top="0.75" bottom="0.75" header="0.3" footer="0.3"/>
  <drawing r:id="rId40"/>
  <legacyDrawing r:id="rId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EBD8A-28B3-4E03-85EA-CA1C62744FDC}">
  <dimension ref="A1:J37"/>
  <sheetViews>
    <sheetView topLeftCell="A25" workbookViewId="0">
      <selection activeCell="N19" sqref="N19"/>
    </sheetView>
  </sheetViews>
  <sheetFormatPr defaultRowHeight="15" x14ac:dyDescent="0.25"/>
  <cols>
    <col min="1" max="1" width="1.85546875" bestFit="1" customWidth="1"/>
    <col min="2" max="2" width="22.85546875" bestFit="1" customWidth="1"/>
    <col min="3" max="3" width="10" bestFit="1" customWidth="1"/>
    <col min="4" max="5" width="11" bestFit="1" customWidth="1"/>
    <col min="6" max="6" width="14.7109375" customWidth="1"/>
    <col min="7" max="9" width="9.85546875" bestFit="1" customWidth="1"/>
  </cols>
  <sheetData>
    <row r="1" spans="1:1" x14ac:dyDescent="0.25">
      <c r="A1" t="s">
        <v>415</v>
      </c>
    </row>
    <row r="20" spans="2:10" x14ac:dyDescent="0.25">
      <c r="B20" t="s">
        <v>416</v>
      </c>
    </row>
    <row r="24" spans="2:10" x14ac:dyDescent="0.25">
      <c r="B24" s="315"/>
      <c r="C24" s="385" t="s">
        <v>332</v>
      </c>
      <c r="D24" s="385"/>
      <c r="E24" s="385"/>
      <c r="F24" s="385"/>
      <c r="G24" s="386" t="s">
        <v>417</v>
      </c>
      <c r="H24" s="385"/>
      <c r="I24" s="387"/>
      <c r="J24" s="316"/>
    </row>
    <row r="25" spans="2:10" ht="30" x14ac:dyDescent="0.25">
      <c r="B25" s="317" t="s">
        <v>418</v>
      </c>
      <c r="C25" s="318" t="s">
        <v>419</v>
      </c>
      <c r="D25" s="318" t="s">
        <v>420</v>
      </c>
      <c r="E25" s="318" t="s">
        <v>421</v>
      </c>
      <c r="F25" s="319" t="s">
        <v>422</v>
      </c>
      <c r="G25" s="320" t="s">
        <v>419</v>
      </c>
      <c r="H25" s="318" t="s">
        <v>420</v>
      </c>
      <c r="I25" s="321" t="s">
        <v>423</v>
      </c>
    </row>
    <row r="26" spans="2:10" x14ac:dyDescent="0.25">
      <c r="B26" s="322" t="s">
        <v>424</v>
      </c>
      <c r="C26" s="323">
        <v>79471998.257638454</v>
      </c>
      <c r="D26" s="323">
        <v>1163944569.4460154</v>
      </c>
      <c r="E26" s="323">
        <v>1084472571.1883769</v>
      </c>
      <c r="F26" s="324">
        <v>0.71118237487502489</v>
      </c>
      <c r="G26" s="325">
        <v>23735298</v>
      </c>
      <c r="H26" s="326">
        <v>29425447</v>
      </c>
      <c r="I26" s="327">
        <v>26580372</v>
      </c>
    </row>
    <row r="27" spans="2:10" x14ac:dyDescent="0.25">
      <c r="B27" s="322" t="s">
        <v>425</v>
      </c>
      <c r="C27" s="323">
        <v>313884265.82146454</v>
      </c>
      <c r="D27" s="323">
        <v>929532111.29445982</v>
      </c>
      <c r="E27" s="323">
        <v>615647845.47299528</v>
      </c>
      <c r="F27" s="324">
        <v>0.94037918478309868</v>
      </c>
      <c r="G27" s="328">
        <v>0.5208039655495913</v>
      </c>
      <c r="H27" s="329">
        <v>0.77402043999009995</v>
      </c>
      <c r="I27" s="330">
        <v>0.64741220276984568</v>
      </c>
    </row>
    <row r="28" spans="2:10" x14ac:dyDescent="0.25">
      <c r="B28" s="331" t="s">
        <v>426</v>
      </c>
      <c r="C28" s="332">
        <v>464709133.31898737</v>
      </c>
      <c r="D28" s="332">
        <v>778707243.79693747</v>
      </c>
      <c r="E28" s="332">
        <v>313998110.4779501</v>
      </c>
      <c r="F28" s="333">
        <v>1</v>
      </c>
      <c r="G28" s="334">
        <v>10717011</v>
      </c>
      <c r="H28" s="335">
        <v>15659587</v>
      </c>
      <c r="I28" s="336">
        <v>13188299</v>
      </c>
    </row>
    <row r="29" spans="2:10" x14ac:dyDescent="0.25">
      <c r="B29" s="337" t="s">
        <v>427</v>
      </c>
    </row>
    <row r="31" spans="2:10" x14ac:dyDescent="0.25">
      <c r="B31" t="s">
        <v>428</v>
      </c>
    </row>
    <row r="32" spans="2:10" x14ac:dyDescent="0.25">
      <c r="B32" t="s">
        <v>429</v>
      </c>
      <c r="F32" t="s">
        <v>430</v>
      </c>
    </row>
    <row r="33" spans="2:6" x14ac:dyDescent="0.25">
      <c r="B33" t="s">
        <v>431</v>
      </c>
      <c r="F33" t="s">
        <v>432</v>
      </c>
    </row>
    <row r="34" spans="2:6" x14ac:dyDescent="0.25">
      <c r="B34" t="s">
        <v>433</v>
      </c>
      <c r="F34" s="323">
        <v>5</v>
      </c>
    </row>
    <row r="35" spans="2:6" x14ac:dyDescent="0.25">
      <c r="B35" t="s">
        <v>434</v>
      </c>
      <c r="F35" t="s">
        <v>435</v>
      </c>
    </row>
    <row r="36" spans="2:6" x14ac:dyDescent="0.25">
      <c r="B36" t="s">
        <v>436</v>
      </c>
      <c r="F36" s="323">
        <v>20</v>
      </c>
    </row>
    <row r="37" spans="2:6" x14ac:dyDescent="0.25">
      <c r="B37" t="s">
        <v>437</v>
      </c>
      <c r="F37" t="s">
        <v>438</v>
      </c>
    </row>
  </sheetData>
  <mergeCells count="2">
    <mergeCell ref="C24:F24"/>
    <mergeCell ref="G24:I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8F5DF-6D17-4CE0-AB90-838A52E8F2C9}">
  <dimension ref="A1:H38"/>
  <sheetViews>
    <sheetView workbookViewId="0">
      <selection activeCell="P25" sqref="P25"/>
    </sheetView>
  </sheetViews>
  <sheetFormatPr defaultRowHeight="15" x14ac:dyDescent="0.25"/>
  <cols>
    <col min="1" max="1" width="1.85546875" bestFit="1" customWidth="1"/>
    <col min="2" max="2" width="22.85546875" bestFit="1" customWidth="1"/>
    <col min="3" max="3" width="8.42578125" bestFit="1" customWidth="1"/>
    <col min="4" max="7" width="10" bestFit="1" customWidth="1"/>
    <col min="8" max="8" width="11" bestFit="1" customWidth="1"/>
  </cols>
  <sheetData>
    <row r="1" spans="1:1" x14ac:dyDescent="0.25">
      <c r="A1" t="s">
        <v>415</v>
      </c>
    </row>
    <row r="24" spans="2:8" x14ac:dyDescent="0.25">
      <c r="C24" s="315"/>
      <c r="D24" s="385" t="s">
        <v>332</v>
      </c>
      <c r="E24" s="385"/>
      <c r="F24" s="385"/>
      <c r="G24" s="385"/>
      <c r="H24" s="387"/>
    </row>
    <row r="25" spans="2:8" x14ac:dyDescent="0.25">
      <c r="B25" s="317" t="s">
        <v>418</v>
      </c>
      <c r="C25" s="321" t="s">
        <v>439</v>
      </c>
      <c r="D25" s="338">
        <v>0.1</v>
      </c>
      <c r="E25" s="338">
        <v>0.3</v>
      </c>
      <c r="F25" s="338">
        <v>0.5</v>
      </c>
      <c r="G25" s="338">
        <v>0.7</v>
      </c>
      <c r="H25" s="339">
        <v>0.9</v>
      </c>
    </row>
    <row r="26" spans="2:8" x14ac:dyDescent="0.25">
      <c r="B26" s="322" t="s">
        <v>424</v>
      </c>
      <c r="C26" s="340">
        <v>10.999869372765367</v>
      </c>
      <c r="D26" s="323">
        <v>79471998.257638454</v>
      </c>
      <c r="E26" s="323">
        <v>350590093.40779972</v>
      </c>
      <c r="F26" s="323">
        <v>621708188.55796242</v>
      </c>
      <c r="G26" s="323">
        <v>892826474.29585266</v>
      </c>
      <c r="H26" s="341">
        <v>1163944569.4460154</v>
      </c>
    </row>
    <row r="27" spans="2:8" x14ac:dyDescent="0.25">
      <c r="B27" s="322" t="s">
        <v>425</v>
      </c>
      <c r="C27" s="340">
        <v>2.6662599367876325</v>
      </c>
      <c r="D27" s="323">
        <v>313884265.82146454</v>
      </c>
      <c r="E27" s="323">
        <v>467796227.18971252</v>
      </c>
      <c r="F27" s="323">
        <v>621708188.55796242</v>
      </c>
      <c r="G27" s="323">
        <v>775620149.9262104</v>
      </c>
      <c r="H27" s="341">
        <v>929532111.29445982</v>
      </c>
    </row>
    <row r="28" spans="2:8" x14ac:dyDescent="0.25">
      <c r="B28" s="331" t="s">
        <v>426</v>
      </c>
      <c r="C28" s="342">
        <v>1.3548089173622748</v>
      </c>
      <c r="D28" s="332">
        <v>464709133.31898737</v>
      </c>
      <c r="E28" s="332">
        <v>543208660.93847466</v>
      </c>
      <c r="F28" s="332">
        <v>621708188.55796242</v>
      </c>
      <c r="G28" s="332">
        <v>700207716.1774497</v>
      </c>
      <c r="H28" s="343">
        <v>778707243.79693747</v>
      </c>
    </row>
    <row r="29" spans="2:8" x14ac:dyDescent="0.25">
      <c r="B29" s="344" t="s">
        <v>440</v>
      </c>
    </row>
    <row r="32" spans="2:8" x14ac:dyDescent="0.25">
      <c r="B32" t="s">
        <v>428</v>
      </c>
    </row>
    <row r="33" spans="2:6" x14ac:dyDescent="0.25">
      <c r="B33" t="s">
        <v>429</v>
      </c>
      <c r="F33" t="s">
        <v>430</v>
      </c>
    </row>
    <row r="34" spans="2:6" x14ac:dyDescent="0.25">
      <c r="B34" t="s">
        <v>431</v>
      </c>
      <c r="F34" t="s">
        <v>432</v>
      </c>
    </row>
    <row r="35" spans="2:6" x14ac:dyDescent="0.25">
      <c r="B35" t="s">
        <v>433</v>
      </c>
      <c r="F35" s="323">
        <v>5</v>
      </c>
    </row>
    <row r="36" spans="2:6" x14ac:dyDescent="0.25">
      <c r="B36" t="s">
        <v>434</v>
      </c>
      <c r="F36" t="s">
        <v>435</v>
      </c>
    </row>
    <row r="37" spans="2:6" x14ac:dyDescent="0.25">
      <c r="B37" t="s">
        <v>436</v>
      </c>
      <c r="F37" s="323">
        <v>20</v>
      </c>
    </row>
    <row r="38" spans="2:6" x14ac:dyDescent="0.25">
      <c r="B38" t="s">
        <v>437</v>
      </c>
      <c r="F38" t="s">
        <v>438</v>
      </c>
    </row>
  </sheetData>
  <mergeCells count="1">
    <mergeCell ref="D24:H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Costing</vt:lpstr>
      <vt:lpstr>Tornado chart</vt:lpstr>
      <vt:lpstr>Spider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phuc.đh</dc:creator>
  <cp:keywords/>
  <dc:description/>
  <cp:lastModifiedBy>Phuc.đh</cp:lastModifiedBy>
  <cp:revision/>
  <dcterms:created xsi:type="dcterms:W3CDTF">2025-05-22T13:18:08Z</dcterms:created>
  <dcterms:modified xsi:type="dcterms:W3CDTF">2026-04-09T03:39:33Z</dcterms:modified>
  <cp:category/>
  <cp:contentStatus/>
</cp:coreProperties>
</file>