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i_hoc\Nam_3\HK2\Business-Analyst\Lab\Lab_4\"/>
    </mc:Choice>
  </mc:AlternateContent>
  <xr:revisionPtr revIDLastSave="0" documentId="13_ncr:1_{4E0FAABB-84C0-45A0-83E6-CD6AD51962FB}" xr6:coauthVersionLast="47" xr6:coauthVersionMax="47" xr10:uidLastSave="{00000000-0000-0000-0000-000000000000}"/>
  <bookViews>
    <workbookView xWindow="-108" yWindow="348" windowWidth="23256" windowHeight="12720" activeTab="1" xr2:uid="{685DB9FE-F294-4F72-B413-6FFF4834968E}"/>
  </bookViews>
  <sheets>
    <sheet name="Test" sheetId="1" r:id="rId1"/>
    <sheet name="Sheet5" sheetId="5" r:id="rId2"/>
  </sheets>
  <externalReferences>
    <externalReference r:id="rId3"/>
  </externalReferenc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42" i="5" l="1"/>
  <c r="AH43" i="5"/>
  <c r="AH44" i="5"/>
  <c r="AH45" i="5"/>
  <c r="AH46" i="5"/>
  <c r="AH47" i="5"/>
  <c r="AH48" i="5"/>
  <c r="AH49" i="5"/>
  <c r="AH50" i="5"/>
  <c r="AH41" i="5"/>
  <c r="AG41" i="5"/>
  <c r="AG42" i="5"/>
  <c r="AG43" i="5"/>
  <c r="AG44" i="5"/>
  <c r="AG45" i="5"/>
  <c r="AG46" i="5"/>
  <c r="AG47" i="5"/>
  <c r="AG48" i="5"/>
  <c r="AG49" i="5"/>
  <c r="AG50" i="5"/>
  <c r="AG7" i="5"/>
  <c r="AH7" i="5"/>
  <c r="AG8" i="5"/>
  <c r="AH8" i="5"/>
  <c r="AG9" i="5"/>
  <c r="AH9" i="5"/>
  <c r="AG10" i="5"/>
  <c r="AH10" i="5"/>
  <c r="AG11" i="5"/>
  <c r="AH11" i="5"/>
  <c r="AG12" i="5"/>
  <c r="AH12" i="5"/>
  <c r="AG13" i="5"/>
  <c r="AH13" i="5"/>
  <c r="AG14" i="5"/>
  <c r="AH14" i="5"/>
  <c r="AG15" i="5"/>
  <c r="AH15" i="5"/>
  <c r="AG16" i="5"/>
  <c r="AH16" i="5"/>
  <c r="AG17" i="5"/>
  <c r="AH17" i="5"/>
  <c r="AG18" i="5"/>
  <c r="AH18" i="5"/>
  <c r="AG19" i="5"/>
  <c r="AH19" i="5"/>
  <c r="AG20" i="5"/>
  <c r="AH20" i="5"/>
  <c r="AG21" i="5"/>
  <c r="AH21" i="5"/>
  <c r="AG22" i="5"/>
  <c r="AH22" i="5"/>
  <c r="AG23" i="5"/>
  <c r="AH23" i="5"/>
  <c r="AG24" i="5"/>
  <c r="AH24" i="5"/>
  <c r="AG25" i="5"/>
  <c r="AH25" i="5"/>
  <c r="AG26" i="5"/>
  <c r="AH26" i="5"/>
  <c r="AG27" i="5"/>
  <c r="AH27" i="5"/>
  <c r="AG28" i="5"/>
  <c r="AH28" i="5"/>
  <c r="AG29" i="5"/>
  <c r="AH29" i="5"/>
  <c r="AG30" i="5"/>
  <c r="AH30" i="5"/>
  <c r="AG31" i="5"/>
  <c r="AH31" i="5"/>
  <c r="AG32" i="5"/>
  <c r="AH32" i="5"/>
  <c r="AG33" i="5"/>
  <c r="AH33" i="5"/>
  <c r="AG34" i="5"/>
  <c r="AH34" i="5"/>
  <c r="AG35" i="5"/>
  <c r="AH35" i="5"/>
  <c r="AG36" i="5"/>
  <c r="AH36" i="5"/>
  <c r="AG37" i="5"/>
  <c r="AH37" i="5"/>
  <c r="AG38" i="5"/>
  <c r="AH38" i="5"/>
  <c r="AG39" i="5"/>
  <c r="AH39" i="5"/>
  <c r="AG40" i="5"/>
  <c r="AH40" i="5"/>
  <c r="AH6" i="5"/>
  <c r="AH5" i="5"/>
  <c r="AG6" i="5"/>
  <c r="AC40" i="5"/>
  <c r="AD40" i="5"/>
  <c r="AE40" i="5"/>
  <c r="AC41" i="5"/>
  <c r="AD41" i="5"/>
  <c r="AE41" i="5"/>
  <c r="AC42" i="5"/>
  <c r="AD42" i="5"/>
  <c r="AE42" i="5"/>
  <c r="AC43" i="5"/>
  <c r="AD43" i="5"/>
  <c r="AE43" i="5"/>
  <c r="AC44" i="5"/>
  <c r="AD44" i="5"/>
  <c r="AE44" i="5"/>
  <c r="AC45" i="5"/>
  <c r="AD45" i="5"/>
  <c r="AE45" i="5"/>
  <c r="AC46" i="5"/>
  <c r="AD46" i="5"/>
  <c r="AE46" i="5"/>
  <c r="AC47" i="5"/>
  <c r="AD47" i="5"/>
  <c r="AE47" i="5"/>
  <c r="AC48" i="5"/>
  <c r="AD48" i="5"/>
  <c r="AE48" i="5"/>
  <c r="AE39" i="5"/>
  <c r="AD39" i="5"/>
  <c r="AC39" i="5"/>
  <c r="AB48" i="5"/>
  <c r="AB47" i="5"/>
  <c r="AB46" i="5"/>
  <c r="AB45" i="5"/>
  <c r="AB44" i="5"/>
  <c r="AB43" i="5"/>
  <c r="AB42" i="5"/>
  <c r="AB41" i="5"/>
  <c r="AB40" i="5"/>
  <c r="AB39" i="5"/>
  <c r="Y40" i="5"/>
  <c r="Y41" i="5"/>
  <c r="Y42" i="5"/>
  <c r="Y43" i="5"/>
  <c r="Y44" i="5"/>
  <c r="Y45" i="5"/>
  <c r="Y46" i="5"/>
  <c r="Y47" i="5"/>
  <c r="Y48" i="5"/>
  <c r="Y39" i="5"/>
  <c r="AB6" i="5"/>
  <c r="AC6" i="5"/>
  <c r="AD6" i="5"/>
  <c r="AE6" i="5"/>
  <c r="AB7" i="5"/>
  <c r="AC7" i="5"/>
  <c r="AD7" i="5"/>
  <c r="AE7" i="5"/>
  <c r="AB8" i="5"/>
  <c r="AC8" i="5"/>
  <c r="AD8" i="5"/>
  <c r="AE8" i="5"/>
  <c r="AB9" i="5"/>
  <c r="AC9" i="5"/>
  <c r="AD9" i="5"/>
  <c r="AE9" i="5"/>
  <c r="AB10" i="5"/>
  <c r="AC10" i="5"/>
  <c r="AD10" i="5"/>
  <c r="AE10" i="5"/>
  <c r="AB11" i="5"/>
  <c r="AC11" i="5"/>
  <c r="AD11" i="5"/>
  <c r="AE11" i="5"/>
  <c r="AB12" i="5"/>
  <c r="AC12" i="5"/>
  <c r="AD12" i="5"/>
  <c r="AE12" i="5"/>
  <c r="AB13" i="5"/>
  <c r="AC13" i="5"/>
  <c r="AD13" i="5"/>
  <c r="AE13" i="5"/>
  <c r="AB14" i="5"/>
  <c r="AC14" i="5"/>
  <c r="AD14" i="5"/>
  <c r="AE14" i="5"/>
  <c r="AB15" i="5"/>
  <c r="AC15" i="5"/>
  <c r="AD15" i="5"/>
  <c r="AE15" i="5"/>
  <c r="AB16" i="5"/>
  <c r="AC16" i="5"/>
  <c r="AD16" i="5"/>
  <c r="AE16" i="5"/>
  <c r="AB17" i="5"/>
  <c r="AC17" i="5"/>
  <c r="AD17" i="5"/>
  <c r="AE17" i="5"/>
  <c r="AB18" i="5"/>
  <c r="AC18" i="5"/>
  <c r="AD18" i="5"/>
  <c r="AE18" i="5"/>
  <c r="AB19" i="5"/>
  <c r="AC19" i="5"/>
  <c r="AD19" i="5"/>
  <c r="AE19" i="5"/>
  <c r="AB20" i="5"/>
  <c r="AC20" i="5"/>
  <c r="AD20" i="5"/>
  <c r="AE20" i="5"/>
  <c r="AB21" i="5"/>
  <c r="AC21" i="5"/>
  <c r="AD21" i="5"/>
  <c r="AE21" i="5"/>
  <c r="AB22" i="5"/>
  <c r="AC22" i="5"/>
  <c r="AD22" i="5"/>
  <c r="AE22" i="5"/>
  <c r="AB23" i="5"/>
  <c r="AC23" i="5"/>
  <c r="AD23" i="5"/>
  <c r="AE23" i="5"/>
  <c r="AB24" i="5"/>
  <c r="AC24" i="5"/>
  <c r="AD24" i="5"/>
  <c r="AE24" i="5"/>
  <c r="AB25" i="5"/>
  <c r="AC25" i="5"/>
  <c r="AD25" i="5"/>
  <c r="AE25" i="5"/>
  <c r="AB26" i="5"/>
  <c r="AC26" i="5"/>
  <c r="AD26" i="5"/>
  <c r="AE26" i="5"/>
  <c r="AB27" i="5"/>
  <c r="AC27" i="5"/>
  <c r="AD27" i="5"/>
  <c r="AE27" i="5"/>
  <c r="AB28" i="5"/>
  <c r="AC28" i="5"/>
  <c r="AD28" i="5"/>
  <c r="AE28" i="5"/>
  <c r="AB29" i="5"/>
  <c r="AC29" i="5"/>
  <c r="AD29" i="5"/>
  <c r="AE29" i="5"/>
  <c r="AB30" i="5"/>
  <c r="AC30" i="5"/>
  <c r="AD30" i="5"/>
  <c r="AE30" i="5"/>
  <c r="AB31" i="5"/>
  <c r="AC31" i="5"/>
  <c r="AD31" i="5"/>
  <c r="AE31" i="5"/>
  <c r="AB32" i="5"/>
  <c r="AC32" i="5"/>
  <c r="AD32" i="5"/>
  <c r="AE32" i="5"/>
  <c r="AB33" i="5"/>
  <c r="AC33" i="5"/>
  <c r="AD33" i="5"/>
  <c r="AE33" i="5"/>
  <c r="AB34" i="5"/>
  <c r="AC34" i="5"/>
  <c r="AD34" i="5"/>
  <c r="AE34" i="5"/>
  <c r="AB35" i="5"/>
  <c r="AC35" i="5"/>
  <c r="AD35" i="5"/>
  <c r="AE35" i="5"/>
  <c r="AB36" i="5"/>
  <c r="AC36" i="5"/>
  <c r="AD36" i="5"/>
  <c r="AE36" i="5"/>
  <c r="AB37" i="5"/>
  <c r="AC37" i="5"/>
  <c r="AD37" i="5"/>
  <c r="AE37" i="5"/>
  <c r="AB38" i="5"/>
  <c r="AC38" i="5"/>
  <c r="AD38" i="5"/>
  <c r="AE38" i="5"/>
  <c r="AE5" i="5"/>
  <c r="AD5" i="5"/>
  <c r="AC5" i="5"/>
  <c r="AB5" i="5"/>
  <c r="Y6" i="5"/>
  <c r="Z6" i="5"/>
  <c r="AA6" i="5"/>
  <c r="Y7" i="5"/>
  <c r="Z7" i="5"/>
  <c r="AA7" i="5"/>
  <c r="Y8" i="5"/>
  <c r="Z8" i="5"/>
  <c r="AA8" i="5"/>
  <c r="Y9" i="5"/>
  <c r="Z9" i="5"/>
  <c r="AA9" i="5"/>
  <c r="Y10" i="5"/>
  <c r="Z10" i="5"/>
  <c r="AA10" i="5"/>
  <c r="Y11" i="5"/>
  <c r="Z11" i="5"/>
  <c r="AA11" i="5"/>
  <c r="Y12" i="5"/>
  <c r="Z12" i="5"/>
  <c r="AA12" i="5"/>
  <c r="Y13" i="5"/>
  <c r="Z13" i="5"/>
  <c r="AA13" i="5"/>
  <c r="Y14" i="5"/>
  <c r="Z14" i="5"/>
  <c r="AA14" i="5"/>
  <c r="Y15" i="5"/>
  <c r="Z15" i="5"/>
  <c r="AA15" i="5"/>
  <c r="Y16" i="5"/>
  <c r="Z16" i="5"/>
  <c r="AA16" i="5"/>
  <c r="Y17" i="5"/>
  <c r="Z17" i="5"/>
  <c r="AA17" i="5"/>
  <c r="Y18" i="5"/>
  <c r="Z18" i="5"/>
  <c r="AA18" i="5"/>
  <c r="Y19" i="5"/>
  <c r="Z19" i="5"/>
  <c r="AA19" i="5"/>
  <c r="Y20" i="5"/>
  <c r="Z20" i="5"/>
  <c r="AA20" i="5"/>
  <c r="Y21" i="5"/>
  <c r="Z21" i="5"/>
  <c r="AA21" i="5"/>
  <c r="Y22" i="5"/>
  <c r="Z22" i="5"/>
  <c r="AA22" i="5"/>
  <c r="Y23" i="5"/>
  <c r="Z23" i="5"/>
  <c r="AA23" i="5"/>
  <c r="Y24" i="5"/>
  <c r="Z24" i="5"/>
  <c r="AA24" i="5"/>
  <c r="Y25" i="5"/>
  <c r="Z25" i="5"/>
  <c r="AA25" i="5"/>
  <c r="Y26" i="5"/>
  <c r="Z26" i="5"/>
  <c r="AA26" i="5"/>
  <c r="Y27" i="5"/>
  <c r="Z27" i="5"/>
  <c r="AA27" i="5"/>
  <c r="Y28" i="5"/>
  <c r="Z28" i="5"/>
  <c r="AA28" i="5"/>
  <c r="Y29" i="5"/>
  <c r="Z29" i="5"/>
  <c r="AA29" i="5"/>
  <c r="Y30" i="5"/>
  <c r="Z30" i="5"/>
  <c r="AA30" i="5"/>
  <c r="Y31" i="5"/>
  <c r="Z31" i="5"/>
  <c r="AA31" i="5"/>
  <c r="Y32" i="5"/>
  <c r="Z32" i="5"/>
  <c r="AA32" i="5"/>
  <c r="Y33" i="5"/>
  <c r="Z33" i="5"/>
  <c r="AA33" i="5"/>
  <c r="Y34" i="5"/>
  <c r="Z34" i="5"/>
  <c r="AA34" i="5"/>
  <c r="Y35" i="5"/>
  <c r="Z35" i="5"/>
  <c r="AA35" i="5"/>
  <c r="Y36" i="5"/>
  <c r="Z36" i="5"/>
  <c r="AA36" i="5"/>
  <c r="Y37" i="5"/>
  <c r="Z37" i="5"/>
  <c r="AA37" i="5"/>
  <c r="Y38" i="5"/>
  <c r="Z38" i="5"/>
  <c r="AA38" i="5"/>
  <c r="AA5" i="5"/>
  <c r="Z5" i="5"/>
  <c r="Y5" i="5"/>
  <c r="P15" i="5" a="1"/>
  <c r="P15" i="5"/>
  <c r="P16" i="5"/>
  <c r="P17" i="5"/>
  <c r="P18" i="5"/>
  <c r="P19" i="5"/>
  <c r="P20" i="5"/>
  <c r="P21" i="5"/>
  <c r="P22" i="5"/>
  <c r="P23" i="5"/>
  <c r="P24" i="5"/>
  <c r="O17" i="5"/>
  <c r="O18" i="5"/>
  <c r="O19" i="5"/>
  <c r="O20" i="5"/>
  <c r="O21" i="5"/>
  <c r="O22" i="5"/>
  <c r="O23" i="5"/>
  <c r="O24" i="5"/>
  <c r="O16" i="5"/>
  <c r="O10" i="5" a="1"/>
  <c r="O10" i="5"/>
  <c r="P10" i="5"/>
  <c r="Q10" i="5"/>
  <c r="O5" i="5" a="1"/>
  <c r="O5" i="5"/>
  <c r="P5" i="5"/>
  <c r="Q5" i="5"/>
  <c r="V6" i="5"/>
  <c r="W6" i="5"/>
  <c r="V7" i="5"/>
  <c r="W7" i="5"/>
  <c r="W5" i="5"/>
  <c r="V5" i="5"/>
  <c r="T5" i="5" a="1"/>
  <c r="T5" i="5"/>
  <c r="U5" i="5"/>
  <c r="T6" i="5"/>
  <c r="U6" i="5"/>
  <c r="T7" i="5"/>
  <c r="U7" i="5"/>
  <c r="L6" i="5"/>
  <c r="L5" i="5"/>
  <c r="M6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M18" i="5"/>
  <c r="H5" i="5"/>
  <c r="M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M8" i="5"/>
  <c r="M22" i="5"/>
  <c r="M24" i="5"/>
  <c r="M21" i="5"/>
  <c r="M23" i="5"/>
  <c r="M20" i="5"/>
  <c r="M17" i="5"/>
  <c r="M16" i="5"/>
  <c r="M15" i="5"/>
  <c r="M14" i="5"/>
  <c r="M13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6" i="5"/>
  <c r="L24" i="1"/>
  <c r="M24" i="1"/>
  <c r="L25" i="1"/>
  <c r="M25" i="1"/>
  <c r="L26" i="1"/>
  <c r="M26" i="1"/>
  <c r="L27" i="1"/>
  <c r="M27" i="1"/>
  <c r="L28" i="1"/>
  <c r="M28" i="1"/>
  <c r="L29" i="1"/>
  <c r="M29" i="1"/>
  <c r="M23" i="1"/>
  <c r="L23" i="1"/>
  <c r="L22" i="1"/>
  <c r="M22" i="1"/>
  <c r="K22" i="1"/>
  <c r="K23" i="1"/>
  <c r="K24" i="1"/>
  <c r="K25" i="1"/>
  <c r="K26" i="1"/>
  <c r="K27" i="1"/>
  <c r="K28" i="1"/>
  <c r="K29" i="1"/>
  <c r="K21" i="1"/>
  <c r="J23" i="1"/>
  <c r="J24" i="1"/>
  <c r="J25" i="1"/>
  <c r="J26" i="1"/>
  <c r="J27" i="1"/>
  <c r="J28" i="1"/>
  <c r="J29" i="1"/>
  <c r="J22" i="1"/>
  <c r="E5" i="1" a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J6" i="1"/>
  <c r="K6" i="1"/>
  <c r="J7" i="1"/>
  <c r="K7" i="1"/>
  <c r="M8" i="1"/>
  <c r="L8" i="1"/>
  <c r="J8" i="1"/>
  <c r="K8" i="1"/>
  <c r="M9" i="1"/>
  <c r="L9" i="1"/>
  <c r="J9" i="1"/>
  <c r="K9" i="1"/>
  <c r="M10" i="1"/>
  <c r="L10" i="1"/>
  <c r="J10" i="1"/>
  <c r="K10" i="1"/>
  <c r="M11" i="1"/>
  <c r="L11" i="1"/>
  <c r="J11" i="1"/>
  <c r="K11" i="1"/>
  <c r="M12" i="1"/>
  <c r="L12" i="1"/>
  <c r="J12" i="1"/>
  <c r="K12" i="1"/>
  <c r="M13" i="1"/>
  <c r="L13" i="1"/>
  <c r="M7" i="1"/>
  <c r="L7" i="1"/>
  <c r="M6" i="1"/>
  <c r="L6" i="1"/>
  <c r="J13" i="1"/>
  <c r="K13" i="1"/>
  <c r="K5" i="1"/>
  <c r="H7" i="1"/>
  <c r="G10" i="1" a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</calcChain>
</file>

<file path=xl/sharedStrings.xml><?xml version="1.0" encoding="utf-8"?>
<sst xmlns="http://schemas.openxmlformats.org/spreadsheetml/2006/main" count="87" uniqueCount="62">
  <si>
    <t>date</t>
  </si>
  <si>
    <t xml:space="preserve"> GDP</t>
  </si>
  <si>
    <t>lag</t>
  </si>
  <si>
    <t>t-stat</t>
  </si>
  <si>
    <t>lags</t>
  </si>
  <si>
    <t>coeff</t>
  </si>
  <si>
    <t>p-value</t>
  </si>
  <si>
    <t>Diff Data:</t>
  </si>
  <si>
    <t>time</t>
  </si>
  <si>
    <t>data</t>
  </si>
  <si>
    <t>acf</t>
  </si>
  <si>
    <t>pacf</t>
  </si>
  <si>
    <t>ADF Test</t>
  </si>
  <si>
    <t>criteria</t>
  </si>
  <si>
    <t>drift</t>
  </si>
  <si>
    <t>trend</t>
  </si>
  <si>
    <t>alpha</t>
  </si>
  <si>
    <t>none</t>
  </si>
  <si>
    <t>yes</t>
  </si>
  <si>
    <t>no</t>
  </si>
  <si>
    <t>Correlogram</t>
  </si>
  <si>
    <t>lower</t>
  </si>
  <si>
    <t>upper</t>
  </si>
  <si>
    <t>ARIMA Model</t>
  </si>
  <si>
    <t>residual</t>
  </si>
  <si>
    <t>Model statistics</t>
  </si>
  <si>
    <t>index</t>
  </si>
  <si>
    <t>phi</t>
  </si>
  <si>
    <t>theta</t>
  </si>
  <si>
    <t>const</t>
  </si>
  <si>
    <t>SSE</t>
  </si>
  <si>
    <t>p</t>
  </si>
  <si>
    <t>q</t>
  </si>
  <si>
    <t>d</t>
  </si>
  <si>
    <t>res mean</t>
  </si>
  <si>
    <t>res s.d.</t>
  </si>
  <si>
    <t>sqrt mse</t>
  </si>
  <si>
    <t>data mean</t>
  </si>
  <si>
    <t>data s.d.</t>
  </si>
  <si>
    <t>size</t>
  </si>
  <si>
    <t>LL</t>
  </si>
  <si>
    <t>AIC</t>
  </si>
  <si>
    <t>BIC</t>
  </si>
  <si>
    <t>AIC aug</t>
  </si>
  <si>
    <t>BIC aug</t>
  </si>
  <si>
    <t>Model parameters</t>
  </si>
  <si>
    <t>param</t>
  </si>
  <si>
    <t>s.e.</t>
  </si>
  <si>
    <t>phi 1</t>
  </si>
  <si>
    <t>theta 1</t>
  </si>
  <si>
    <t>Phi roots</t>
  </si>
  <si>
    <t>real</t>
  </si>
  <si>
    <t>imag</t>
  </si>
  <si>
    <t>abs val</t>
  </si>
  <si>
    <t>Theta roots</t>
  </si>
  <si>
    <t>Psi coefficients</t>
  </si>
  <si>
    <t>psi</t>
  </si>
  <si>
    <t>Forecast (reduced)</t>
  </si>
  <si>
    <t>Alpha</t>
  </si>
  <si>
    <t>pred</t>
  </si>
  <si>
    <t>Forecast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</si>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</sst>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Correlogram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acf</c:v>
          </c:tx>
          <c:invertIfNegative val="0"/>
          <c:cat>
            <c:numRef>
              <c:f>Test!$J$5:$J$13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Test!$K$5:$K$13</c:f>
              <c:numCache>
                <c:formatCode>General</c:formatCode>
                <c:ptCount val="9"/>
                <c:pt idx="0">
                  <c:v>1</c:v>
                </c:pt>
                <c:pt idx="1">
                  <c:v>-0.26445766700324125</c:v>
                </c:pt>
                <c:pt idx="2">
                  <c:v>-7.4361244484230662E-2</c:v>
                </c:pt>
                <c:pt idx="3">
                  <c:v>-0.12007748164120856</c:v>
                </c:pt>
                <c:pt idx="4">
                  <c:v>2.7154196279407107E-2</c:v>
                </c:pt>
                <c:pt idx="5">
                  <c:v>-4.1725100407256903E-2</c:v>
                </c:pt>
                <c:pt idx="6">
                  <c:v>0.14823126599695147</c:v>
                </c:pt>
                <c:pt idx="7">
                  <c:v>-0.12031060464206507</c:v>
                </c:pt>
                <c:pt idx="8">
                  <c:v>5.1914534395472722E-2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A7-4597-A973-D838FAD03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0555743"/>
        <c:axId val="1320557183"/>
      </c:barChart>
      <c:lineChart>
        <c:grouping val="standard"/>
        <c:varyColors val="0"/>
        <c:ser>
          <c:idx val="0"/>
          <c:order val="0"/>
          <c:tx>
            <c:strRef>
              <c:f>Test!$L$4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Test!$J$5:$J$13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Test!$L$5:$L$13</c:f>
              <c:numCache>
                <c:formatCode>General</c:formatCode>
                <c:ptCount val="9"/>
                <c:pt idx="1">
                  <c:v>-0.32666066409000893</c:v>
                </c:pt>
                <c:pt idx="2">
                  <c:v>-0.34875913452524693</c:v>
                </c:pt>
                <c:pt idx="3">
                  <c:v>-0.35044689887259295</c:v>
                </c:pt>
                <c:pt idx="4">
                  <c:v>-0.3548100419017286</c:v>
                </c:pt>
                <c:pt idx="5">
                  <c:v>-0.35503172676081052</c:v>
                </c:pt>
                <c:pt idx="6">
                  <c:v>-0.35555460625155483</c:v>
                </c:pt>
                <c:pt idx="7">
                  <c:v>-0.36208883885276966</c:v>
                </c:pt>
                <c:pt idx="8">
                  <c:v>-0.36632966555649471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A7-4597-A973-D838FAD03B86}"/>
            </c:ext>
          </c:extLst>
        </c:ser>
        <c:ser>
          <c:idx val="1"/>
          <c:order val="1"/>
          <c:tx>
            <c:strRef>
              <c:f>Test!$M$4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Test!$M$5:$M$13</c:f>
              <c:numCache>
                <c:formatCode>General</c:formatCode>
                <c:ptCount val="9"/>
                <c:pt idx="1">
                  <c:v>0.32666066409000893</c:v>
                </c:pt>
                <c:pt idx="2">
                  <c:v>0.34875913452524693</c:v>
                </c:pt>
                <c:pt idx="3">
                  <c:v>0.35044689887259295</c:v>
                </c:pt>
                <c:pt idx="4">
                  <c:v>0.3548100419017286</c:v>
                </c:pt>
                <c:pt idx="5">
                  <c:v>0.35503172676081052</c:v>
                </c:pt>
                <c:pt idx="6">
                  <c:v>0.35555460625155483</c:v>
                </c:pt>
                <c:pt idx="7">
                  <c:v>0.36208883885276966</c:v>
                </c:pt>
                <c:pt idx="8">
                  <c:v>0.36632966555649471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A7-4597-A973-D838FAD03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0555743"/>
        <c:axId val="1320557183"/>
      </c:lineChart>
      <c:catAx>
        <c:axId val="1320555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20557183"/>
        <c:crosses val="autoZero"/>
        <c:auto val="1"/>
        <c:lblAlgn val="ctr"/>
        <c:lblOffset val="100"/>
        <c:noMultiLvlLbl val="0"/>
      </c:catAx>
      <c:valAx>
        <c:axId val="132055718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055574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Correlogram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pacf</c:v>
          </c:tx>
          <c:invertIfNegative val="0"/>
          <c:cat>
            <c:numRef>
              <c:f>Test!$J$21:$J$29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Test!$K$21:$K$29</c:f>
              <c:numCache>
                <c:formatCode>General</c:formatCode>
                <c:ptCount val="9"/>
                <c:pt idx="0">
                  <c:v>1</c:v>
                </c:pt>
                <c:pt idx="1">
                  <c:v>-0.26445766700324125</c:v>
                </c:pt>
                <c:pt idx="2">
                  <c:v>-0.15514995778064591</c:v>
                </c:pt>
                <c:pt idx="3">
                  <c:v>-0.20252264139077447</c:v>
                </c:pt>
                <c:pt idx="4">
                  <c:v>-9.535057245701499E-2</c:v>
                </c:pt>
                <c:pt idx="5">
                  <c:v>-0.11971829188852769</c:v>
                </c:pt>
                <c:pt idx="6">
                  <c:v>7.8330528333582672E-2</c:v>
                </c:pt>
                <c:pt idx="7">
                  <c:v>-8.4473965135967943E-2</c:v>
                </c:pt>
                <c:pt idx="8">
                  <c:v>1.1302785991655163E-2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7E-4F46-ADE8-99EF2C436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4431568"/>
        <c:axId val="1354433968"/>
      </c:barChart>
      <c:lineChart>
        <c:grouping val="standard"/>
        <c:varyColors val="0"/>
        <c:ser>
          <c:idx val="0"/>
          <c:order val="0"/>
          <c:tx>
            <c:strRef>
              <c:f>Test!$L$20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Test!$J$21:$J$29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Test!$L$21:$L$29</c:f>
              <c:numCache>
                <c:formatCode>General</c:formatCode>
                <c:ptCount val="9"/>
                <c:pt idx="1">
                  <c:v>-0.32666066409000893</c:v>
                </c:pt>
                <c:pt idx="2">
                  <c:v>-0.32666066409000893</c:v>
                </c:pt>
                <c:pt idx="3">
                  <c:v>-0.32666066409000893</c:v>
                </c:pt>
                <c:pt idx="4">
                  <c:v>-0.32666066409000893</c:v>
                </c:pt>
                <c:pt idx="5">
                  <c:v>-0.32666066409000893</c:v>
                </c:pt>
                <c:pt idx="6">
                  <c:v>-0.32666066409000893</c:v>
                </c:pt>
                <c:pt idx="7">
                  <c:v>-0.32666066409000893</c:v>
                </c:pt>
                <c:pt idx="8">
                  <c:v>-0.32666066409000893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7E-4F46-ADE8-99EF2C436300}"/>
            </c:ext>
          </c:extLst>
        </c:ser>
        <c:ser>
          <c:idx val="1"/>
          <c:order val="1"/>
          <c:tx>
            <c:strRef>
              <c:f>Test!$M$20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Test!$M$21:$M$29</c:f>
              <c:numCache>
                <c:formatCode>General</c:formatCode>
                <c:ptCount val="9"/>
                <c:pt idx="1">
                  <c:v>0.32666066409000893</c:v>
                </c:pt>
                <c:pt idx="2">
                  <c:v>0.32666066409000893</c:v>
                </c:pt>
                <c:pt idx="3">
                  <c:v>0.32666066409000893</c:v>
                </c:pt>
                <c:pt idx="4">
                  <c:v>0.32666066409000893</c:v>
                </c:pt>
                <c:pt idx="5">
                  <c:v>0.32666066409000893</c:v>
                </c:pt>
                <c:pt idx="6">
                  <c:v>0.32666066409000893</c:v>
                </c:pt>
                <c:pt idx="7">
                  <c:v>0.32666066409000893</c:v>
                </c:pt>
                <c:pt idx="8">
                  <c:v>0.32666066409000893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7E-4F46-ADE8-99EF2C436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4431568"/>
        <c:axId val="1354433968"/>
      </c:lineChart>
      <c:catAx>
        <c:axId val="1354431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4433968"/>
        <c:crosses val="autoZero"/>
        <c:auto val="1"/>
        <c:lblAlgn val="ctr"/>
        <c:lblOffset val="100"/>
        <c:noMultiLvlLbl val="0"/>
      </c:catAx>
      <c:valAx>
        <c:axId val="1354433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443156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 data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Sheet5!$AG$5:$AG$40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Sheet5!$AH$5:$AH$40</c:f>
              <c:numCache>
                <c:formatCode>General</c:formatCode>
                <c:ptCount val="36"/>
                <c:pt idx="0">
                  <c:v>-1.9204358299999988</c:v>
                </c:pt>
                <c:pt idx="1">
                  <c:v>-21.555788799999995</c:v>
                </c:pt>
                <c:pt idx="2">
                  <c:v>-7.8962114750000012</c:v>
                </c:pt>
                <c:pt idx="3">
                  <c:v>19.308943505999999</c:v>
                </c:pt>
                <c:pt idx="4">
                  <c:v>2.9631928829999996</c:v>
                </c:pt>
                <c:pt idx="5">
                  <c:v>-2.8880079979999991</c:v>
                </c:pt>
                <c:pt idx="6">
                  <c:v>3.0603426480000007</c:v>
                </c:pt>
                <c:pt idx="7">
                  <c:v>-0.20848343400000147</c:v>
                </c:pt>
                <c:pt idx="8">
                  <c:v>1.3442510000000016</c:v>
                </c:pt>
                <c:pt idx="9">
                  <c:v>-0.52842482000000146</c:v>
                </c:pt>
                <c:pt idx="10">
                  <c:v>-1.7350762400000015</c:v>
                </c:pt>
                <c:pt idx="11">
                  <c:v>-1.8203282599999966</c:v>
                </c:pt>
                <c:pt idx="12">
                  <c:v>1.108155349999997</c:v>
                </c:pt>
                <c:pt idx="13">
                  <c:v>1.0148024300000031</c:v>
                </c:pt>
                <c:pt idx="14">
                  <c:v>-0.97617898000000025</c:v>
                </c:pt>
                <c:pt idx="15">
                  <c:v>0.86622627999999224</c:v>
                </c:pt>
                <c:pt idx="16">
                  <c:v>2.109501040000012</c:v>
                </c:pt>
                <c:pt idx="17">
                  <c:v>1.3869337299999884</c:v>
                </c:pt>
                <c:pt idx="18">
                  <c:v>6.3300595900000118</c:v>
                </c:pt>
                <c:pt idx="19">
                  <c:v>-3.4669919700000023</c:v>
                </c:pt>
                <c:pt idx="20">
                  <c:v>2.3043516299999922</c:v>
                </c:pt>
                <c:pt idx="21">
                  <c:v>10.673117860000005</c:v>
                </c:pt>
                <c:pt idx="22">
                  <c:v>-14.831523070000003</c:v>
                </c:pt>
                <c:pt idx="23">
                  <c:v>34.3021581</c:v>
                </c:pt>
                <c:pt idx="24">
                  <c:v>-15.792637599999992</c:v>
                </c:pt>
                <c:pt idx="25">
                  <c:v>-2.3982641000000058</c:v>
                </c:pt>
                <c:pt idx="26">
                  <c:v>-4.8774612999999931</c:v>
                </c:pt>
                <c:pt idx="27">
                  <c:v>1.6245072999999763</c:v>
                </c:pt>
                <c:pt idx="28">
                  <c:v>-13.935799099999969</c:v>
                </c:pt>
                <c:pt idx="29">
                  <c:v>12.030813999999964</c:v>
                </c:pt>
                <c:pt idx="30">
                  <c:v>6.4199320000000455</c:v>
                </c:pt>
                <c:pt idx="31">
                  <c:v>4.4952675999999769</c:v>
                </c:pt>
                <c:pt idx="32">
                  <c:v>-4.4940803000000074</c:v>
                </c:pt>
                <c:pt idx="33">
                  <c:v>-12.008324099999982</c:v>
                </c:pt>
                <c:pt idx="34">
                  <c:v>7.2713625999999749</c:v>
                </c:pt>
                <c:pt idx="35">
                  <c:v>23.142979200000013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A6-4E7D-8494-FD10E4F221E4}"/>
            </c:ext>
          </c:extLst>
        </c:ser>
        <c:ser>
          <c:idx val="1"/>
          <c:order val="1"/>
          <c:tx>
            <c:v>predict data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Sheet5!$AG$41:$AG$50</c:f>
              <c:numCache>
                <c:formatCode>General</c:formatCode>
                <c:ptCount val="10"/>
                <c:pt idx="0">
                  <c:v>37</c:v>
                </c:pt>
                <c:pt idx="1">
                  <c:v>38</c:v>
                </c:pt>
                <c:pt idx="2">
                  <c:v>39</c:v>
                </c:pt>
                <c:pt idx="3">
                  <c:v>40</c:v>
                </c:pt>
                <c:pt idx="4">
                  <c:v>41</c:v>
                </c:pt>
                <c:pt idx="5">
                  <c:v>42</c:v>
                </c:pt>
                <c:pt idx="6">
                  <c:v>43</c:v>
                </c:pt>
                <c:pt idx="7">
                  <c:v>44</c:v>
                </c:pt>
                <c:pt idx="8">
                  <c:v>45</c:v>
                </c:pt>
                <c:pt idx="9">
                  <c:v>46</c:v>
                </c:pt>
              </c:numCache>
            </c:numRef>
          </c:xVal>
          <c:yVal>
            <c:numRef>
              <c:f>Sheet5!$AH$41:$AH$50</c:f>
              <c:numCache>
                <c:formatCode>General</c:formatCode>
                <c:ptCount val="10"/>
                <c:pt idx="0">
                  <c:v>29.597401140193579</c:v>
                </c:pt>
                <c:pt idx="1">
                  <c:v>40.994558278923691</c:v>
                </c:pt>
                <c:pt idx="2">
                  <c:v>51.462931343391432</c:v>
                </c:pt>
                <c:pt idx="3">
                  <c:v>63.403279871486845</c:v>
                </c:pt>
                <c:pt idx="4">
                  <c:v>75.833976095168467</c:v>
                </c:pt>
                <c:pt idx="5">
                  <c:v>89.156390105768693</c:v>
                </c:pt>
                <c:pt idx="6">
                  <c:v>103.2064088296144</c:v>
                </c:pt>
                <c:pt idx="7">
                  <c:v>118.05113517629469</c:v>
                </c:pt>
                <c:pt idx="8">
                  <c:v>133.66313196256425</c:v>
                </c:pt>
                <c:pt idx="9">
                  <c:v>150.05361776343045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A6-4E7D-8494-FD10E4F22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8625568"/>
        <c:axId val="1608632288"/>
      </c:scatterChart>
      <c:valAx>
        <c:axId val="160862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632288"/>
        <c:crosses val="autoZero"/>
        <c:crossBetween val="midCat"/>
      </c:valAx>
      <c:valAx>
        <c:axId val="160863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625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0</xdr:row>
      <xdr:rowOff>171450</xdr:rowOff>
    </xdr:from>
    <xdr:to>
      <xdr:col>20</xdr:col>
      <xdr:colOff>571500</xdr:colOff>
      <xdr:row>15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D79BFB-4ED9-FE32-0E60-9A12DD5AF9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266700</xdr:colOff>
      <xdr:row>16</xdr:row>
      <xdr:rowOff>121920</xdr:rowOff>
    </xdr:from>
    <xdr:to>
      <xdr:col>20</xdr:col>
      <xdr:colOff>571500</xdr:colOff>
      <xdr:row>31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805F6C-4AC5-89A7-B6A0-E84309C1E5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45720</xdr:colOff>
      <xdr:row>2</xdr:row>
      <xdr:rowOff>38100</xdr:rowOff>
    </xdr:from>
    <xdr:to>
      <xdr:col>43</xdr:col>
      <xdr:colOff>198120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8C1F55-9FD4-32E1-5D0D-ABBA1100B9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XRealStats.xlam" TargetMode="External"/><Relationship Id="rId1" Type="http://schemas.openxmlformats.org/officeDocument/2006/relationships/externalLinkPath" Target="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</sheetNames>
    <definedNames>
      <definedName name="ACF"/>
      <definedName name="ADFTEST"/>
      <definedName name="ADIFF"/>
      <definedName name="ARIMA_Coeff"/>
      <definedName name="ARRoots"/>
      <definedName name="MARoots"/>
      <definedName name="PACF"/>
      <definedName name="PSICoeff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1DFF4-6CE7-4CE6-B603-CD3C95C20AB3}">
  <dimension ref="A1:M40"/>
  <sheetViews>
    <sheetView workbookViewId="0">
      <selection sqref="A1:B39"/>
    </sheetView>
  </sheetViews>
  <sheetFormatPr defaultRowHeight="14.4" x14ac:dyDescent="0.3"/>
  <cols>
    <col min="1" max="1" width="12" customWidth="1"/>
    <col min="2" max="2" width="13.109375" customWidth="1"/>
    <col min="3" max="3" width="11.6640625" customWidth="1"/>
  </cols>
  <sheetData>
    <row r="1" spans="1:13" x14ac:dyDescent="0.3">
      <c r="A1" t="s">
        <v>0</v>
      </c>
      <c r="B1" t="s">
        <v>1</v>
      </c>
    </row>
    <row r="2" spans="1:13" x14ac:dyDescent="0.3">
      <c r="A2" s="1">
        <v>31412</v>
      </c>
      <c r="B2">
        <v>14.094687820000001</v>
      </c>
      <c r="D2" t="s">
        <v>7</v>
      </c>
      <c r="E2">
        <v>2</v>
      </c>
      <c r="G2" t="s">
        <v>12</v>
      </c>
      <c r="J2" t="s">
        <v>20</v>
      </c>
      <c r="L2" t="s">
        <v>16</v>
      </c>
      <c r="M2" s="10">
        <v>0.05</v>
      </c>
    </row>
    <row r="3" spans="1:13" ht="15" thickBot="1" x14ac:dyDescent="0.35">
      <c r="A3" s="1">
        <v>31777</v>
      </c>
      <c r="B3">
        <v>26.336616249999999</v>
      </c>
    </row>
    <row r="4" spans="1:13" ht="15" thickTop="1" x14ac:dyDescent="0.3">
      <c r="A4" s="1">
        <v>32142</v>
      </c>
      <c r="B4">
        <v>36.658108849999998</v>
      </c>
      <c r="D4" s="2" t="s">
        <v>8</v>
      </c>
      <c r="E4" s="2" t="s">
        <v>9</v>
      </c>
      <c r="G4" t="s">
        <v>13</v>
      </c>
      <c r="H4" s="4" t="s">
        <v>17</v>
      </c>
      <c r="J4" s="13" t="s">
        <v>4</v>
      </c>
      <c r="K4" s="13" t="s">
        <v>10</v>
      </c>
      <c r="L4" s="13" t="s">
        <v>21</v>
      </c>
      <c r="M4" s="13" t="s">
        <v>22</v>
      </c>
    </row>
    <row r="5" spans="1:13" x14ac:dyDescent="0.3">
      <c r="A5" s="1">
        <v>32508</v>
      </c>
      <c r="B5">
        <v>25.423812649999999</v>
      </c>
      <c r="D5">
        <v>1</v>
      </c>
      <c r="E5">
        <f t="array" ref="E5:E40">[1]!ADIFF(B2:B39,E2)</f>
        <v>-1.9204358299999988</v>
      </c>
      <c r="G5" t="s">
        <v>14</v>
      </c>
      <c r="H5" s="5" t="s">
        <v>18</v>
      </c>
      <c r="J5">
        <v>0</v>
      </c>
      <c r="K5">
        <f>[1]!ACF($E$5:$E$40,J5)</f>
        <v>1</v>
      </c>
    </row>
    <row r="6" spans="1:13" x14ac:dyDescent="0.3">
      <c r="A6" s="1">
        <v>32873</v>
      </c>
      <c r="B6">
        <v>6.2933049749999999</v>
      </c>
      <c r="D6">
        <f>D5+1</f>
        <v>2</v>
      </c>
      <c r="E6">
        <v>-21.555788799999995</v>
      </c>
      <c r="G6" t="s">
        <v>15</v>
      </c>
      <c r="H6" s="5" t="s">
        <v>19</v>
      </c>
      <c r="J6">
        <f>J5+1</f>
        <v>1</v>
      </c>
      <c r="K6">
        <f>[1]!ACF($E$5:$E$40,J6)</f>
        <v>-0.26445766700324125</v>
      </c>
      <c r="L6">
        <f>-M6</f>
        <v>-0.32666066409000893</v>
      </c>
      <c r="M6">
        <f>_xlfn.NORM.S.INV(1-$M$2/2)/SQRT(COUNT($E$5:$E$40))</f>
        <v>0.32666066409000893</v>
      </c>
    </row>
    <row r="7" spans="1:13" x14ac:dyDescent="0.3">
      <c r="A7" s="1">
        <v>33238</v>
      </c>
      <c r="B7">
        <v>6.4717408059999997</v>
      </c>
      <c r="D7">
        <f t="shared" ref="D7:D40" si="0">D6+1</f>
        <v>3</v>
      </c>
      <c r="E7">
        <v>-7.8962114750000012</v>
      </c>
      <c r="G7" t="s">
        <v>2</v>
      </c>
      <c r="H7" s="6">
        <f>IF(H4&lt;&gt;"schwert",0,ROUND(12*(COUNT(E5:E40)/100)^(1/4),0))</f>
        <v>0</v>
      </c>
      <c r="J7">
        <f t="shared" ref="J7:J13" si="1">J6+1</f>
        <v>2</v>
      </c>
      <c r="K7">
        <f>[1]!ACF($E$5:$E$40,J7)</f>
        <v>-7.4361244484230662E-2</v>
      </c>
      <c r="L7">
        <f>-M7</f>
        <v>-0.34875913452524693</v>
      </c>
      <c r="M7">
        <f>_xlfn.NORM.S.INV(1-$M$2/2)*SQRT((1+2*SUMSQ(K$6:K6))/COUNT($E$5:$E$40))</f>
        <v>0.34875913452524693</v>
      </c>
    </row>
    <row r="8" spans="1:13" x14ac:dyDescent="0.3">
      <c r="A8" s="1">
        <v>33603</v>
      </c>
      <c r="B8">
        <v>9.6133695199999991</v>
      </c>
      <c r="D8">
        <f t="shared" si="0"/>
        <v>4</v>
      </c>
      <c r="E8">
        <v>19.308943505999999</v>
      </c>
      <c r="G8" t="s">
        <v>16</v>
      </c>
      <c r="H8" s="7">
        <v>0.05</v>
      </c>
      <c r="J8">
        <f t="shared" si="1"/>
        <v>3</v>
      </c>
      <c r="K8">
        <f>[1]!ACF($E$5:$E$40,J8)</f>
        <v>-0.12007748164120856</v>
      </c>
      <c r="L8">
        <f t="shared" ref="L8:L13" si="2">-M8</f>
        <v>-0.35044689887259295</v>
      </c>
      <c r="M8">
        <f>_xlfn.NORM.S.INV(1-$M$2/2)*SQRT((1+2*SUMSQ(K$6:K7))/COUNT($E$5:$E$40))</f>
        <v>0.35044689887259295</v>
      </c>
    </row>
    <row r="9" spans="1:13" x14ac:dyDescent="0.3">
      <c r="A9" s="1">
        <v>33969</v>
      </c>
      <c r="B9">
        <v>9.8669902359999995</v>
      </c>
      <c r="D9">
        <f t="shared" si="0"/>
        <v>5</v>
      </c>
      <c r="E9">
        <v>2.9631928829999996</v>
      </c>
      <c r="J9">
        <f t="shared" si="1"/>
        <v>4</v>
      </c>
      <c r="K9">
        <f>[1]!ACF($E$5:$E$40,J9)</f>
        <v>2.7154196279407107E-2</v>
      </c>
      <c r="L9">
        <f t="shared" si="2"/>
        <v>-0.3548100419017286</v>
      </c>
      <c r="M9">
        <f>_xlfn.NORM.S.INV(1-$M$2/2)*SQRT((1+2*SUMSQ(K$6:K8))/COUNT($E$5:$E$40))</f>
        <v>0.3548100419017286</v>
      </c>
    </row>
    <row r="10" spans="1:13" x14ac:dyDescent="0.3">
      <c r="A10" s="1">
        <v>34334</v>
      </c>
      <c r="B10">
        <v>13.1809536</v>
      </c>
      <c r="D10">
        <f t="shared" si="0"/>
        <v>6</v>
      </c>
      <c r="E10">
        <v>-2.8880079979999991</v>
      </c>
      <c r="G10" t="str">
        <f t="array" ref="G10:H17">[1]!ADFTEST(E5:E40,TRUE,H7,H4,1,H8)</f>
        <v>tau-stat</v>
      </c>
      <c r="H10" s="8">
        <v>-7.2893886548157409</v>
      </c>
      <c r="J10">
        <f t="shared" si="1"/>
        <v>5</v>
      </c>
      <c r="K10">
        <f>[1]!ACF($E$5:$E$40,J10)</f>
        <v>-4.1725100407256903E-2</v>
      </c>
      <c r="L10">
        <f t="shared" si="2"/>
        <v>-0.35503172676081052</v>
      </c>
      <c r="M10">
        <f>_xlfn.NORM.S.INV(1-$M$2/2)*SQRT((1+2*SUMSQ(K$6:K9))/COUNT($E$5:$E$40))</f>
        <v>0.35503172676081052</v>
      </c>
    </row>
    <row r="11" spans="1:13" x14ac:dyDescent="0.3">
      <c r="A11" s="1">
        <v>34699</v>
      </c>
      <c r="B11">
        <v>16.28643353</v>
      </c>
      <c r="D11">
        <f t="shared" si="0"/>
        <v>7</v>
      </c>
      <c r="E11">
        <v>3.0603426480000007</v>
      </c>
      <c r="G11" t="str">
        <v>tau-crit</v>
      </c>
      <c r="H11" s="6">
        <v>-2.9459512825788754</v>
      </c>
      <c r="J11">
        <f t="shared" si="1"/>
        <v>6</v>
      </c>
      <c r="K11">
        <f>[1]!ACF($E$5:$E$40,J11)</f>
        <v>0.14823126599695147</v>
      </c>
      <c r="L11">
        <f t="shared" si="2"/>
        <v>-0.35555460625155483</v>
      </c>
      <c r="M11">
        <f>_xlfn.NORM.S.INV(1-$M$2/2)*SQRT((1+2*SUMSQ(K$6:K10))/COUNT($E$5:$E$40))</f>
        <v>0.35555460625155483</v>
      </c>
    </row>
    <row r="12" spans="1:13" x14ac:dyDescent="0.3">
      <c r="A12" s="1">
        <v>35064</v>
      </c>
      <c r="B12">
        <v>20.736164460000001</v>
      </c>
      <c r="D12">
        <f t="shared" si="0"/>
        <v>8</v>
      </c>
      <c r="E12">
        <v>-0.20848343400000147</v>
      </c>
      <c r="G12" t="str">
        <v>stationary</v>
      </c>
      <c r="H12" s="5" t="str">
        <v>yes</v>
      </c>
      <c r="J12">
        <f t="shared" si="1"/>
        <v>7</v>
      </c>
      <c r="K12">
        <f>[1]!ACF($E$5:$E$40,J12)</f>
        <v>-0.12031060464206507</v>
      </c>
      <c r="L12">
        <f t="shared" si="2"/>
        <v>-0.36208883885276966</v>
      </c>
      <c r="M12">
        <f>_xlfn.NORM.S.INV(1-$M$2/2)*SQRT((1+2*SUMSQ(K$6:K11))/COUNT($E$5:$E$40))</f>
        <v>0.36208883885276966</v>
      </c>
    </row>
    <row r="13" spans="1:13" x14ac:dyDescent="0.3">
      <c r="A13" s="1">
        <v>35430</v>
      </c>
      <c r="B13">
        <v>24.657470570000001</v>
      </c>
      <c r="D13">
        <f t="shared" si="0"/>
        <v>9</v>
      </c>
      <c r="E13">
        <v>1.3442510000000016</v>
      </c>
      <c r="G13" t="str">
        <v>aic</v>
      </c>
      <c r="H13" s="6">
        <v>7.5864363090366753</v>
      </c>
      <c r="J13" s="3">
        <f t="shared" si="1"/>
        <v>8</v>
      </c>
      <c r="K13" s="3">
        <f>[1]!ACF($E$5:$E$40,J13)</f>
        <v>5.1914534395472722E-2</v>
      </c>
      <c r="L13" s="3">
        <f t="shared" si="2"/>
        <v>-0.36632966555649471</v>
      </c>
      <c r="M13" s="3">
        <f>_xlfn.NORM.S.INV(1-$M$2/2)*SQRT((1+2*SUMSQ(K$6:K12))/COUNT($E$5:$E$40))</f>
        <v>0.36632966555649471</v>
      </c>
    </row>
    <row r="14" spans="1:13" x14ac:dyDescent="0.3">
      <c r="A14" s="1">
        <v>35795</v>
      </c>
      <c r="B14">
        <v>26.843700439999999</v>
      </c>
      <c r="D14">
        <f t="shared" si="0"/>
        <v>10</v>
      </c>
      <c r="E14">
        <v>-0.52842482000000146</v>
      </c>
      <c r="G14" t="str">
        <v>bic</v>
      </c>
      <c r="H14" s="6">
        <v>7.6753133411217851</v>
      </c>
    </row>
    <row r="15" spans="1:13" x14ac:dyDescent="0.3">
      <c r="A15" s="1">
        <v>36160</v>
      </c>
      <c r="B15">
        <v>27.209602050000001</v>
      </c>
      <c r="D15">
        <f t="shared" si="0"/>
        <v>11</v>
      </c>
      <c r="E15">
        <v>-1.7350762400000015</v>
      </c>
      <c r="G15" t="str">
        <v>lags</v>
      </c>
      <c r="H15" s="6">
        <v>0</v>
      </c>
    </row>
    <row r="16" spans="1:13" x14ac:dyDescent="0.3">
      <c r="A16" s="1">
        <v>36525</v>
      </c>
      <c r="B16">
        <v>28.68365901</v>
      </c>
      <c r="D16">
        <f t="shared" si="0"/>
        <v>12</v>
      </c>
      <c r="E16">
        <v>-1.8203282599999966</v>
      </c>
      <c r="G16" t="str">
        <v>coeff</v>
      </c>
      <c r="H16" s="6">
        <v>-1.3035511227177274</v>
      </c>
    </row>
    <row r="17" spans="1:13" x14ac:dyDescent="0.3">
      <c r="A17" s="1">
        <v>36891</v>
      </c>
      <c r="B17">
        <v>31.172518400000001</v>
      </c>
      <c r="D17">
        <f t="shared" si="0"/>
        <v>13</v>
      </c>
      <c r="E17">
        <v>1.108155349999997</v>
      </c>
      <c r="G17" t="str">
        <v>p-value</v>
      </c>
      <c r="H17" s="9" t="str">
        <v>&lt; .01</v>
      </c>
    </row>
    <row r="18" spans="1:13" x14ac:dyDescent="0.3">
      <c r="A18" s="1">
        <v>37256</v>
      </c>
      <c r="B18">
        <v>32.685198810000003</v>
      </c>
      <c r="D18">
        <f t="shared" si="0"/>
        <v>14</v>
      </c>
      <c r="E18">
        <v>1.0148024300000031</v>
      </c>
      <c r="J18" t="s">
        <v>20</v>
      </c>
      <c r="L18" t="s">
        <v>16</v>
      </c>
      <c r="M18" s="10">
        <v>0.05</v>
      </c>
    </row>
    <row r="19" spans="1:13" x14ac:dyDescent="0.3">
      <c r="A19" s="1">
        <v>37621</v>
      </c>
      <c r="B19">
        <v>35.064105499999997</v>
      </c>
      <c r="D19">
        <f t="shared" si="0"/>
        <v>15</v>
      </c>
      <c r="E19">
        <v>-0.97617898000000025</v>
      </c>
    </row>
    <row r="20" spans="1:13" x14ac:dyDescent="0.3">
      <c r="A20" s="1">
        <v>37986</v>
      </c>
      <c r="B20">
        <v>39.552513230000002</v>
      </c>
      <c r="D20">
        <f t="shared" si="0"/>
        <v>16</v>
      </c>
      <c r="E20">
        <v>0.86622627999999224</v>
      </c>
      <c r="J20" s="13" t="s">
        <v>4</v>
      </c>
      <c r="K20" s="13" t="s">
        <v>11</v>
      </c>
      <c r="L20" s="13" t="s">
        <v>21</v>
      </c>
      <c r="M20" s="13" t="s">
        <v>22</v>
      </c>
    </row>
    <row r="21" spans="1:13" x14ac:dyDescent="0.3">
      <c r="A21" s="1">
        <v>38352</v>
      </c>
      <c r="B21">
        <v>45.427854689999997</v>
      </c>
      <c r="D21">
        <f t="shared" si="0"/>
        <v>17</v>
      </c>
      <c r="E21">
        <v>2.109501040000012</v>
      </c>
      <c r="J21">
        <v>0</v>
      </c>
      <c r="K21">
        <f>[1]!PACF($E$5:$E$40,J21)</f>
        <v>1</v>
      </c>
    </row>
    <row r="22" spans="1:13" x14ac:dyDescent="0.3">
      <c r="A22" s="1">
        <v>38717</v>
      </c>
      <c r="B22">
        <v>57.633255740000003</v>
      </c>
      <c r="D22">
        <f t="shared" si="0"/>
        <v>18</v>
      </c>
      <c r="E22">
        <v>1.3869337299999884</v>
      </c>
      <c r="J22">
        <f>J21+1</f>
        <v>1</v>
      </c>
      <c r="K22">
        <f>[1]!PACF($E$5:$E$40,J22)</f>
        <v>-0.26445766700324125</v>
      </c>
      <c r="L22">
        <f>-M22</f>
        <v>-0.32666066409000893</v>
      </c>
      <c r="M22">
        <f>_xlfn.NORM.S.INV(1-$M$18/2)/SQRT(COUNT(E5:E40))</f>
        <v>0.32666066409000893</v>
      </c>
    </row>
    <row r="23" spans="1:13" x14ac:dyDescent="0.3">
      <c r="A23" s="1">
        <v>39082</v>
      </c>
      <c r="B23">
        <v>66.371664820000007</v>
      </c>
      <c r="D23">
        <f t="shared" si="0"/>
        <v>19</v>
      </c>
      <c r="E23">
        <v>6.3300595900000118</v>
      </c>
      <c r="J23">
        <f t="shared" ref="J23:J29" si="3">J22+1</f>
        <v>2</v>
      </c>
      <c r="K23">
        <f>[1]!PACF($E$5:$E$40,J23)</f>
        <v>-0.15514995778064591</v>
      </c>
      <c r="L23">
        <f>L22</f>
        <v>-0.32666066409000893</v>
      </c>
      <c r="M23">
        <f>M22</f>
        <v>0.32666066409000893</v>
      </c>
    </row>
    <row r="24" spans="1:13" x14ac:dyDescent="0.3">
      <c r="A24" s="1">
        <v>39447</v>
      </c>
      <c r="B24">
        <v>77.414425530000003</v>
      </c>
      <c r="D24">
        <f t="shared" si="0"/>
        <v>20</v>
      </c>
      <c r="E24">
        <v>-3.4669919700000023</v>
      </c>
      <c r="J24">
        <f t="shared" si="3"/>
        <v>3</v>
      </c>
      <c r="K24">
        <f>[1]!PACF($E$5:$E$40,J24)</f>
        <v>-0.20252264139077447</v>
      </c>
      <c r="L24">
        <f t="shared" ref="L24:L29" si="4">L23</f>
        <v>-0.32666066409000893</v>
      </c>
      <c r="M24">
        <f t="shared" ref="M24:M29" si="5">M23</f>
        <v>0.32666066409000893</v>
      </c>
    </row>
    <row r="25" spans="1:13" x14ac:dyDescent="0.3">
      <c r="A25" s="1">
        <v>39813</v>
      </c>
      <c r="B25">
        <v>99.130304100000004</v>
      </c>
      <c r="D25">
        <f t="shared" si="0"/>
        <v>21</v>
      </c>
      <c r="E25">
        <v>2.3043516299999922</v>
      </c>
      <c r="J25">
        <f t="shared" si="3"/>
        <v>4</v>
      </c>
      <c r="K25">
        <f>[1]!PACF($E$5:$E$40,J25)</f>
        <v>-9.535057245701499E-2</v>
      </c>
      <c r="L25">
        <f t="shared" si="4"/>
        <v>-0.32666066409000893</v>
      </c>
      <c r="M25">
        <f t="shared" si="5"/>
        <v>0.32666066409000893</v>
      </c>
    </row>
    <row r="26" spans="1:13" x14ac:dyDescent="0.3">
      <c r="A26" s="1">
        <v>40178</v>
      </c>
      <c r="B26">
        <v>106.0146596</v>
      </c>
      <c r="D26">
        <f t="shared" si="0"/>
        <v>22</v>
      </c>
      <c r="E26">
        <v>10.673117860000005</v>
      </c>
      <c r="J26">
        <f t="shared" si="3"/>
        <v>5</v>
      </c>
      <c r="K26">
        <f>[1]!PACF($E$5:$E$40,J26)</f>
        <v>-0.11971829188852769</v>
      </c>
      <c r="L26">
        <f t="shared" si="4"/>
        <v>-0.32666066409000893</v>
      </c>
      <c r="M26">
        <f t="shared" si="5"/>
        <v>0.32666066409000893</v>
      </c>
    </row>
    <row r="27" spans="1:13" x14ac:dyDescent="0.3">
      <c r="A27" s="1">
        <v>40543</v>
      </c>
      <c r="B27">
        <v>147.2011732</v>
      </c>
      <c r="D27">
        <f t="shared" si="0"/>
        <v>23</v>
      </c>
      <c r="E27">
        <v>-14.831523070000003</v>
      </c>
      <c r="J27">
        <f t="shared" si="3"/>
        <v>6</v>
      </c>
      <c r="K27">
        <f>[1]!PACF($E$5:$E$40,J27)</f>
        <v>7.8330528333582672E-2</v>
      </c>
      <c r="L27">
        <f t="shared" si="4"/>
        <v>-0.32666066409000893</v>
      </c>
      <c r="M27">
        <f t="shared" si="5"/>
        <v>0.32666066409000893</v>
      </c>
    </row>
    <row r="28" spans="1:13" x14ac:dyDescent="0.3">
      <c r="A28" s="1">
        <v>40908</v>
      </c>
      <c r="B28">
        <v>172.59504920000001</v>
      </c>
      <c r="D28">
        <f t="shared" si="0"/>
        <v>24</v>
      </c>
      <c r="E28">
        <v>34.3021581</v>
      </c>
      <c r="J28">
        <f t="shared" si="3"/>
        <v>7</v>
      </c>
      <c r="K28">
        <f>[1]!PACF($E$5:$E$40,J28)</f>
        <v>-8.4473965135967943E-2</v>
      </c>
      <c r="L28">
        <f t="shared" si="4"/>
        <v>-0.32666066409000893</v>
      </c>
      <c r="M28">
        <f t="shared" si="5"/>
        <v>0.32666066409000893</v>
      </c>
    </row>
    <row r="29" spans="1:13" x14ac:dyDescent="0.3">
      <c r="A29" s="1">
        <v>41274</v>
      </c>
      <c r="B29">
        <v>195.59066110000001</v>
      </c>
      <c r="D29">
        <f t="shared" si="0"/>
        <v>25</v>
      </c>
      <c r="E29">
        <v>-15.792637599999992</v>
      </c>
      <c r="J29" s="3">
        <f t="shared" si="3"/>
        <v>8</v>
      </c>
      <c r="K29" s="3">
        <f>[1]!PACF($E$5:$E$40,J29)</f>
        <v>1.1302785991655163E-2</v>
      </c>
      <c r="L29" s="3">
        <f t="shared" si="4"/>
        <v>-0.32666066409000893</v>
      </c>
      <c r="M29" s="3">
        <f t="shared" si="5"/>
        <v>0.32666066409000893</v>
      </c>
    </row>
    <row r="30" spans="1:13" x14ac:dyDescent="0.3">
      <c r="A30" s="1">
        <v>41639</v>
      </c>
      <c r="B30">
        <v>213.70881170000001</v>
      </c>
      <c r="D30">
        <f t="shared" si="0"/>
        <v>26</v>
      </c>
      <c r="E30">
        <v>-2.3982641000000058</v>
      </c>
    </row>
    <row r="31" spans="1:13" x14ac:dyDescent="0.3">
      <c r="A31" s="1">
        <v>42004</v>
      </c>
      <c r="B31">
        <v>233.4514696</v>
      </c>
      <c r="D31">
        <f t="shared" si="0"/>
        <v>27</v>
      </c>
      <c r="E31">
        <v>-4.8774612999999931</v>
      </c>
    </row>
    <row r="32" spans="1:13" x14ac:dyDescent="0.3">
      <c r="A32" s="1">
        <v>42369</v>
      </c>
      <c r="B32">
        <v>239.25832840000001</v>
      </c>
      <c r="D32">
        <f t="shared" si="0"/>
        <v>28</v>
      </c>
      <c r="E32">
        <v>1.6245072999999763</v>
      </c>
    </row>
    <row r="33" spans="1:5" x14ac:dyDescent="0.3">
      <c r="A33" s="1">
        <v>42735</v>
      </c>
      <c r="B33">
        <v>257.09600119999999</v>
      </c>
      <c r="D33">
        <f t="shared" si="0"/>
        <v>29</v>
      </c>
      <c r="E33">
        <v>-13.935799099999969</v>
      </c>
    </row>
    <row r="34" spans="1:5" x14ac:dyDescent="0.3">
      <c r="A34" s="1">
        <v>43100</v>
      </c>
      <c r="B34">
        <v>281.35360600000001</v>
      </c>
      <c r="D34">
        <f t="shared" si="0"/>
        <v>30</v>
      </c>
      <c r="E34">
        <v>12.030813999999964</v>
      </c>
    </row>
    <row r="35" spans="1:5" x14ac:dyDescent="0.3">
      <c r="A35" s="1">
        <v>43465</v>
      </c>
      <c r="B35">
        <v>310.10647840000001</v>
      </c>
      <c r="D35">
        <f t="shared" si="0"/>
        <v>31</v>
      </c>
      <c r="E35">
        <v>6.4199320000000455</v>
      </c>
    </row>
    <row r="36" spans="1:5" x14ac:dyDescent="0.3">
      <c r="A36" s="1">
        <v>43830</v>
      </c>
      <c r="B36">
        <v>334.36527050000001</v>
      </c>
      <c r="D36">
        <f t="shared" si="0"/>
        <v>32</v>
      </c>
      <c r="E36">
        <v>4.4952675999999769</v>
      </c>
    </row>
    <row r="37" spans="1:5" x14ac:dyDescent="0.3">
      <c r="A37" s="1">
        <v>44196</v>
      </c>
      <c r="B37">
        <v>346.61573850000002</v>
      </c>
      <c r="D37">
        <f t="shared" si="0"/>
        <v>33</v>
      </c>
      <c r="E37">
        <v>-4.4940803000000074</v>
      </c>
    </row>
    <row r="38" spans="1:5" x14ac:dyDescent="0.3">
      <c r="A38" s="1">
        <v>44561</v>
      </c>
      <c r="B38">
        <v>366.13756910000001</v>
      </c>
      <c r="D38">
        <f t="shared" si="0"/>
        <v>34</v>
      </c>
      <c r="E38">
        <v>-12.008324099999982</v>
      </c>
    </row>
    <row r="39" spans="1:5" x14ac:dyDescent="0.3">
      <c r="A39" s="1">
        <v>44926</v>
      </c>
      <c r="B39">
        <v>408.80237890000001</v>
      </c>
      <c r="D39">
        <f t="shared" si="0"/>
        <v>35</v>
      </c>
      <c r="E39">
        <v>7.2713625999999749</v>
      </c>
    </row>
    <row r="40" spans="1:5" x14ac:dyDescent="0.3">
      <c r="D40" s="3">
        <f t="shared" si="0"/>
        <v>36</v>
      </c>
      <c r="E40" s="3">
        <v>23.142979200000013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9AF-8B47-464B-A23C-34846D54B48E}">
  <dimension ref="A1:AH50"/>
  <sheetViews>
    <sheetView tabSelected="1" workbookViewId="0">
      <selection activeCell="AN24" sqref="AN24"/>
    </sheetView>
  </sheetViews>
  <sheetFormatPr defaultRowHeight="14.4" x14ac:dyDescent="0.3"/>
  <cols>
    <col min="1" max="1" width="11.33203125" customWidth="1"/>
    <col min="2" max="2" width="9.88671875" customWidth="1"/>
  </cols>
  <sheetData>
    <row r="1" spans="1:34" x14ac:dyDescent="0.3">
      <c r="A1" t="s">
        <v>0</v>
      </c>
      <c r="B1" t="s">
        <v>1</v>
      </c>
      <c r="D1" t="s">
        <v>7</v>
      </c>
      <c r="E1">
        <v>2</v>
      </c>
    </row>
    <row r="2" spans="1:34" x14ac:dyDescent="0.3">
      <c r="A2" s="1">
        <v>31412</v>
      </c>
      <c r="B2">
        <v>14.094687820000001</v>
      </c>
      <c r="G2" t="s">
        <v>23</v>
      </c>
      <c r="K2" t="s">
        <v>25</v>
      </c>
      <c r="O2" t="s">
        <v>50</v>
      </c>
      <c r="S2" t="s">
        <v>45</v>
      </c>
      <c r="Y2" t="s">
        <v>57</v>
      </c>
      <c r="AG2" t="s">
        <v>60</v>
      </c>
    </row>
    <row r="3" spans="1:34" ht="15" thickBot="1" x14ac:dyDescent="0.35">
      <c r="A3" s="1">
        <v>31777</v>
      </c>
      <c r="B3">
        <v>26.336616249999999</v>
      </c>
      <c r="D3" t="s">
        <v>8</v>
      </c>
      <c r="E3" t="s">
        <v>9</v>
      </c>
      <c r="AB3" t="s">
        <v>58</v>
      </c>
      <c r="AC3">
        <v>0.05</v>
      </c>
    </row>
    <row r="4" spans="1:34" ht="15" thickTop="1" x14ac:dyDescent="0.3">
      <c r="A4" s="1">
        <v>32142</v>
      </c>
      <c r="B4">
        <v>36.658108849999998</v>
      </c>
      <c r="D4">
        <v>1</v>
      </c>
      <c r="E4">
        <v>-1.9204358299999988</v>
      </c>
      <c r="G4" s="2" t="s">
        <v>8</v>
      </c>
      <c r="H4" s="2" t="s">
        <v>9</v>
      </c>
      <c r="I4" s="2" t="s">
        <v>24</v>
      </c>
      <c r="K4" s="2" t="s">
        <v>26</v>
      </c>
      <c r="L4" s="2" t="s">
        <v>27</v>
      </c>
      <c r="M4" s="2" t="s">
        <v>28</v>
      </c>
      <c r="O4" s="2" t="s">
        <v>51</v>
      </c>
      <c r="P4" s="2" t="s">
        <v>52</v>
      </c>
      <c r="Q4" s="2" t="s">
        <v>53</v>
      </c>
      <c r="S4" s="2" t="s">
        <v>46</v>
      </c>
      <c r="T4" s="2" t="s">
        <v>5</v>
      </c>
      <c r="U4" s="2" t="s">
        <v>47</v>
      </c>
      <c r="V4" s="2" t="s">
        <v>3</v>
      </c>
      <c r="W4" s="2" t="s">
        <v>6</v>
      </c>
      <c r="Y4" s="2" t="s">
        <v>8</v>
      </c>
      <c r="Z4" s="2" t="s">
        <v>9</v>
      </c>
      <c r="AA4" s="2" t="s">
        <v>24</v>
      </c>
      <c r="AB4" s="2" t="s">
        <v>59</v>
      </c>
      <c r="AC4" s="2" t="s">
        <v>47</v>
      </c>
      <c r="AD4" s="2" t="s">
        <v>21</v>
      </c>
      <c r="AE4" s="2" t="s">
        <v>22</v>
      </c>
      <c r="AG4" s="2" t="s">
        <v>8</v>
      </c>
      <c r="AH4" s="2" t="s">
        <v>61</v>
      </c>
    </row>
    <row r="5" spans="1:34" x14ac:dyDescent="0.3">
      <c r="A5" s="1">
        <v>32508</v>
      </c>
      <c r="B5">
        <v>25.423812649999999</v>
      </c>
      <c r="D5">
        <v>2</v>
      </c>
      <c r="E5">
        <v>-21.555788799999995</v>
      </c>
      <c r="G5">
        <v>1</v>
      </c>
      <c r="H5">
        <f>E6-2*E5+E4-M$6</f>
        <v>32.519697106466154</v>
      </c>
      <c r="I5">
        <v>0</v>
      </c>
      <c r="K5" s="11">
        <v>1</v>
      </c>
      <c r="L5">
        <f>T6</f>
        <v>-0.4088821693921858</v>
      </c>
      <c r="M5">
        <f>T7</f>
        <v>-1.5423518736264972</v>
      </c>
      <c r="O5" s="14">
        <f t="array" ref="O5:Q5">[1]!ARRoots(L5)</f>
        <v>-2.4456923653250189</v>
      </c>
      <c r="P5" s="14">
        <v>0</v>
      </c>
      <c r="Q5" s="14">
        <v>2.4456923653250189</v>
      </c>
      <c r="S5" t="s">
        <v>29</v>
      </c>
      <c r="T5">
        <f t="array" ref="T5:U7">[1]!ARIMA_Coeff(E4:E39,1,1,2,TRUE)</f>
        <v>1.0922122164463626</v>
      </c>
      <c r="U5">
        <v>0.88010633100989533</v>
      </c>
      <c r="V5">
        <f>T5/U5</f>
        <v>1.2410002950360353</v>
      </c>
      <c r="W5">
        <f>_xlfn.T.DIST.2T(ABS(V5),M$18-M$10-M$11-1)</f>
        <v>0.22422265938841074</v>
      </c>
      <c r="Y5">
        <f>G5</f>
        <v>1</v>
      </c>
      <c r="Z5">
        <f>H5</f>
        <v>32.519697106466154</v>
      </c>
      <c r="AA5">
        <f>I5</f>
        <v>0</v>
      </c>
      <c r="AB5">
        <f>Z5-AA5</f>
        <v>32.519697106466154</v>
      </c>
      <c r="AC5">
        <f>M$15</f>
        <v>10.35926405463978</v>
      </c>
      <c r="AD5">
        <f>AB5-_xlfn.NORM.S.INV(1-AC$3/2)*AC5</f>
        <v>12.215912653031818</v>
      </c>
      <c r="AE5">
        <f>AB5+_xlfn.NORM.S.INV(1-AC$3/2)*AC5</f>
        <v>52.823481559900486</v>
      </c>
      <c r="AG5">
        <v>1</v>
      </c>
      <c r="AH5">
        <f>E4</f>
        <v>-1.9204358299999988</v>
      </c>
    </row>
    <row r="6" spans="1:34" x14ac:dyDescent="0.3">
      <c r="A6" s="1">
        <v>32873</v>
      </c>
      <c r="B6">
        <v>6.2933049749999999</v>
      </c>
      <c r="D6">
        <v>3</v>
      </c>
      <c r="E6">
        <v>-7.8962114750000012</v>
      </c>
      <c r="G6">
        <f>G5+1</f>
        <v>2</v>
      </c>
      <c r="H6">
        <f t="shared" ref="H6:H38" si="0">E7-2*E6+E5-M$6</f>
        <v>12.770344467466177</v>
      </c>
      <c r="I6">
        <f>H6-SUMPRODUCT(H5,L$5)-SUMPRODUCT(I5,M$5)</f>
        <v>26.067068768334845</v>
      </c>
      <c r="K6" s="12" t="s">
        <v>29</v>
      </c>
      <c r="L6" s="3">
        <f>T5</f>
        <v>1.0922122164463626</v>
      </c>
      <c r="M6" s="3">
        <f>L6/(1-SUM(L5))</f>
        <v>0.77523318853382917</v>
      </c>
      <c r="S6" t="s">
        <v>48</v>
      </c>
      <c r="T6">
        <v>-0.4088821693921858</v>
      </c>
      <c r="U6">
        <v>0.10380638443270554</v>
      </c>
      <c r="V6">
        <f t="shared" ref="V6:V7" si="1">T6/U6</f>
        <v>-3.9388923102051727</v>
      </c>
      <c r="W6">
        <f t="shared" ref="W6:W7" si="2">_xlfn.T.DIST.2T(ABS(V6),M$18-M$10-M$11-1)</f>
        <v>4.5154879819004018E-4</v>
      </c>
      <c r="Y6">
        <f t="shared" ref="Y6:Y38" si="3">G6</f>
        <v>2</v>
      </c>
      <c r="Z6">
        <f t="shared" ref="Z6:Z38" si="4">H6</f>
        <v>12.770344467466177</v>
      </c>
      <c r="AA6">
        <f t="shared" ref="AA6:AA38" si="5">I6</f>
        <v>26.067068768334845</v>
      </c>
      <c r="AB6">
        <f t="shared" ref="AB6:AB38" si="6">Z6-AA6</f>
        <v>-13.296724300868668</v>
      </c>
      <c r="AC6">
        <f t="shared" ref="AC6:AC38" si="7">M$15</f>
        <v>10.35926405463978</v>
      </c>
      <c r="AD6">
        <f t="shared" ref="AD6:AD38" si="8">AB6-_xlfn.NORM.S.INV(1-AC$3/2)*AC6</f>
        <v>-33.600508754303007</v>
      </c>
      <c r="AE6">
        <f t="shared" ref="AE6:AE38" si="9">AB6+_xlfn.NORM.S.INV(1-AC$3/2)*AC6</f>
        <v>7.0070601525656677</v>
      </c>
      <c r="AG6">
        <f>AG5+1</f>
        <v>2</v>
      </c>
      <c r="AH6">
        <f>E5</f>
        <v>-21.555788799999995</v>
      </c>
    </row>
    <row r="7" spans="1:34" x14ac:dyDescent="0.3">
      <c r="A7" s="1">
        <v>33238</v>
      </c>
      <c r="B7">
        <v>6.4717408059999997</v>
      </c>
      <c r="D7">
        <v>4</v>
      </c>
      <c r="E7">
        <v>19.308943505999999</v>
      </c>
      <c r="G7">
        <f t="shared" ref="G7:G38" si="10">G6+1</f>
        <v>3</v>
      </c>
      <c r="H7">
        <f t="shared" si="0"/>
        <v>-44.326138792533833</v>
      </c>
      <c r="I7">
        <f t="shared" ref="I7:I38" si="11">H7-SUMPRODUCT(H6,L$5)-SUMPRODUCT(I6,M$5)</f>
        <v>1.1000197120012345</v>
      </c>
      <c r="O7" t="s">
        <v>54</v>
      </c>
      <c r="S7" s="3" t="s">
        <v>49</v>
      </c>
      <c r="T7" s="3">
        <v>-1.5423518736264972</v>
      </c>
      <c r="U7" s="3">
        <v>0.10080827039460688</v>
      </c>
      <c r="V7" s="3">
        <f t="shared" si="1"/>
        <v>-15.299854541587404</v>
      </c>
      <c r="W7" s="3">
        <f t="shared" si="2"/>
        <v>1.0348367719443884E-15</v>
      </c>
      <c r="Y7">
        <f t="shared" si="3"/>
        <v>3</v>
      </c>
      <c r="Z7">
        <f t="shared" si="4"/>
        <v>-44.326138792533833</v>
      </c>
      <c r="AA7">
        <f t="shared" si="5"/>
        <v>1.1000197120012345</v>
      </c>
      <c r="AB7">
        <f t="shared" si="6"/>
        <v>-45.426158504535067</v>
      </c>
      <c r="AC7">
        <f t="shared" si="7"/>
        <v>10.35926405463978</v>
      </c>
      <c r="AD7">
        <f t="shared" si="8"/>
        <v>-65.729942957969399</v>
      </c>
      <c r="AE7">
        <f t="shared" si="9"/>
        <v>-25.122374051100731</v>
      </c>
      <c r="AG7">
        <f t="shared" ref="AG7:AG50" si="12">AG6+1</f>
        <v>3</v>
      </c>
      <c r="AH7">
        <f t="shared" ref="AH7:AH40" si="13">E6</f>
        <v>-7.8962114750000012</v>
      </c>
    </row>
    <row r="8" spans="1:34" ht="15" thickBot="1" x14ac:dyDescent="0.35">
      <c r="A8" s="1">
        <v>33603</v>
      </c>
      <c r="B8">
        <v>9.6133695199999991</v>
      </c>
      <c r="D8">
        <v>5</v>
      </c>
      <c r="E8">
        <v>2.9631928829999996</v>
      </c>
      <c r="G8">
        <f t="shared" si="10"/>
        <v>4</v>
      </c>
      <c r="H8">
        <f t="shared" si="0"/>
        <v>9.7193165534661716</v>
      </c>
      <c r="I8">
        <f t="shared" si="11"/>
        <v>-6.7082337729730002</v>
      </c>
      <c r="L8" t="s">
        <v>30</v>
      </c>
      <c r="M8" s="10">
        <f>SUMSQ(I6:I38)</f>
        <v>3541.3736078738107</v>
      </c>
      <c r="Y8">
        <f t="shared" si="3"/>
        <v>4</v>
      </c>
      <c r="Z8">
        <f t="shared" si="4"/>
        <v>9.7193165534661716</v>
      </c>
      <c r="AA8">
        <f t="shared" si="5"/>
        <v>-6.7082337729730002</v>
      </c>
      <c r="AB8">
        <f t="shared" si="6"/>
        <v>16.427550326439171</v>
      </c>
      <c r="AC8">
        <f t="shared" si="7"/>
        <v>10.35926405463978</v>
      </c>
      <c r="AD8">
        <f t="shared" si="8"/>
        <v>-3.8762341269951648</v>
      </c>
      <c r="AE8">
        <f t="shared" si="9"/>
        <v>36.731334779873507</v>
      </c>
      <c r="AG8">
        <f t="shared" si="12"/>
        <v>4</v>
      </c>
      <c r="AH8">
        <f t="shared" si="13"/>
        <v>19.308943505999999</v>
      </c>
    </row>
    <row r="9" spans="1:34" ht="15" thickTop="1" x14ac:dyDescent="0.3">
      <c r="A9" s="1">
        <v>33969</v>
      </c>
      <c r="B9">
        <v>9.8669902359999995</v>
      </c>
      <c r="D9">
        <v>6</v>
      </c>
      <c r="E9">
        <v>-2.8880079979999991</v>
      </c>
      <c r="G9">
        <f t="shared" si="10"/>
        <v>5</v>
      </c>
      <c r="H9">
        <f t="shared" si="0"/>
        <v>11.02431833846617</v>
      </c>
      <c r="I9">
        <f t="shared" si="11"/>
        <v>4.6519166473873472</v>
      </c>
      <c r="O9" s="2" t="s">
        <v>51</v>
      </c>
      <c r="P9" s="2" t="s">
        <v>52</v>
      </c>
      <c r="Q9" s="2" t="s">
        <v>53</v>
      </c>
      <c r="Y9">
        <f t="shared" si="3"/>
        <v>5</v>
      </c>
      <c r="Z9">
        <f t="shared" si="4"/>
        <v>11.02431833846617</v>
      </c>
      <c r="AA9">
        <f t="shared" si="5"/>
        <v>4.6519166473873472</v>
      </c>
      <c r="AB9">
        <f t="shared" si="6"/>
        <v>6.3724016910788226</v>
      </c>
      <c r="AC9">
        <f t="shared" si="7"/>
        <v>10.35926405463978</v>
      </c>
      <c r="AD9">
        <f t="shared" si="8"/>
        <v>-13.931382762355513</v>
      </c>
      <c r="AE9">
        <f t="shared" si="9"/>
        <v>26.67618614451316</v>
      </c>
      <c r="AG9">
        <f t="shared" si="12"/>
        <v>5</v>
      </c>
      <c r="AH9">
        <f t="shared" si="13"/>
        <v>2.9631928829999996</v>
      </c>
    </row>
    <row r="10" spans="1:34" x14ac:dyDescent="0.3">
      <c r="A10" s="1">
        <v>34334</v>
      </c>
      <c r="B10">
        <v>13.1809536</v>
      </c>
      <c r="D10">
        <v>7</v>
      </c>
      <c r="E10">
        <v>3.0603426480000007</v>
      </c>
      <c r="G10">
        <f t="shared" si="10"/>
        <v>6</v>
      </c>
      <c r="H10">
        <f t="shared" si="0"/>
        <v>-9.9924099165338305</v>
      </c>
      <c r="I10">
        <f t="shared" si="11"/>
        <v>1.6901296388204425</v>
      </c>
      <c r="L10" t="s">
        <v>31</v>
      </c>
      <c r="M10" s="8">
        <v>1</v>
      </c>
      <c r="O10" s="14">
        <f t="array" ref="O10:Q10">[1]!MARoots(M5)</f>
        <v>0.64836047927813167</v>
      </c>
      <c r="P10" s="14">
        <v>0</v>
      </c>
      <c r="Q10" s="14">
        <v>0.64836047927813167</v>
      </c>
      <c r="Y10">
        <f t="shared" si="3"/>
        <v>6</v>
      </c>
      <c r="Z10">
        <f t="shared" si="4"/>
        <v>-9.9924099165338305</v>
      </c>
      <c r="AA10">
        <f t="shared" si="5"/>
        <v>1.6901296388204425</v>
      </c>
      <c r="AB10">
        <f t="shared" si="6"/>
        <v>-11.682539555354273</v>
      </c>
      <c r="AC10">
        <f t="shared" si="7"/>
        <v>10.35926405463978</v>
      </c>
      <c r="AD10">
        <f t="shared" si="8"/>
        <v>-31.986324008788607</v>
      </c>
      <c r="AE10">
        <f t="shared" si="9"/>
        <v>8.6212448980800627</v>
      </c>
      <c r="AG10">
        <f t="shared" si="12"/>
        <v>6</v>
      </c>
      <c r="AH10">
        <f t="shared" si="13"/>
        <v>-2.8880079979999991</v>
      </c>
    </row>
    <row r="11" spans="1:34" x14ac:dyDescent="0.3">
      <c r="A11" s="1">
        <v>34699</v>
      </c>
      <c r="B11">
        <v>16.28643353</v>
      </c>
      <c r="D11">
        <v>8</v>
      </c>
      <c r="E11">
        <v>-0.20848343400000147</v>
      </c>
      <c r="G11">
        <f t="shared" si="10"/>
        <v>7</v>
      </c>
      <c r="H11">
        <f t="shared" si="0"/>
        <v>4.0463273274661757</v>
      </c>
      <c r="I11">
        <f t="shared" si="11"/>
        <v>2.5673836984442171</v>
      </c>
      <c r="L11" t="s">
        <v>32</v>
      </c>
      <c r="M11" s="6">
        <v>1</v>
      </c>
      <c r="Y11">
        <f t="shared" si="3"/>
        <v>7</v>
      </c>
      <c r="Z11">
        <f t="shared" si="4"/>
        <v>4.0463273274661757</v>
      </c>
      <c r="AA11">
        <f t="shared" si="5"/>
        <v>2.5673836984442171</v>
      </c>
      <c r="AB11">
        <f t="shared" si="6"/>
        <v>1.4789436290219586</v>
      </c>
      <c r="AC11">
        <f t="shared" si="7"/>
        <v>10.35926405463978</v>
      </c>
      <c r="AD11">
        <f t="shared" si="8"/>
        <v>-18.824840824412377</v>
      </c>
      <c r="AE11">
        <f t="shared" si="9"/>
        <v>21.782728082456295</v>
      </c>
      <c r="AG11">
        <f t="shared" si="12"/>
        <v>7</v>
      </c>
      <c r="AH11">
        <f t="shared" si="13"/>
        <v>3.0603426480000007</v>
      </c>
    </row>
    <row r="12" spans="1:34" x14ac:dyDescent="0.3">
      <c r="A12" s="1">
        <v>35064</v>
      </c>
      <c r="B12">
        <v>20.736164460000001</v>
      </c>
      <c r="D12">
        <v>9</v>
      </c>
      <c r="E12">
        <v>1.3442510000000016</v>
      </c>
      <c r="G12">
        <f t="shared" si="10"/>
        <v>8</v>
      </c>
      <c r="H12">
        <f t="shared" si="0"/>
        <v>-4.2006434425338357</v>
      </c>
      <c r="I12">
        <f t="shared" si="11"/>
        <v>1.4136367108049837</v>
      </c>
      <c r="L12" t="s">
        <v>33</v>
      </c>
      <c r="M12" s="6">
        <v>2</v>
      </c>
      <c r="O12" t="s">
        <v>55</v>
      </c>
      <c r="Y12">
        <f t="shared" si="3"/>
        <v>8</v>
      </c>
      <c r="Z12">
        <f t="shared" si="4"/>
        <v>-4.2006434425338357</v>
      </c>
      <c r="AA12">
        <f t="shared" si="5"/>
        <v>1.4136367108049837</v>
      </c>
      <c r="AB12">
        <f t="shared" si="6"/>
        <v>-5.6142801533388198</v>
      </c>
      <c r="AC12">
        <f t="shared" si="7"/>
        <v>10.35926405463978</v>
      </c>
      <c r="AD12">
        <f t="shared" si="8"/>
        <v>-25.918064606773157</v>
      </c>
      <c r="AE12">
        <f t="shared" si="9"/>
        <v>14.689504300095516</v>
      </c>
      <c r="AG12">
        <f t="shared" si="12"/>
        <v>8</v>
      </c>
      <c r="AH12">
        <f t="shared" si="13"/>
        <v>-0.20848343400000147</v>
      </c>
    </row>
    <row r="13" spans="1:34" ht="15" thickBot="1" x14ac:dyDescent="0.35">
      <c r="A13" s="1">
        <v>35430</v>
      </c>
      <c r="B13">
        <v>24.657470570000001</v>
      </c>
      <c r="D13">
        <v>10</v>
      </c>
      <c r="E13">
        <v>-0.52842482000000146</v>
      </c>
      <c r="G13">
        <f t="shared" si="10"/>
        <v>9</v>
      </c>
      <c r="H13">
        <f t="shared" si="0"/>
        <v>-0.1092087885338261</v>
      </c>
      <c r="I13">
        <f t="shared" si="11"/>
        <v>0.35354823737714502</v>
      </c>
      <c r="L13" t="s">
        <v>34</v>
      </c>
      <c r="M13" s="6">
        <f>AVERAGE(I6:I38)</f>
        <v>1.6662672250055921</v>
      </c>
      <c r="Y13">
        <f t="shared" si="3"/>
        <v>9</v>
      </c>
      <c r="Z13">
        <f t="shared" si="4"/>
        <v>-0.1092087885338261</v>
      </c>
      <c r="AA13">
        <f t="shared" si="5"/>
        <v>0.35354823737714502</v>
      </c>
      <c r="AB13">
        <f t="shared" si="6"/>
        <v>-0.46275702591097112</v>
      </c>
      <c r="AC13">
        <f t="shared" si="7"/>
        <v>10.35926405463978</v>
      </c>
      <c r="AD13">
        <f t="shared" si="8"/>
        <v>-20.766541479345307</v>
      </c>
      <c r="AE13">
        <f t="shared" si="9"/>
        <v>19.841027427523365</v>
      </c>
      <c r="AG13">
        <f t="shared" si="12"/>
        <v>9</v>
      </c>
      <c r="AH13">
        <f t="shared" si="13"/>
        <v>1.3442510000000016</v>
      </c>
    </row>
    <row r="14" spans="1:34" ht="15" thickTop="1" x14ac:dyDescent="0.3">
      <c r="A14" s="1">
        <v>35795</v>
      </c>
      <c r="B14">
        <v>26.843700439999999</v>
      </c>
      <c r="D14">
        <v>11</v>
      </c>
      <c r="E14">
        <v>-1.7350762400000015</v>
      </c>
      <c r="G14">
        <f t="shared" si="10"/>
        <v>10</v>
      </c>
      <c r="H14">
        <f t="shared" si="0"/>
        <v>0.34616621146617577</v>
      </c>
      <c r="I14">
        <f t="shared" si="11"/>
        <v>0.84680847142975768</v>
      </c>
      <c r="L14" t="s">
        <v>35</v>
      </c>
      <c r="M14" s="6">
        <f>_xlfn.STDEV.S(I6:I38)</f>
        <v>10.382904932093595</v>
      </c>
      <c r="O14" s="2" t="s">
        <v>26</v>
      </c>
      <c r="P14" s="2" t="s">
        <v>56</v>
      </c>
      <c r="Y14">
        <f t="shared" si="3"/>
        <v>10</v>
      </c>
      <c r="Z14">
        <f t="shared" si="4"/>
        <v>0.34616621146617577</v>
      </c>
      <c r="AA14">
        <f t="shared" si="5"/>
        <v>0.84680847142975768</v>
      </c>
      <c r="AB14">
        <f t="shared" si="6"/>
        <v>-0.50064225996358191</v>
      </c>
      <c r="AC14">
        <f t="shared" si="7"/>
        <v>10.35926405463978</v>
      </c>
      <c r="AD14">
        <f t="shared" si="8"/>
        <v>-20.804426713397916</v>
      </c>
      <c r="AE14">
        <f t="shared" si="9"/>
        <v>19.803142193470755</v>
      </c>
      <c r="AG14">
        <f t="shared" si="12"/>
        <v>10</v>
      </c>
      <c r="AH14">
        <f t="shared" si="13"/>
        <v>-0.52842482000000146</v>
      </c>
    </row>
    <row r="15" spans="1:34" x14ac:dyDescent="0.3">
      <c r="A15" s="1">
        <v>36160</v>
      </c>
      <c r="B15">
        <v>27.209602050000001</v>
      </c>
      <c r="D15">
        <v>12</v>
      </c>
      <c r="E15">
        <v>-1.8203282599999966</v>
      </c>
      <c r="G15">
        <f t="shared" si="10"/>
        <v>11</v>
      </c>
      <c r="H15">
        <f t="shared" si="0"/>
        <v>2.2385024414661596</v>
      </c>
      <c r="I15">
        <f t="shared" si="11"/>
        <v>3.6861202654932006</v>
      </c>
      <c r="L15" t="s">
        <v>36</v>
      </c>
      <c r="M15" s="6">
        <f>SQRT(M8/M18)</f>
        <v>10.35926405463978</v>
      </c>
      <c r="O15" s="15">
        <v>0</v>
      </c>
      <c r="P15" s="15">
        <f t="array" ref="P15:P24">[1]!PSICoeff(L5,M5)</f>
        <v>1</v>
      </c>
      <c r="Y15">
        <f t="shared" si="3"/>
        <v>11</v>
      </c>
      <c r="Z15">
        <f t="shared" si="4"/>
        <v>2.2385024414661596</v>
      </c>
      <c r="AA15">
        <f t="shared" si="5"/>
        <v>3.6861202654932006</v>
      </c>
      <c r="AB15">
        <f t="shared" si="6"/>
        <v>-1.447617824027041</v>
      </c>
      <c r="AC15">
        <f t="shared" si="7"/>
        <v>10.35926405463978</v>
      </c>
      <c r="AD15">
        <f t="shared" si="8"/>
        <v>-21.751402277461377</v>
      </c>
      <c r="AE15">
        <f t="shared" si="9"/>
        <v>18.856166629407294</v>
      </c>
      <c r="AG15">
        <f t="shared" si="12"/>
        <v>11</v>
      </c>
      <c r="AH15">
        <f t="shared" si="13"/>
        <v>-1.7350762400000015</v>
      </c>
    </row>
    <row r="16" spans="1:34" x14ac:dyDescent="0.3">
      <c r="A16" s="1">
        <v>36525</v>
      </c>
      <c r="B16">
        <v>28.68365901</v>
      </c>
      <c r="D16">
        <v>13</v>
      </c>
      <c r="E16">
        <v>1.108155349999997</v>
      </c>
      <c r="G16">
        <f t="shared" si="10"/>
        <v>12</v>
      </c>
      <c r="H16">
        <f t="shared" si="0"/>
        <v>-3.7970697185338165</v>
      </c>
      <c r="I16">
        <f t="shared" si="11"/>
        <v>2.8035085138186102</v>
      </c>
      <c r="L16" t="s">
        <v>37</v>
      </c>
      <c r="M16" s="6">
        <f>AVERAGE(H6:H38)</f>
        <v>-0.70820169535201027</v>
      </c>
      <c r="O16" s="16">
        <f>O15+1</f>
        <v>1</v>
      </c>
      <c r="P16" s="16">
        <v>-1.951234043018683</v>
      </c>
      <c r="Y16">
        <f t="shared" si="3"/>
        <v>12</v>
      </c>
      <c r="Z16">
        <f t="shared" si="4"/>
        <v>-3.7970697185338165</v>
      </c>
      <c r="AA16">
        <f t="shared" si="5"/>
        <v>2.8035085138186102</v>
      </c>
      <c r="AB16">
        <f t="shared" si="6"/>
        <v>-6.6005782323524267</v>
      </c>
      <c r="AC16">
        <f t="shared" si="7"/>
        <v>10.35926405463978</v>
      </c>
      <c r="AD16">
        <f t="shared" si="8"/>
        <v>-26.904362685786761</v>
      </c>
      <c r="AE16">
        <f t="shared" si="9"/>
        <v>13.70320622108191</v>
      </c>
      <c r="AG16">
        <f t="shared" si="12"/>
        <v>12</v>
      </c>
      <c r="AH16">
        <f t="shared" si="13"/>
        <v>-1.8203282599999966</v>
      </c>
    </row>
    <row r="17" spans="1:34" x14ac:dyDescent="0.3">
      <c r="A17" s="1">
        <v>36891</v>
      </c>
      <c r="B17">
        <v>31.172518400000001</v>
      </c>
      <c r="D17">
        <v>14</v>
      </c>
      <c r="E17">
        <v>1.0148024300000031</v>
      </c>
      <c r="G17">
        <f t="shared" si="10"/>
        <v>13</v>
      </c>
      <c r="H17">
        <f t="shared" si="0"/>
        <v>-2.6728616785338386</v>
      </c>
      <c r="I17">
        <f t="shared" si="11"/>
        <v>9.8580826634647956E-2</v>
      </c>
      <c r="L17" t="s">
        <v>38</v>
      </c>
      <c r="M17" s="6">
        <f>_xlfn.STDEV.S(H6:H38)</f>
        <v>29.539116761199139</v>
      </c>
      <c r="O17" s="16">
        <f t="shared" ref="O17:O24" si="14">O16+1</f>
        <v>2</v>
      </c>
      <c r="P17" s="16">
        <v>0.79782480850136472</v>
      </c>
      <c r="Y17">
        <f t="shared" si="3"/>
        <v>13</v>
      </c>
      <c r="Z17">
        <f t="shared" si="4"/>
        <v>-2.6728616785338386</v>
      </c>
      <c r="AA17">
        <f t="shared" si="5"/>
        <v>9.8580826634647956E-2</v>
      </c>
      <c r="AB17">
        <f t="shared" si="6"/>
        <v>-2.7714425051684866</v>
      </c>
      <c r="AC17">
        <f t="shared" si="7"/>
        <v>10.35926405463978</v>
      </c>
      <c r="AD17">
        <f t="shared" si="8"/>
        <v>-23.075226958602823</v>
      </c>
      <c r="AE17">
        <f t="shared" si="9"/>
        <v>17.532341948265849</v>
      </c>
      <c r="AG17">
        <f t="shared" si="12"/>
        <v>13</v>
      </c>
      <c r="AH17">
        <f t="shared" si="13"/>
        <v>1.108155349999997</v>
      </c>
    </row>
    <row r="18" spans="1:34" x14ac:dyDescent="0.3">
      <c r="A18" s="1">
        <v>37256</v>
      </c>
      <c r="B18">
        <v>32.685198810000003</v>
      </c>
      <c r="D18">
        <v>15</v>
      </c>
      <c r="E18">
        <v>-0.97617898000000025</v>
      </c>
      <c r="G18">
        <f t="shared" si="10"/>
        <v>14</v>
      </c>
      <c r="H18">
        <f t="shared" si="0"/>
        <v>3.0581534814661668</v>
      </c>
      <c r="I18">
        <f t="shared" si="11"/>
        <v>2.1173143225256097</v>
      </c>
      <c r="L18" t="s">
        <v>39</v>
      </c>
      <c r="M18" s="7">
        <f>COUNT(H6:H38)</f>
        <v>33</v>
      </c>
      <c r="O18" s="16">
        <f t="shared" si="14"/>
        <v>3</v>
      </c>
      <c r="P18" s="16">
        <v>-0.32621633849494319</v>
      </c>
      <c r="Y18">
        <f t="shared" si="3"/>
        <v>14</v>
      </c>
      <c r="Z18">
        <f t="shared" si="4"/>
        <v>3.0581534814661668</v>
      </c>
      <c r="AA18">
        <f t="shared" si="5"/>
        <v>2.1173143225256097</v>
      </c>
      <c r="AB18">
        <f t="shared" si="6"/>
        <v>0.94083915894055714</v>
      </c>
      <c r="AC18">
        <f t="shared" si="7"/>
        <v>10.35926405463978</v>
      </c>
      <c r="AD18">
        <f t="shared" si="8"/>
        <v>-19.362945294493777</v>
      </c>
      <c r="AE18">
        <f t="shared" si="9"/>
        <v>21.244623612374895</v>
      </c>
      <c r="AG18">
        <f t="shared" si="12"/>
        <v>14</v>
      </c>
      <c r="AH18">
        <f t="shared" si="13"/>
        <v>1.0148024300000031</v>
      </c>
    </row>
    <row r="19" spans="1:34" x14ac:dyDescent="0.3">
      <c r="A19" s="1">
        <v>37621</v>
      </c>
      <c r="B19">
        <v>35.064105499999997</v>
      </c>
      <c r="D19">
        <v>16</v>
      </c>
      <c r="E19">
        <v>0.86622627999999224</v>
      </c>
      <c r="G19">
        <f t="shared" si="10"/>
        <v>15</v>
      </c>
      <c r="H19">
        <f t="shared" si="0"/>
        <v>-1.3743636885338018</v>
      </c>
      <c r="I19">
        <f t="shared" si="11"/>
        <v>3.141704453705942</v>
      </c>
      <c r="O19" s="16">
        <f t="shared" si="14"/>
        <v>4</v>
      </c>
      <c r="P19" s="16">
        <v>0.133384044174988</v>
      </c>
      <c r="Y19">
        <f t="shared" si="3"/>
        <v>15</v>
      </c>
      <c r="Z19">
        <f t="shared" si="4"/>
        <v>-1.3743636885338018</v>
      </c>
      <c r="AA19">
        <f t="shared" si="5"/>
        <v>3.141704453705942</v>
      </c>
      <c r="AB19">
        <f t="shared" si="6"/>
        <v>-4.5160681422397442</v>
      </c>
      <c r="AC19">
        <f t="shared" si="7"/>
        <v>10.35926405463978</v>
      </c>
      <c r="AD19">
        <f t="shared" si="8"/>
        <v>-24.819852595674078</v>
      </c>
      <c r="AE19">
        <f t="shared" si="9"/>
        <v>15.787716311194592</v>
      </c>
      <c r="AG19">
        <f t="shared" si="12"/>
        <v>15</v>
      </c>
      <c r="AH19">
        <f t="shared" si="13"/>
        <v>-0.97617898000000025</v>
      </c>
    </row>
    <row r="20" spans="1:34" x14ac:dyDescent="0.3">
      <c r="A20" s="1">
        <v>37986</v>
      </c>
      <c r="B20">
        <v>39.552513230000002</v>
      </c>
      <c r="D20">
        <v>17</v>
      </c>
      <c r="E20">
        <v>2.109501040000012</v>
      </c>
      <c r="G20">
        <f t="shared" si="10"/>
        <v>16</v>
      </c>
      <c r="H20">
        <f t="shared" si="0"/>
        <v>-2.7410752585338725</v>
      </c>
      <c r="I20">
        <f t="shared" si="11"/>
        <v>1.5425856855186511</v>
      </c>
      <c r="L20" t="s">
        <v>40</v>
      </c>
      <c r="M20" s="8">
        <f>-(M23-2*(M10+M11+2))/2</f>
        <v>-123.97505110042192</v>
      </c>
      <c r="O20" s="16">
        <f t="shared" si="14"/>
        <v>5</v>
      </c>
      <c r="P20" s="16">
        <v>-5.4538357344572228E-2</v>
      </c>
      <c r="Y20">
        <f t="shared" si="3"/>
        <v>16</v>
      </c>
      <c r="Z20">
        <f t="shared" si="4"/>
        <v>-2.7410752585338725</v>
      </c>
      <c r="AA20">
        <f t="shared" si="5"/>
        <v>1.5425856855186511</v>
      </c>
      <c r="AB20">
        <f t="shared" si="6"/>
        <v>-4.2836609440525235</v>
      </c>
      <c r="AC20">
        <f t="shared" si="7"/>
        <v>10.35926405463978</v>
      </c>
      <c r="AD20">
        <f t="shared" si="8"/>
        <v>-24.58744539748686</v>
      </c>
      <c r="AE20">
        <f t="shared" si="9"/>
        <v>16.020123509381811</v>
      </c>
      <c r="AG20">
        <f t="shared" si="12"/>
        <v>16</v>
      </c>
      <c r="AH20">
        <f t="shared" si="13"/>
        <v>0.86622627999999224</v>
      </c>
    </row>
    <row r="21" spans="1:34" x14ac:dyDescent="0.3">
      <c r="A21" s="1">
        <v>38352</v>
      </c>
      <c r="B21">
        <v>45.427854689999997</v>
      </c>
      <c r="D21">
        <v>18</v>
      </c>
      <c r="E21">
        <v>1.3869337299999884</v>
      </c>
      <c r="G21">
        <f t="shared" si="10"/>
        <v>17</v>
      </c>
      <c r="H21">
        <f t="shared" si="0"/>
        <v>4.8904599814662175</v>
      </c>
      <c r="I21">
        <f t="shared" si="11"/>
        <v>6.1488931055787468</v>
      </c>
      <c r="L21" t="s">
        <v>41</v>
      </c>
      <c r="M21" s="6">
        <f>M18*LN(M8/M18)+2*(M10+M11+2)</f>
        <v>162.30015900933546</v>
      </c>
      <c r="O21" s="16">
        <f t="shared" si="14"/>
        <v>6</v>
      </c>
      <c r="P21" s="16">
        <v>2.2299761866134943E-2</v>
      </c>
      <c r="Y21">
        <f t="shared" si="3"/>
        <v>17</v>
      </c>
      <c r="Z21">
        <f t="shared" si="4"/>
        <v>4.8904599814662175</v>
      </c>
      <c r="AA21">
        <f t="shared" si="5"/>
        <v>6.1488931055787468</v>
      </c>
      <c r="AB21">
        <f t="shared" si="6"/>
        <v>-1.2584331241125293</v>
      </c>
      <c r="AC21">
        <f t="shared" si="7"/>
        <v>10.35926405463978</v>
      </c>
      <c r="AD21">
        <f t="shared" si="8"/>
        <v>-21.562217577546864</v>
      </c>
      <c r="AE21">
        <f t="shared" si="9"/>
        <v>19.045351329321807</v>
      </c>
      <c r="AG21">
        <f t="shared" si="12"/>
        <v>17</v>
      </c>
      <c r="AH21">
        <f t="shared" si="13"/>
        <v>2.109501040000012</v>
      </c>
    </row>
    <row r="22" spans="1:34" x14ac:dyDescent="0.3">
      <c r="A22" s="1">
        <v>38717</v>
      </c>
      <c r="B22">
        <v>57.633255740000003</v>
      </c>
      <c r="D22">
        <v>19</v>
      </c>
      <c r="E22">
        <v>6.3300595900000118</v>
      </c>
      <c r="G22">
        <f t="shared" si="10"/>
        <v>18</v>
      </c>
      <c r="H22">
        <f t="shared" si="0"/>
        <v>-15.515410608533866</v>
      </c>
      <c r="I22">
        <f t="shared" si="11"/>
        <v>-4.0320319198678582</v>
      </c>
      <c r="L22" t="s">
        <v>42</v>
      </c>
      <c r="M22" s="6">
        <f>M18*LN(M8/M18)+LN(M18)*(M10+M11+2)</f>
        <v>168.28618925520138</v>
      </c>
      <c r="O22" s="16">
        <f t="shared" si="14"/>
        <v>7</v>
      </c>
      <c r="P22" s="16">
        <v>-9.1179750087543934E-3</v>
      </c>
      <c r="Y22">
        <f t="shared" si="3"/>
        <v>18</v>
      </c>
      <c r="Z22">
        <f t="shared" si="4"/>
        <v>-15.515410608533866</v>
      </c>
      <c r="AA22">
        <f t="shared" si="5"/>
        <v>-4.0320319198678582</v>
      </c>
      <c r="AB22">
        <f t="shared" si="6"/>
        <v>-11.483378688666008</v>
      </c>
      <c r="AC22">
        <f t="shared" si="7"/>
        <v>10.35926405463978</v>
      </c>
      <c r="AD22">
        <f t="shared" si="8"/>
        <v>-31.787163142100344</v>
      </c>
      <c r="AE22">
        <f t="shared" si="9"/>
        <v>8.8204057647683278</v>
      </c>
      <c r="AG22">
        <f t="shared" si="12"/>
        <v>18</v>
      </c>
      <c r="AH22">
        <f t="shared" si="13"/>
        <v>1.3869337299999884</v>
      </c>
    </row>
    <row r="23" spans="1:34" x14ac:dyDescent="0.3">
      <c r="A23" s="1">
        <v>39082</v>
      </c>
      <c r="B23">
        <v>66.371664820000007</v>
      </c>
      <c r="D23">
        <v>20</v>
      </c>
      <c r="E23">
        <v>-3.4669919700000023</v>
      </c>
      <c r="G23">
        <f t="shared" si="10"/>
        <v>19</v>
      </c>
      <c r="H23">
        <f t="shared" si="0"/>
        <v>14.79316197146618</v>
      </c>
      <c r="I23">
        <f t="shared" si="11"/>
        <v>2.2303752367082854</v>
      </c>
      <c r="L23" t="s">
        <v>43</v>
      </c>
      <c r="M23" s="6">
        <f>M18*(1+LN(2*PI()))+M21</f>
        <v>255.95010220084384</v>
      </c>
      <c r="O23" s="16">
        <f t="shared" si="14"/>
        <v>8</v>
      </c>
      <c r="P23" s="16">
        <v>3.7281774020432304E-3</v>
      </c>
      <c r="Y23">
        <f t="shared" si="3"/>
        <v>19</v>
      </c>
      <c r="Z23">
        <f t="shared" si="4"/>
        <v>14.79316197146618</v>
      </c>
      <c r="AA23">
        <f t="shared" si="5"/>
        <v>2.2303752367082854</v>
      </c>
      <c r="AB23">
        <f t="shared" si="6"/>
        <v>12.562786734757895</v>
      </c>
      <c r="AC23">
        <f t="shared" si="7"/>
        <v>10.35926405463978</v>
      </c>
      <c r="AD23">
        <f t="shared" si="8"/>
        <v>-7.7409977186764412</v>
      </c>
      <c r="AE23">
        <f t="shared" si="9"/>
        <v>32.866571188192232</v>
      </c>
      <c r="AG23">
        <f t="shared" si="12"/>
        <v>19</v>
      </c>
      <c r="AH23">
        <f t="shared" si="13"/>
        <v>6.3300595900000118</v>
      </c>
    </row>
    <row r="24" spans="1:34" x14ac:dyDescent="0.3">
      <c r="A24" s="1">
        <v>39447</v>
      </c>
      <c r="B24">
        <v>77.414425530000003</v>
      </c>
      <c r="D24">
        <v>21</v>
      </c>
      <c r="E24">
        <v>2.3043516299999922</v>
      </c>
      <c r="G24">
        <f t="shared" si="10"/>
        <v>20</v>
      </c>
      <c r="H24">
        <f t="shared" si="0"/>
        <v>1.8221894414661892</v>
      </c>
      <c r="I24">
        <f t="shared" si="11"/>
        <v>11.310873025756431</v>
      </c>
      <c r="L24" t="s">
        <v>44</v>
      </c>
      <c r="M24" s="7">
        <f>M18*(1+LN(2*PI()))+M22</f>
        <v>261.93613244670979</v>
      </c>
      <c r="O24" s="3">
        <f t="shared" si="14"/>
        <v>9</v>
      </c>
      <c r="P24" s="3">
        <v>-1.5243852640263594E-3</v>
      </c>
      <c r="Y24">
        <f t="shared" si="3"/>
        <v>20</v>
      </c>
      <c r="Z24">
        <f t="shared" si="4"/>
        <v>1.8221894414661892</v>
      </c>
      <c r="AA24">
        <f t="shared" si="5"/>
        <v>11.310873025756431</v>
      </c>
      <c r="AB24">
        <f t="shared" si="6"/>
        <v>-9.4886835842902411</v>
      </c>
      <c r="AC24">
        <f t="shared" si="7"/>
        <v>10.35926405463978</v>
      </c>
      <c r="AD24">
        <f t="shared" si="8"/>
        <v>-29.792468037724575</v>
      </c>
      <c r="AE24">
        <f t="shared" si="9"/>
        <v>10.815100869144095</v>
      </c>
      <c r="AG24">
        <f t="shared" si="12"/>
        <v>20</v>
      </c>
      <c r="AH24">
        <f t="shared" si="13"/>
        <v>-3.4669919700000023</v>
      </c>
    </row>
    <row r="25" spans="1:34" x14ac:dyDescent="0.3">
      <c r="A25" s="1">
        <v>39813</v>
      </c>
      <c r="B25">
        <v>99.130304100000004</v>
      </c>
      <c r="D25">
        <v>22</v>
      </c>
      <c r="E25">
        <v>10.673117860000005</v>
      </c>
      <c r="G25">
        <f t="shared" si="10"/>
        <v>21</v>
      </c>
      <c r="H25">
        <f t="shared" si="0"/>
        <v>-34.648640348533853</v>
      </c>
      <c r="I25">
        <f t="shared" si="11"/>
        <v>-16.458233373036787</v>
      </c>
      <c r="Y25">
        <f t="shared" si="3"/>
        <v>21</v>
      </c>
      <c r="Z25">
        <f t="shared" si="4"/>
        <v>-34.648640348533853</v>
      </c>
      <c r="AA25">
        <f t="shared" si="5"/>
        <v>-16.458233373036787</v>
      </c>
      <c r="AB25">
        <f t="shared" si="6"/>
        <v>-18.190406975497066</v>
      </c>
      <c r="AC25">
        <f t="shared" si="7"/>
        <v>10.35926405463978</v>
      </c>
      <c r="AD25">
        <f t="shared" si="8"/>
        <v>-38.494191428931401</v>
      </c>
      <c r="AE25">
        <f t="shared" si="9"/>
        <v>2.11337747793727</v>
      </c>
      <c r="AG25">
        <f t="shared" si="12"/>
        <v>21</v>
      </c>
      <c r="AH25">
        <f t="shared" si="13"/>
        <v>2.3043516299999922</v>
      </c>
    </row>
    <row r="26" spans="1:34" x14ac:dyDescent="0.3">
      <c r="A26" s="1">
        <v>40178</v>
      </c>
      <c r="B26">
        <v>106.0146596</v>
      </c>
      <c r="D26">
        <v>23</v>
      </c>
      <c r="E26">
        <v>-14.831523070000003</v>
      </c>
      <c r="G26">
        <f t="shared" si="10"/>
        <v>22</v>
      </c>
      <c r="H26">
        <f t="shared" si="0"/>
        <v>73.863088911466178</v>
      </c>
      <c r="I26">
        <f t="shared" si="11"/>
        <v>34.311490599782601</v>
      </c>
      <c r="Y26">
        <f t="shared" si="3"/>
        <v>22</v>
      </c>
      <c r="Z26">
        <f t="shared" si="4"/>
        <v>73.863088911466178</v>
      </c>
      <c r="AA26">
        <f t="shared" si="5"/>
        <v>34.311490599782601</v>
      </c>
      <c r="AB26">
        <f t="shared" si="6"/>
        <v>39.551598311683577</v>
      </c>
      <c r="AC26">
        <f t="shared" si="7"/>
        <v>10.35926405463978</v>
      </c>
      <c r="AD26">
        <f t="shared" si="8"/>
        <v>19.247813858249241</v>
      </c>
      <c r="AE26">
        <f t="shared" si="9"/>
        <v>59.855382765117909</v>
      </c>
      <c r="AG26">
        <f t="shared" si="12"/>
        <v>22</v>
      </c>
      <c r="AH26">
        <f t="shared" si="13"/>
        <v>10.673117860000005</v>
      </c>
    </row>
    <row r="27" spans="1:34" x14ac:dyDescent="0.3">
      <c r="A27" s="1">
        <v>40543</v>
      </c>
      <c r="B27">
        <v>147.2011732</v>
      </c>
      <c r="D27">
        <v>24</v>
      </c>
      <c r="E27">
        <v>34.3021581</v>
      </c>
      <c r="G27">
        <f t="shared" si="10"/>
        <v>23</v>
      </c>
      <c r="H27">
        <f t="shared" si="0"/>
        <v>-100.00371005853383</v>
      </c>
      <c r="I27">
        <f t="shared" si="11"/>
        <v>-16.882018212912982</v>
      </c>
      <c r="Y27">
        <f t="shared" si="3"/>
        <v>23</v>
      </c>
      <c r="Z27">
        <f t="shared" si="4"/>
        <v>-100.00371005853383</v>
      </c>
      <c r="AA27">
        <f t="shared" si="5"/>
        <v>-16.882018212912982</v>
      </c>
      <c r="AB27">
        <f t="shared" si="6"/>
        <v>-83.121691845620845</v>
      </c>
      <c r="AC27">
        <f t="shared" si="7"/>
        <v>10.35926405463978</v>
      </c>
      <c r="AD27">
        <f t="shared" si="8"/>
        <v>-103.42547629905518</v>
      </c>
      <c r="AE27">
        <f t="shared" si="9"/>
        <v>-62.817907392186513</v>
      </c>
      <c r="AG27">
        <f t="shared" si="12"/>
        <v>23</v>
      </c>
      <c r="AH27">
        <f t="shared" si="13"/>
        <v>-14.831523070000003</v>
      </c>
    </row>
    <row r="28" spans="1:34" x14ac:dyDescent="0.3">
      <c r="A28" s="1">
        <v>40908</v>
      </c>
      <c r="B28">
        <v>172.59504920000001</v>
      </c>
      <c r="D28">
        <v>25</v>
      </c>
      <c r="E28">
        <v>-15.792637599999992</v>
      </c>
      <c r="G28">
        <f t="shared" si="10"/>
        <v>24</v>
      </c>
      <c r="H28">
        <f t="shared" si="0"/>
        <v>62.713936011466146</v>
      </c>
      <c r="I28">
        <f t="shared" si="11"/>
        <v>-4.2138103258173061</v>
      </c>
      <c r="Y28">
        <f t="shared" si="3"/>
        <v>24</v>
      </c>
      <c r="Z28">
        <f t="shared" si="4"/>
        <v>62.713936011466146</v>
      </c>
      <c r="AA28">
        <f t="shared" si="5"/>
        <v>-4.2138103258173061</v>
      </c>
      <c r="AB28">
        <f t="shared" si="6"/>
        <v>66.927746337283452</v>
      </c>
      <c r="AC28">
        <f t="shared" si="7"/>
        <v>10.35926405463978</v>
      </c>
      <c r="AD28">
        <f t="shared" si="8"/>
        <v>46.62396188384912</v>
      </c>
      <c r="AE28">
        <f t="shared" si="9"/>
        <v>87.231530790717784</v>
      </c>
      <c r="AG28">
        <f t="shared" si="12"/>
        <v>24</v>
      </c>
      <c r="AH28">
        <f t="shared" si="13"/>
        <v>34.3021581</v>
      </c>
    </row>
    <row r="29" spans="1:34" x14ac:dyDescent="0.3">
      <c r="A29" s="1">
        <v>41274</v>
      </c>
      <c r="B29">
        <v>195.59066110000001</v>
      </c>
      <c r="D29">
        <v>26</v>
      </c>
      <c r="E29">
        <v>-2.3982641000000058</v>
      </c>
      <c r="G29">
        <f t="shared" si="10"/>
        <v>25</v>
      </c>
      <c r="H29">
        <f t="shared" si="0"/>
        <v>-16.648803888533802</v>
      </c>
      <c r="I29">
        <f t="shared" si="11"/>
        <v>2.4946280678261985</v>
      </c>
      <c r="Y29">
        <f t="shared" si="3"/>
        <v>25</v>
      </c>
      <c r="Z29">
        <f t="shared" si="4"/>
        <v>-16.648803888533802</v>
      </c>
      <c r="AA29">
        <f t="shared" si="5"/>
        <v>2.4946280678261985</v>
      </c>
      <c r="AB29">
        <f t="shared" si="6"/>
        <v>-19.143431956360001</v>
      </c>
      <c r="AC29">
        <f t="shared" si="7"/>
        <v>10.35926405463978</v>
      </c>
      <c r="AD29">
        <f t="shared" si="8"/>
        <v>-39.447216409794336</v>
      </c>
      <c r="AE29">
        <f t="shared" si="9"/>
        <v>1.1603524970743351</v>
      </c>
      <c r="AG29">
        <f t="shared" si="12"/>
        <v>25</v>
      </c>
      <c r="AH29">
        <f t="shared" si="13"/>
        <v>-15.792637599999992</v>
      </c>
    </row>
    <row r="30" spans="1:34" x14ac:dyDescent="0.3">
      <c r="A30" s="1">
        <v>41639</v>
      </c>
      <c r="B30">
        <v>213.70881170000001</v>
      </c>
      <c r="D30">
        <v>27</v>
      </c>
      <c r="E30">
        <v>-4.8774612999999931</v>
      </c>
      <c r="G30">
        <f t="shared" si="10"/>
        <v>26</v>
      </c>
      <c r="H30">
        <f t="shared" si="0"/>
        <v>8.2059326114661282</v>
      </c>
      <c r="I30">
        <f t="shared" si="11"/>
        <v>5.2461278341503537</v>
      </c>
      <c r="Y30">
        <f t="shared" si="3"/>
        <v>26</v>
      </c>
      <c r="Z30">
        <f t="shared" si="4"/>
        <v>8.2059326114661282</v>
      </c>
      <c r="AA30">
        <f t="shared" si="5"/>
        <v>5.2461278341503537</v>
      </c>
      <c r="AB30">
        <f t="shared" si="6"/>
        <v>2.9598047773157745</v>
      </c>
      <c r="AC30">
        <f t="shared" si="7"/>
        <v>10.35926405463978</v>
      </c>
      <c r="AD30">
        <f t="shared" si="8"/>
        <v>-17.343979676118561</v>
      </c>
      <c r="AE30">
        <f t="shared" si="9"/>
        <v>23.26358923075011</v>
      </c>
      <c r="AG30">
        <f t="shared" si="12"/>
        <v>26</v>
      </c>
      <c r="AH30">
        <f t="shared" si="13"/>
        <v>-2.3982641000000058</v>
      </c>
    </row>
    <row r="31" spans="1:34" x14ac:dyDescent="0.3">
      <c r="A31" s="1">
        <v>42004</v>
      </c>
      <c r="B31">
        <v>233.4514696</v>
      </c>
      <c r="D31">
        <v>28</v>
      </c>
      <c r="E31">
        <v>1.6245072999999763</v>
      </c>
      <c r="G31">
        <f t="shared" si="10"/>
        <v>27</v>
      </c>
      <c r="H31">
        <f t="shared" si="0"/>
        <v>-22.837508188533743</v>
      </c>
      <c r="I31">
        <f t="shared" si="11"/>
        <v>-11.390873566185473</v>
      </c>
      <c r="Y31">
        <f t="shared" si="3"/>
        <v>27</v>
      </c>
      <c r="Z31">
        <f t="shared" si="4"/>
        <v>-22.837508188533743</v>
      </c>
      <c r="AA31">
        <f t="shared" si="5"/>
        <v>-11.390873566185473</v>
      </c>
      <c r="AB31">
        <f t="shared" si="6"/>
        <v>-11.44663462234827</v>
      </c>
      <c r="AC31">
        <f t="shared" si="7"/>
        <v>10.35926405463978</v>
      </c>
      <c r="AD31">
        <f t="shared" si="8"/>
        <v>-31.750419075782606</v>
      </c>
      <c r="AE31">
        <f t="shared" si="9"/>
        <v>8.8571498310860655</v>
      </c>
      <c r="AG31">
        <f t="shared" si="12"/>
        <v>27</v>
      </c>
      <c r="AH31">
        <f t="shared" si="13"/>
        <v>-4.8774612999999931</v>
      </c>
    </row>
    <row r="32" spans="1:34" x14ac:dyDescent="0.3">
      <c r="A32" s="1">
        <v>42369</v>
      </c>
      <c r="B32">
        <v>239.25832840000001</v>
      </c>
      <c r="D32">
        <v>29</v>
      </c>
      <c r="E32">
        <v>-13.935799099999969</v>
      </c>
      <c r="G32">
        <f t="shared" si="10"/>
        <v>28</v>
      </c>
      <c r="H32">
        <f t="shared" si="0"/>
        <v>40.751686311466045</v>
      </c>
      <c r="I32">
        <f t="shared" si="11"/>
        <v>13.845101232777857</v>
      </c>
      <c r="Y32">
        <f t="shared" si="3"/>
        <v>28</v>
      </c>
      <c r="Z32">
        <f t="shared" si="4"/>
        <v>40.751686311466045</v>
      </c>
      <c r="AA32">
        <f t="shared" si="5"/>
        <v>13.845101232777857</v>
      </c>
      <c r="AB32">
        <f t="shared" si="6"/>
        <v>26.906585078688188</v>
      </c>
      <c r="AC32">
        <f t="shared" si="7"/>
        <v>10.35926405463978</v>
      </c>
      <c r="AD32">
        <f t="shared" si="8"/>
        <v>6.6028006252538525</v>
      </c>
      <c r="AE32">
        <f t="shared" si="9"/>
        <v>47.210369532122527</v>
      </c>
      <c r="AG32">
        <f t="shared" si="12"/>
        <v>28</v>
      </c>
      <c r="AH32">
        <f t="shared" si="13"/>
        <v>1.6245072999999763</v>
      </c>
    </row>
    <row r="33" spans="1:34" x14ac:dyDescent="0.3">
      <c r="A33" s="1">
        <v>42735</v>
      </c>
      <c r="B33">
        <v>257.09600119999999</v>
      </c>
      <c r="D33">
        <v>30</v>
      </c>
      <c r="E33">
        <v>12.030813999999964</v>
      </c>
      <c r="G33">
        <f t="shared" si="10"/>
        <v>29</v>
      </c>
      <c r="H33">
        <f t="shared" si="0"/>
        <v>-32.352728288533683</v>
      </c>
      <c r="I33">
        <f t="shared" si="11"/>
        <v>5.6639274438118505</v>
      </c>
      <c r="Y33">
        <f t="shared" si="3"/>
        <v>29</v>
      </c>
      <c r="Z33">
        <f t="shared" si="4"/>
        <v>-32.352728288533683</v>
      </c>
      <c r="AA33">
        <f t="shared" si="5"/>
        <v>5.6639274438118505</v>
      </c>
      <c r="AB33">
        <f t="shared" si="6"/>
        <v>-38.016655732345534</v>
      </c>
      <c r="AC33">
        <f t="shared" si="7"/>
        <v>10.35926405463978</v>
      </c>
      <c r="AD33">
        <f t="shared" si="8"/>
        <v>-58.320440185779873</v>
      </c>
      <c r="AE33">
        <f t="shared" si="9"/>
        <v>-17.712871278911198</v>
      </c>
      <c r="AG33">
        <f t="shared" si="12"/>
        <v>29</v>
      </c>
      <c r="AH33">
        <f t="shared" si="13"/>
        <v>-13.935799099999969</v>
      </c>
    </row>
    <row r="34" spans="1:34" x14ac:dyDescent="0.3">
      <c r="A34" s="1">
        <v>43100</v>
      </c>
      <c r="B34">
        <v>281.35360600000001</v>
      </c>
      <c r="D34">
        <v>31</v>
      </c>
      <c r="E34">
        <v>6.4199320000000455</v>
      </c>
      <c r="G34">
        <f t="shared" si="10"/>
        <v>30</v>
      </c>
      <c r="H34">
        <f t="shared" si="0"/>
        <v>2.9109844114660208</v>
      </c>
      <c r="I34">
        <f t="shared" si="11"/>
        <v>-1.5817002118578252</v>
      </c>
      <c r="Y34">
        <f t="shared" si="3"/>
        <v>30</v>
      </c>
      <c r="Z34">
        <f t="shared" si="4"/>
        <v>2.9109844114660208</v>
      </c>
      <c r="AA34">
        <f t="shared" si="5"/>
        <v>-1.5817002118578252</v>
      </c>
      <c r="AB34">
        <f t="shared" si="6"/>
        <v>4.4926846233238464</v>
      </c>
      <c r="AC34">
        <f t="shared" si="7"/>
        <v>10.35926405463978</v>
      </c>
      <c r="AD34">
        <f t="shared" si="8"/>
        <v>-15.811099830110489</v>
      </c>
      <c r="AE34">
        <f t="shared" si="9"/>
        <v>24.796469076758182</v>
      </c>
      <c r="AG34">
        <f t="shared" si="12"/>
        <v>30</v>
      </c>
      <c r="AH34">
        <f t="shared" si="13"/>
        <v>12.030813999999964</v>
      </c>
    </row>
    <row r="35" spans="1:34" x14ac:dyDescent="0.3">
      <c r="A35" s="1">
        <v>43465</v>
      </c>
      <c r="B35">
        <v>310.10647840000001</v>
      </c>
      <c r="D35">
        <v>32</v>
      </c>
      <c r="E35">
        <v>4.4952675999999769</v>
      </c>
      <c r="G35">
        <f t="shared" si="10"/>
        <v>31</v>
      </c>
      <c r="H35">
        <f t="shared" si="0"/>
        <v>-7.8399166885337452</v>
      </c>
      <c r="I35">
        <f t="shared" si="11"/>
        <v>-9.089205352581029</v>
      </c>
      <c r="Y35">
        <f t="shared" si="3"/>
        <v>31</v>
      </c>
      <c r="Z35">
        <f t="shared" si="4"/>
        <v>-7.8399166885337452</v>
      </c>
      <c r="AA35">
        <f t="shared" si="5"/>
        <v>-9.089205352581029</v>
      </c>
      <c r="AB35">
        <f t="shared" si="6"/>
        <v>1.2492886640472838</v>
      </c>
      <c r="AC35">
        <f t="shared" si="7"/>
        <v>10.35926405463978</v>
      </c>
      <c r="AD35">
        <f t="shared" si="8"/>
        <v>-19.054495789387051</v>
      </c>
      <c r="AE35">
        <f t="shared" si="9"/>
        <v>21.55307311748162</v>
      </c>
      <c r="AG35">
        <f t="shared" si="12"/>
        <v>31</v>
      </c>
      <c r="AH35">
        <f t="shared" si="13"/>
        <v>6.4199320000000455</v>
      </c>
    </row>
    <row r="36" spans="1:34" x14ac:dyDescent="0.3">
      <c r="A36" s="1">
        <v>43830</v>
      </c>
      <c r="B36">
        <v>334.36527050000001</v>
      </c>
      <c r="D36">
        <v>33</v>
      </c>
      <c r="E36">
        <v>-4.4940803000000074</v>
      </c>
      <c r="G36">
        <f t="shared" si="10"/>
        <v>32</v>
      </c>
      <c r="H36">
        <f t="shared" si="0"/>
        <v>0.69987091146618086</v>
      </c>
      <c r="I36">
        <f t="shared" si="11"/>
        <v>-16.524484137324837</v>
      </c>
      <c r="Y36">
        <f t="shared" si="3"/>
        <v>32</v>
      </c>
      <c r="Z36">
        <f t="shared" si="4"/>
        <v>0.69987091146618086</v>
      </c>
      <c r="AA36">
        <f t="shared" si="5"/>
        <v>-16.524484137324837</v>
      </c>
      <c r="AB36">
        <f t="shared" si="6"/>
        <v>17.224355048791018</v>
      </c>
      <c r="AC36">
        <f t="shared" si="7"/>
        <v>10.35926405463978</v>
      </c>
      <c r="AD36">
        <f t="shared" si="8"/>
        <v>-3.0794294046433173</v>
      </c>
      <c r="AE36">
        <f t="shared" si="9"/>
        <v>37.528139502225358</v>
      </c>
      <c r="AG36">
        <f t="shared" si="12"/>
        <v>32</v>
      </c>
      <c r="AH36">
        <f t="shared" si="13"/>
        <v>4.4952675999999769</v>
      </c>
    </row>
    <row r="37" spans="1:34" x14ac:dyDescent="0.3">
      <c r="A37" s="1">
        <v>44196</v>
      </c>
      <c r="B37">
        <v>346.61573850000002</v>
      </c>
      <c r="D37">
        <v>34</v>
      </c>
      <c r="E37">
        <v>-12.008324099999982</v>
      </c>
      <c r="G37">
        <f t="shared" si="10"/>
        <v>33</v>
      </c>
      <c r="H37">
        <f t="shared" si="0"/>
        <v>26.018697311466102</v>
      </c>
      <c r="I37">
        <f t="shared" si="11"/>
        <v>0.81829297812658908</v>
      </c>
      <c r="Y37">
        <f t="shared" si="3"/>
        <v>33</v>
      </c>
      <c r="Z37">
        <f t="shared" si="4"/>
        <v>26.018697311466102</v>
      </c>
      <c r="AA37">
        <f t="shared" si="5"/>
        <v>0.81829297812658908</v>
      </c>
      <c r="AB37">
        <f t="shared" si="6"/>
        <v>25.200404333339513</v>
      </c>
      <c r="AC37">
        <f t="shared" si="7"/>
        <v>10.35926405463978</v>
      </c>
      <c r="AD37">
        <f t="shared" si="8"/>
        <v>4.8966198799051774</v>
      </c>
      <c r="AE37">
        <f t="shared" si="9"/>
        <v>45.504188786773852</v>
      </c>
      <c r="AG37">
        <f t="shared" si="12"/>
        <v>33</v>
      </c>
      <c r="AH37">
        <f t="shared" si="13"/>
        <v>-4.4940803000000074</v>
      </c>
    </row>
    <row r="38" spans="1:34" x14ac:dyDescent="0.3">
      <c r="A38" s="1">
        <v>44561</v>
      </c>
      <c r="B38">
        <v>366.13756910000001</v>
      </c>
      <c r="D38">
        <v>35</v>
      </c>
      <c r="E38">
        <v>7.2713625999999749</v>
      </c>
      <c r="G38" s="3">
        <f t="shared" si="10"/>
        <v>34</v>
      </c>
      <c r="H38" s="3">
        <f t="shared" si="0"/>
        <v>-4.1833032885337476</v>
      </c>
      <c r="I38" s="3">
        <f t="shared" si="11"/>
        <v>7.7173738209260954</v>
      </c>
      <c r="Y38">
        <f t="shared" si="3"/>
        <v>34</v>
      </c>
      <c r="Z38">
        <f t="shared" si="4"/>
        <v>-4.1833032885337476</v>
      </c>
      <c r="AA38">
        <f t="shared" si="5"/>
        <v>7.7173738209260954</v>
      </c>
      <c r="AB38">
        <f t="shared" si="6"/>
        <v>-11.900677109459842</v>
      </c>
      <c r="AC38">
        <f t="shared" si="7"/>
        <v>10.35926405463978</v>
      </c>
      <c r="AD38">
        <f t="shared" si="8"/>
        <v>-32.204461562894181</v>
      </c>
      <c r="AE38">
        <f t="shared" si="9"/>
        <v>8.4031073439744937</v>
      </c>
      <c r="AG38">
        <f t="shared" si="12"/>
        <v>34</v>
      </c>
      <c r="AH38">
        <f t="shared" si="13"/>
        <v>-12.008324099999982</v>
      </c>
    </row>
    <row r="39" spans="1:34" x14ac:dyDescent="0.3">
      <c r="A39" s="1">
        <v>44926</v>
      </c>
      <c r="B39">
        <v>408.80237890000001</v>
      </c>
      <c r="D39">
        <v>36</v>
      </c>
      <c r="E39">
        <v>23.142979200000013</v>
      </c>
      <c r="Y39">
        <f>Y38+1</f>
        <v>35</v>
      </c>
      <c r="AB39">
        <f>SUMPRODUCT(Z38,L$5)+SUMPRODUCT(AA38,M$5)</f>
        <v>-10.1924278483403</v>
      </c>
      <c r="AC39">
        <f>M$15*SQRT(SUMSQ(P$15:P15))</f>
        <v>10.35926405463978</v>
      </c>
      <c r="AD39">
        <f>AB39-_xlfn.NORM.S.INV(1-AC$3/2)*AC39</f>
        <v>-30.496212301774634</v>
      </c>
      <c r="AE39">
        <f>AB39+_xlfn.NORM.S.INV(1-AC$3/2)*AC39</f>
        <v>10.111356605094036</v>
      </c>
      <c r="AG39">
        <f t="shared" si="12"/>
        <v>35</v>
      </c>
      <c r="AH39">
        <f t="shared" si="13"/>
        <v>7.2713625999999749</v>
      </c>
    </row>
    <row r="40" spans="1:34" x14ac:dyDescent="0.3">
      <c r="Y40">
        <f t="shared" ref="Y40:Y48" si="15">Y39+1</f>
        <v>36</v>
      </c>
      <c r="AB40">
        <f>SUMPRODUCT(AB39,L5)</f>
        <v>4.1675020100027105</v>
      </c>
      <c r="AC40">
        <f>M$15*SQRT(SUMSQ(P$15:P16))</f>
        <v>22.713296035055023</v>
      </c>
      <c r="AD40">
        <f t="shared" ref="AD40:AD48" si="16">AB40-_xlfn.NORM.S.INV(1-AC$3/2)*AC40</f>
        <v>-40.349740188901535</v>
      </c>
      <c r="AE40">
        <f t="shared" ref="AE40:AE48" si="17">AB40+_xlfn.NORM.S.INV(1-AC$3/2)*AC40</f>
        <v>48.684744208906949</v>
      </c>
      <c r="AG40" s="3">
        <f t="shared" si="12"/>
        <v>36</v>
      </c>
      <c r="AH40" s="3">
        <f t="shared" si="13"/>
        <v>23.142979200000013</v>
      </c>
    </row>
    <row r="41" spans="1:34" x14ac:dyDescent="0.3">
      <c r="Y41">
        <f t="shared" si="15"/>
        <v>37</v>
      </c>
      <c r="AB41">
        <f>SUMPRODUCT(AB40,L5)</f>
        <v>-1.7040172627962031</v>
      </c>
      <c r="AC41">
        <f>M$15*SQRT(SUMSQ(P$15:P17))</f>
        <v>24.170271467793143</v>
      </c>
      <c r="AD41">
        <f t="shared" si="16"/>
        <v>-49.076878836226825</v>
      </c>
      <c r="AE41">
        <f t="shared" si="17"/>
        <v>45.668844310634412</v>
      </c>
      <c r="AG41">
        <f t="shared" si="12"/>
        <v>37</v>
      </c>
      <c r="AH41">
        <f>AB39+2*AH40-AH39+M$6</f>
        <v>29.597401140193579</v>
      </c>
    </row>
    <row r="42" spans="1:34" x14ac:dyDescent="0.3">
      <c r="Y42">
        <f t="shared" si="15"/>
        <v>38</v>
      </c>
      <c r="AB42">
        <f>SUMPRODUCT(AB41,L5)</f>
        <v>0.6967422750938459</v>
      </c>
      <c r="AC42">
        <f>M$15*SQRT(SUMSQ(P$15:P18))</f>
        <v>24.405370410532282</v>
      </c>
      <c r="AD42">
        <f t="shared" si="16"/>
        <v>-47.136904758908926</v>
      </c>
      <c r="AE42">
        <f t="shared" si="17"/>
        <v>48.53038930909662</v>
      </c>
      <c r="AG42">
        <f t="shared" si="12"/>
        <v>38</v>
      </c>
      <c r="AH42">
        <f t="shared" ref="AH42:AH50" si="18">AB40+2*AH41-AH40+M$6</f>
        <v>40.994558278923691</v>
      </c>
    </row>
    <row r="43" spans="1:34" x14ac:dyDescent="0.3">
      <c r="Y43">
        <f t="shared" si="15"/>
        <v>39</v>
      </c>
      <c r="AB43">
        <f>SUMPRODUCT(AB42,L5)</f>
        <v>-0.28488549294761883</v>
      </c>
      <c r="AC43">
        <f>M$15*SQRT(SUMSQ(P$15:P19))</f>
        <v>24.444454730048502</v>
      </c>
      <c r="AD43">
        <f t="shared" si="16"/>
        <v>-48.195136385562435</v>
      </c>
      <c r="AE43">
        <f t="shared" si="17"/>
        <v>47.625365399667203</v>
      </c>
      <c r="AG43">
        <f t="shared" si="12"/>
        <v>39</v>
      </c>
      <c r="AH43">
        <f t="shared" si="18"/>
        <v>51.462931343391432</v>
      </c>
    </row>
    <row r="44" spans="1:34" x14ac:dyDescent="0.3">
      <c r="Y44">
        <f t="shared" si="15"/>
        <v>40</v>
      </c>
      <c r="AB44">
        <f>SUMPRODUCT(AB43,L5)</f>
        <v>0.11648459838478464</v>
      </c>
      <c r="AC44">
        <f>M$15*SQRT(SUMSQ(P$15:P20))</f>
        <v>24.450982931910453</v>
      </c>
      <c r="AD44">
        <f t="shared" si="16"/>
        <v>-47.806561334763266</v>
      </c>
      <c r="AE44">
        <f t="shared" si="17"/>
        <v>48.03953053153284</v>
      </c>
      <c r="AG44">
        <f t="shared" si="12"/>
        <v>40</v>
      </c>
      <c r="AH44">
        <f t="shared" si="18"/>
        <v>63.403279871486845</v>
      </c>
    </row>
    <row r="45" spans="1:34" x14ac:dyDescent="0.3">
      <c r="Y45">
        <f t="shared" si="15"/>
        <v>41</v>
      </c>
      <c r="AB45">
        <f>SUMPRODUCT(AB44,L5)</f>
        <v>-4.7628475288348245E-2</v>
      </c>
      <c r="AC45">
        <f>M$15*SQRT(SUMSQ(P$15:P21))</f>
        <v>24.452074176862883</v>
      </c>
      <c r="AD45">
        <f t="shared" si="16"/>
        <v>-47.97281320924148</v>
      </c>
      <c r="AE45">
        <f t="shared" si="17"/>
        <v>47.877556258664782</v>
      </c>
      <c r="AG45">
        <f t="shared" si="12"/>
        <v>41</v>
      </c>
      <c r="AH45">
        <f t="shared" si="18"/>
        <v>75.833976095168467</v>
      </c>
    </row>
    <row r="46" spans="1:34" x14ac:dyDescent="0.3">
      <c r="Y46">
        <f t="shared" si="15"/>
        <v>42</v>
      </c>
      <c r="AB46">
        <f>SUMPRODUCT(AB45,L5)</f>
        <v>1.9474434300741944E-2</v>
      </c>
      <c r="AC46">
        <f>M$15*SQRT(SUMSQ(P$15:P22))</f>
        <v>24.452256611493294</v>
      </c>
      <c r="AD46">
        <f t="shared" si="16"/>
        <v>-47.906067864957528</v>
      </c>
      <c r="AE46">
        <f t="shared" si="17"/>
        <v>47.945016733559008</v>
      </c>
      <c r="AG46">
        <f t="shared" si="12"/>
        <v>42</v>
      </c>
      <c r="AH46">
        <f t="shared" si="18"/>
        <v>89.156390105768693</v>
      </c>
    </row>
    <row r="47" spans="1:34" x14ac:dyDescent="0.3">
      <c r="Y47">
        <f t="shared" si="15"/>
        <v>43</v>
      </c>
      <c r="AB47">
        <f>SUMPRODUCT(AB46,L5)</f>
        <v>-7.9627489445729602E-3</v>
      </c>
      <c r="AC47">
        <f>M$15*SQRT(SUMSQ(P$15:P23))</f>
        <v>24.452287111626394</v>
      </c>
      <c r="AD47">
        <f t="shared" si="16"/>
        <v>-47.933564827365238</v>
      </c>
      <c r="AE47">
        <f t="shared" si="17"/>
        <v>47.917639329476096</v>
      </c>
      <c r="AG47">
        <f t="shared" si="12"/>
        <v>43</v>
      </c>
      <c r="AH47">
        <f t="shared" si="18"/>
        <v>103.2064088296144</v>
      </c>
    </row>
    <row r="48" spans="1:34" x14ac:dyDescent="0.3">
      <c r="Y48" s="3">
        <f t="shared" si="15"/>
        <v>44</v>
      </c>
      <c r="Z48" s="3"/>
      <c r="AA48" s="3"/>
      <c r="AB48" s="3">
        <f>SUMPRODUCT(AB47,L5)</f>
        <v>3.25582606278233E-3</v>
      </c>
      <c r="AC48" s="3">
        <f>M$15*SQRT(SUMSQ(P$15:P24))</f>
        <v>24.452292210776104</v>
      </c>
      <c r="AD48" s="3">
        <f t="shared" si="16"/>
        <v>-47.922356246507668</v>
      </c>
      <c r="AE48" s="3">
        <f t="shared" si="17"/>
        <v>47.928867898633236</v>
      </c>
      <c r="AG48">
        <f t="shared" si="12"/>
        <v>44</v>
      </c>
      <c r="AH48">
        <f t="shared" si="18"/>
        <v>118.05113517629469</v>
      </c>
    </row>
    <row r="49" spans="33:34" x14ac:dyDescent="0.3">
      <c r="AG49">
        <f t="shared" si="12"/>
        <v>45</v>
      </c>
      <c r="AH49">
        <f t="shared" si="18"/>
        <v>133.66313196256425</v>
      </c>
    </row>
    <row r="50" spans="33:34" x14ac:dyDescent="0.3">
      <c r="AG50" s="3">
        <f t="shared" si="12"/>
        <v>46</v>
      </c>
      <c r="AH50" s="3">
        <f t="shared" si="18"/>
        <v>150.05361776343045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Anh Duy</dc:creator>
  <cp:lastModifiedBy>Lê Anh Duy</cp:lastModifiedBy>
  <dcterms:created xsi:type="dcterms:W3CDTF">2024-04-29T10:14:59Z</dcterms:created>
  <dcterms:modified xsi:type="dcterms:W3CDTF">2024-04-30T09:40:42Z</dcterms:modified>
</cp:coreProperties>
</file>