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spiral\VNM\Website\VNMApi\wwwroot\export\template_VNM\"/>
    </mc:Choice>
  </mc:AlternateContent>
  <xr:revisionPtr revIDLastSave="0" documentId="13_ncr:1_{41909C50-1146-439C-8AA3-A1FDF3607B69}" xr6:coauthVersionLast="46" xr6:coauthVersionMax="46" xr10:uidLastSave="{00000000-0000-0000-0000-000000000000}"/>
  <bookViews>
    <workbookView xWindow="-23148" yWindow="-108" windowWidth="23256" windowHeight="12576" xr2:uid="{6838CA98-FC55-4F27-937D-A48003AF0AE7}"/>
  </bookViews>
  <sheets>
    <sheet name="Dữ liệu" sheetId="1" r:id="rId1"/>
  </sheets>
  <calcPr calcId="191029" refMode="R1C1" fullCalcOn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<sst xmlns="http://schemas.openxmlformats.org/spreadsheetml/2006/main" count="15320" uniqueCount="15320">
  <si>
    <t>BÁO CÁO CHẤM CÔNG</t>
  </si>
  <si>
    <t>Từ ngày: 2021-05-13 - Đến ngày: 2021-05-13</t>
  </si>
  <si>
    <t>Thông tin Cửa hàng</t>
  </si>
  <si>
    <t>Thông tin Nhân viên</t>
  </si>
  <si>
    <t>Thông tin Chấm công</t>
  </si>
  <si>
    <t>STT</t>
  </si>
  <si>
    <t>Tên vùng</t>
  </si>
  <si>
    <t>Tên tỉnh</t>
  </si>
  <si>
    <t>Hệ thống</t>
  </si>
  <si>
    <t>Kênh</t>
  </si>
  <si>
    <t>NPP</t>
  </si>
  <si>
    <t>Loại CH</t>
  </si>
  <si>
    <t>Mã cửa hàng</t>
  </si>
  <si>
    <t>Tên cửa hàng</t>
  </si>
  <si>
    <t>Địa chỉ cửa hàng</t>
  </si>
  <si>
    <t>Mã GS</t>
  </si>
  <si>
    <t>Tên GS</t>
  </si>
  <si>
    <t>Mã Leader</t>
  </si>
  <si>
    <t>Tên Leader</t>
  </si>
  <si>
    <t>Loại nhân viên</t>
  </si>
  <si>
    <t xml:space="preserve">Mã nhân viên </t>
  </si>
  <si>
    <t xml:space="preserve">Tên nhân viên </t>
  </si>
  <si>
    <t>Ngày</t>
  </si>
  <si>
    <t>Ca làm việc</t>
  </si>
  <si>
    <t>Time IN</t>
  </si>
  <si>
    <t>Time OUT</t>
  </si>
  <si>
    <t>Total Time</t>
  </si>
  <si>
    <t>Tọa độ IN</t>
  </si>
  <si>
    <t>Tọa độ OUT</t>
  </si>
  <si>
    <t>Tọa độ shop</t>
  </si>
  <si>
    <t>Khoảng cách check IN (m)</t>
  </si>
  <si>
    <t>Khoảng cách check OUT (m)</t>
  </si>
  <si>
    <t>Ghi chú</t>
  </si>
  <si>
    <t>MH00</t>
  </si>
  <si>
    <t>Nam Dinh</t>
  </si>
  <si>
    <t/>
  </si>
  <si>
    <t>AL</t>
  </si>
  <si>
    <t>TT10071034</t>
  </si>
  <si>
    <t>Hồng Huệ</t>
  </si>
  <si>
    <t>321, Hoàng Văn Thụ, P.Bà Triệu, TP.Nam Định, Nam Định</t>
  </si>
  <si>
    <t>MANAGER_ALPHA</t>
  </si>
  <si>
    <t>Quản lý PG Alpha</t>
  </si>
  <si>
    <t>AL-03F-1001</t>
  </si>
  <si>
    <t>VŨ THỊ THU HÀ</t>
  </si>
  <si>
    <t>PG Alpha</t>
  </si>
  <si>
    <t>AL-04F-1007</t>
  </si>
  <si>
    <t>Đỗ Thị Thu Huyền</t>
  </si>
  <si>
    <t>17h30 - 21h30</t>
  </si>
  <si>
    <t>20.4299430847, 106.1740798950</t>
  </si>
  <si>
    <t>MT02</t>
  </si>
  <si>
    <t>Phu Yen</t>
  </si>
  <si>
    <t>Hoàng Phương</t>
  </si>
  <si>
    <t>HP20021341</t>
  </si>
  <si>
    <t>Hiệp Hội 3</t>
  </si>
  <si>
    <t>Phú Yên</t>
  </si>
  <si>
    <t>AL-05G-2002</t>
  </si>
  <si>
    <t>Võ Thị Tường Vân</t>
  </si>
  <si>
    <t>AL-08C-2037</t>
  </si>
  <si>
    <t>Lê Thị Kim Ngân</t>
  </si>
  <si>
    <t>13h00 - 17h00</t>
  </si>
  <si>
    <t>13.1121406555, 109.2979431152</t>
  </si>
  <si>
    <t>MY00</t>
  </si>
  <si>
    <t>Tien Giang</t>
  </si>
  <si>
    <t>GH500111WF</t>
  </si>
  <si>
    <t>Gia Hoàng Shop</t>
  </si>
  <si>
    <t>Thửa đất 504, ấp Lăng Hoàng Gia, X.Long Hưng, TX.Gò Công, Tiền Giang</t>
  </si>
  <si>
    <t>AL-05F-4001</t>
  </si>
  <si>
    <t>ĐẶNG QUỐC HẢO</t>
  </si>
  <si>
    <t>AL-03G-4012</t>
  </si>
  <si>
    <t>Trần Thị Kiều Oanh</t>
  </si>
  <si>
    <t>08h00 - 17h00</t>
  </si>
  <si>
    <t>10.3795146942, 106.6797409058</t>
  </si>
  <si>
    <t>10.3795232773, 106.6797485352</t>
  </si>
  <si>
    <t>Ha Nam</t>
  </si>
  <si>
    <t>MT</t>
  </si>
  <si>
    <t>LC1008.24955</t>
  </si>
  <si>
    <t>Lan Chi Thị Trấn Đồng Văn</t>
  </si>
  <si>
    <t>Thị Trấn Đồng Văn,Huyện Duy Tiên,Tỉnh Hà Nam</t>
  </si>
  <si>
    <t>GSMT020</t>
  </si>
  <si>
    <t>TRƯƠNG HOÀI THANH</t>
  </si>
  <si>
    <t>ST-04A-1051</t>
  </si>
  <si>
    <t>Trần Thị Thanh Xuân</t>
  </si>
  <si>
    <t>PG (M)</t>
  </si>
  <si>
    <t>ST-04A-1072</t>
  </si>
  <si>
    <t>Nguyễn Trung Hưng</t>
  </si>
  <si>
    <t>20.6442642212, 105.9251174927</t>
  </si>
  <si>
    <t>20.6444149017, 105.9253845215</t>
  </si>
  <si>
    <t>MN00</t>
  </si>
  <si>
    <t>Ho Chi Minh City</t>
  </si>
  <si>
    <t>Coop</t>
  </si>
  <si>
    <t>Supermarket</t>
  </si>
  <si>
    <t>CO4029.5078</t>
  </si>
  <si>
    <t>CM XA LO HA NOI</t>
  </si>
  <si>
    <t xml:space="preserve">Số 191 Quang Trung, P Hiệp Phú, TP  Thủ Đức, TP  Hồ Chí Minh</t>
  </si>
  <si>
    <t>TV001</t>
  </si>
  <si>
    <t>Trương Tú Anh</t>
  </si>
  <si>
    <t>GSMT033</t>
  </si>
  <si>
    <t>Nguyễn Anh Dũng</t>
  </si>
  <si>
    <t>TeamLeader</t>
  </si>
  <si>
    <t>ST-04A-3140</t>
  </si>
  <si>
    <t>Lê Thị Thu Oanh</t>
  </si>
  <si>
    <t>10.8838539124, 106.6493377686</t>
  </si>
  <si>
    <t>10.8838329315, 106.6493453979</t>
  </si>
  <si>
    <t>MD00</t>
  </si>
  <si>
    <t>Binh Duong</t>
  </si>
  <si>
    <t>DP30071086</t>
  </si>
  <si>
    <t>Kim Cương</t>
  </si>
  <si>
    <t>52, Chợ Dĩ An 1, Dĩ An, Dĩ An, Bình Dương</t>
  </si>
  <si>
    <t>AL-04A-3184</t>
  </si>
  <si>
    <t>PHẠM THỊ THÚY NGA</t>
  </si>
  <si>
    <t>AL-04B-3002</t>
  </si>
  <si>
    <t>Lê Thị Thúy Liễu</t>
  </si>
  <si>
    <t>14h00 - 17h00</t>
  </si>
  <si>
    <t>10.9067087173, 106.7704925537</t>
  </si>
  <si>
    <t>10.9066982269, 106.7704925537</t>
  </si>
  <si>
    <t>Coop food</t>
  </si>
  <si>
    <t>Minimart</t>
  </si>
  <si>
    <t>CF4001.4977</t>
  </si>
  <si>
    <t>CF BACH DANG</t>
  </si>
  <si>
    <t>138 Bạch Đằng,Phường 02,Quận Tân Bình,Tp HCM</t>
  </si>
  <si>
    <t>GSMT028</t>
  </si>
  <si>
    <t>Trần Thế Chương</t>
  </si>
  <si>
    <t>ST-04A-3133</t>
  </si>
  <si>
    <t>Nguyễn Thùy Linh</t>
  </si>
  <si>
    <t>ST-01B-3003</t>
  </si>
  <si>
    <t>Trần Thế Đức</t>
  </si>
  <si>
    <t>10.8153953552, 106.6754989624</t>
  </si>
  <si>
    <t>10.8152627945, 106.6757431030</t>
  </si>
  <si>
    <t>GH5001101Z</t>
  </si>
  <si>
    <t>Shop Năm Trung</t>
  </si>
  <si>
    <t>Chợ Bình Ân, Chợ Bình Ân, X.Bình Ân, H.Gò Công Đông, Tiền Giang</t>
  </si>
  <si>
    <t>AL-12E-4007</t>
  </si>
  <si>
    <t>Võ Hoàng Tú</t>
  </si>
  <si>
    <t>10.3579406738, 106.7372131348</t>
  </si>
  <si>
    <t>10.3579072952, 106.7377014160</t>
  </si>
  <si>
    <t>BHX</t>
  </si>
  <si>
    <t>XH4001.106725</t>
  </si>
  <si>
    <t>BHX 784 Tỉnh Lộ 7</t>
  </si>
  <si>
    <t xml:space="preserve">784 Tỉnh Lộ 7, Ấp Chợ, Xã Phước Thạnh, H  Củ Chi, TP HCM</t>
  </si>
  <si>
    <t>GSMT032</t>
  </si>
  <si>
    <t>Nguyễn Thị Ngân</t>
  </si>
  <si>
    <t>ST-10B-3008</t>
  </si>
  <si>
    <t>Bùi Kim Phụng</t>
  </si>
  <si>
    <t>ST-05D-3015</t>
  </si>
  <si>
    <t>Phạm Hữu Nghĩa</t>
  </si>
  <si>
    <t>11.0048160553, 106.4267044067</t>
  </si>
  <si>
    <t>11.0048780441, 106.4266738892</t>
  </si>
  <si>
    <t>Tra Vinh</t>
  </si>
  <si>
    <t>BIG C</t>
  </si>
  <si>
    <t>EB4001.104362</t>
  </si>
  <si>
    <t>BIGC TRA VINH</t>
  </si>
  <si>
    <t>Trung Tâm thương mại và Siêu Thị Trà Vinh , đường Võ Nguyên Giáp , Phường 7, TP Trà Vinh, Tỉnh Trà Vinh , Việt Nam</t>
  </si>
  <si>
    <t>TV003</t>
  </si>
  <si>
    <t>Nguyễn Thành Nhân</t>
  </si>
  <si>
    <t>GSMT010</t>
  </si>
  <si>
    <t>Lê Minh Trường</t>
  </si>
  <si>
    <t>PG</t>
  </si>
  <si>
    <t>ST-08D-4008</t>
  </si>
  <si>
    <t>Nguyễn Ngọc Mỷ</t>
  </si>
  <si>
    <t>07h00 - 16h00</t>
  </si>
  <si>
    <t>9.9232902527, 106.3281173706</t>
  </si>
  <si>
    <t>9.9211816788, 106.3262176514</t>
  </si>
  <si>
    <t>Dak Lak</t>
  </si>
  <si>
    <t>SG2005.6786</t>
  </si>
  <si>
    <t>Coop BMT</t>
  </si>
  <si>
    <t>71 Nguyễn Tất Thành, TP Buôn Ma Thuột, Daklak</t>
  </si>
  <si>
    <t>TV002</t>
  </si>
  <si>
    <t>Lê Thanh Hà</t>
  </si>
  <si>
    <t>GSMT005</t>
  </si>
  <si>
    <t>Nguyễn Văn Kế</t>
  </si>
  <si>
    <t>ST-04A-2038</t>
  </si>
  <si>
    <t>Nguyễn Thanh Trang</t>
  </si>
  <si>
    <t>17h30 - 21h00</t>
  </si>
  <si>
    <t>12.6920127869, 108.0620727539</t>
  </si>
  <si>
    <t>Binh Phuoc</t>
  </si>
  <si>
    <t>XH4001.89879</t>
  </si>
  <si>
    <t>BHX Thửa đất số 05 và 06</t>
  </si>
  <si>
    <t xml:space="preserve">Thửa đất số 05 và 06, tờ bản đồ số 14, đường ĐT 759, KP  6, P  Long Phước, TX  Phước Long, Tỉnh Bình Phước</t>
  </si>
  <si>
    <t>GSMT008</t>
  </si>
  <si>
    <t>Đoàn Thanh An</t>
  </si>
  <si>
    <t>ST-04A-3183</t>
  </si>
  <si>
    <t>Lê Thị Ánh Ngọc</t>
  </si>
  <si>
    <t>ST-06F-3002</t>
  </si>
  <si>
    <t>Bùi Việt Hùng</t>
  </si>
  <si>
    <t>11.8173618317, 106.9533462524</t>
  </si>
  <si>
    <t>11.8173666000, 106.9533615112</t>
  </si>
  <si>
    <t>Dong Nai</t>
  </si>
  <si>
    <t>CO4040.5089</t>
  </si>
  <si>
    <t>Coop Biên Hòa</t>
  </si>
  <si>
    <t>Số 121, Phạm Văn Thuận , P Tân Tiến, TP Biên Hòa, T Đồng Nai</t>
  </si>
  <si>
    <t>TV005</t>
  </si>
  <si>
    <t>Hồ Nhật Trình</t>
  </si>
  <si>
    <t>10.9585409164, 106.8343353271</t>
  </si>
  <si>
    <t>10.9585485458, 106.8342895508</t>
  </si>
  <si>
    <t>BL300111N9</t>
  </si>
  <si>
    <t>Kim Thoa</t>
  </si>
  <si>
    <t>Gần Chị An, Tổ 2, ấp 5, Bình Long, Bình Phước</t>
  </si>
  <si>
    <t>AL-11C-3003</t>
  </si>
  <si>
    <t>Dương Thị Ngọc Nguyên</t>
  </si>
  <si>
    <t>11.5517282486, 106.6156005859</t>
  </si>
  <si>
    <t>11.5517301559, 106.6155929565</t>
  </si>
  <si>
    <t>Vinh Long</t>
  </si>
  <si>
    <t>HD501413HG</t>
  </si>
  <si>
    <t>Chị Mai</t>
  </si>
  <si>
    <t>M08, Khu ĐTM, Chợ Song Phú, ấp Phú Ninh, X.Song Phú, H.Tam Bình, Vĩnh Long</t>
  </si>
  <si>
    <t>AL-02G-4001</t>
  </si>
  <si>
    <t>ĐẶNG VŨ NAM</t>
  </si>
  <si>
    <t>AL-04A-4041</t>
  </si>
  <si>
    <t>Trương Mỷ Duyên</t>
  </si>
  <si>
    <t>10.1161203384, 105.9009094238</t>
  </si>
  <si>
    <t>10.1161451340, 105.9008789063</t>
  </si>
  <si>
    <t>Thai Binh</t>
  </si>
  <si>
    <t>HD1009101I</t>
  </si>
  <si>
    <t>Kiên Thoi</t>
  </si>
  <si>
    <t>Khu Nhân Cầu 2, TT Hưng Hà, TT.Hưng Hà, H.Hưng Hà, Thái Bình</t>
  </si>
  <si>
    <t>AL-07E-1004</t>
  </si>
  <si>
    <t>Nguyễn Thị Huế</t>
  </si>
  <si>
    <t>20.5909023285, 106.2253112793</t>
  </si>
  <si>
    <t>20.5909061432, 106.2253570557</t>
  </si>
  <si>
    <t>Hung Yen</t>
  </si>
  <si>
    <t>PH100310UE</t>
  </si>
  <si>
    <t>Nguyễn Thị Thu Hằng</t>
  </si>
  <si>
    <t>Số 75, TT Yên Mỹ, TT.Yên Mỹ, H.Yên Mỹ, Hưng Yên</t>
  </si>
  <si>
    <t>AL-04A-1072</t>
  </si>
  <si>
    <t>Phùng Thị Hoa Lư</t>
  </si>
  <si>
    <t>08h00 - 18h00</t>
  </si>
  <si>
    <t>20.8888416290, 106.0387954712</t>
  </si>
  <si>
    <t>20.8887691498, 106.0387268066</t>
  </si>
  <si>
    <t>Hau Giang</t>
  </si>
  <si>
    <t>XH4001.106685</t>
  </si>
  <si>
    <t>BHX Thửa 499-496-611-612-613, Tờ Bản đồ 03</t>
  </si>
  <si>
    <t xml:space="preserve">Thửa 499-496-611-612-613, Tờ Bản đồ 03, Ấp Thị Trấn , TT  Ngã Sáu, H  Châu Thành, Tỉnh Hậu Giang</t>
  </si>
  <si>
    <t>GSMT013</t>
  </si>
  <si>
    <t>Trần Minh Đạt</t>
  </si>
  <si>
    <t>ST-04G-4003</t>
  </si>
  <si>
    <t>Lê Thanh Toàn</t>
  </si>
  <si>
    <t>9.9601078033, 105.7351684570</t>
  </si>
  <si>
    <t>9.9600954056, 105.7351608276</t>
  </si>
  <si>
    <t>TD500521JS</t>
  </si>
  <si>
    <t>Út Mới_Hồng Thị Mới</t>
  </si>
  <si>
    <t>Đầu giồng, ấp đầu giồng b, X.Phước Hưng, H.Trà Cú, Trà Vinh</t>
  </si>
  <si>
    <t>AL-06E-4006</t>
  </si>
  <si>
    <t>Thạch Thị Nguyên</t>
  </si>
  <si>
    <t>07h30 - 17h00</t>
  </si>
  <si>
    <t>9.7729969025, 106.3277511597</t>
  </si>
  <si>
    <t>9.7730054855, 106.3277511597</t>
  </si>
  <si>
    <t>MT01</t>
  </si>
  <si>
    <t>Quang Nam</t>
  </si>
  <si>
    <t>Thái Dương</t>
  </si>
  <si>
    <t>DT201010QY</t>
  </si>
  <si>
    <t>Lan</t>
  </si>
  <si>
    <t>Chợ Kiểm Lâm, Duy Hòa, Duy Xuyên, Quảng Nam</t>
  </si>
  <si>
    <t>AL-05G-2003</t>
  </si>
  <si>
    <t>Huỳnh Phương Tài Linh</t>
  </si>
  <si>
    <t>AL-05G-2009</t>
  </si>
  <si>
    <t>Nguyễn Thị Tuyết</t>
  </si>
  <si>
    <t>07h30 - 16h30</t>
  </si>
  <si>
    <t>15.8379230499, 108.1211090088</t>
  </si>
  <si>
    <t>15.8379058838, 108.1211471558</t>
  </si>
  <si>
    <t>Da Nang</t>
  </si>
  <si>
    <t>CO2013.76388</t>
  </si>
  <si>
    <t>COOP_SON_TRA</t>
  </si>
  <si>
    <t xml:space="preserve">Lô C2-12 Khu công nghiệp dịch vụ thủy sản Đà Nẵng, đường Bình Than, P  Nại Hiên Đông, Q  Sơn Trà, TP Đà Nẵng</t>
  </si>
  <si>
    <t>GSMT003</t>
  </si>
  <si>
    <t>Vũ Thanh Quang</t>
  </si>
  <si>
    <t>CH-08D-2006</t>
  </si>
  <si>
    <t>Nguyễn Thị Ngọc Kiều</t>
  </si>
  <si>
    <t>16.0942649841, 108.2426071167</t>
  </si>
  <si>
    <t>ST500111M9</t>
  </si>
  <si>
    <t>Mỹ Dung</t>
  </si>
  <si>
    <t>Khu 5, Ba Dừa, P.5, TX.Cai Lậy, Tiền Giang</t>
  </si>
  <si>
    <t>AL-11D-4005</t>
  </si>
  <si>
    <t>Nguyễn Huỳnh Diễm Oanh</t>
  </si>
  <si>
    <t>07h30 - 16h00</t>
  </si>
  <si>
    <t>10.3992099762, 106.1197433472</t>
  </si>
  <si>
    <t>10.3992233276, 106.1197204590</t>
  </si>
  <si>
    <t>Binh Dinh</t>
  </si>
  <si>
    <t>SG2002.6783</t>
  </si>
  <si>
    <t>COOP QUY NHON</t>
  </si>
  <si>
    <t>Số 07-Đường Lê Duẫn-Thành Phố Quy Nhơn-Tỉnh Bình Định</t>
  </si>
  <si>
    <t>ST-07A-2003</t>
  </si>
  <si>
    <t>Trần Thị Ngọc Vân</t>
  </si>
  <si>
    <t>ST-12D-2002</t>
  </si>
  <si>
    <t xml:space="preserve"> </t>
  </si>
  <si>
    <t>18h00 - 22h00</t>
  </si>
  <si>
    <t>13.7658424377, 109.2256393433</t>
  </si>
  <si>
    <t>NC401718CN</t>
  </si>
  <si>
    <t>Thanh Lừng</t>
  </si>
  <si>
    <t>126, Đường số 8, Thống Nhất , 11, Gò Vấp, HCM</t>
  </si>
  <si>
    <t>AL-04A-3001</t>
  </si>
  <si>
    <t>CAO THỊ NAM</t>
  </si>
  <si>
    <t>AL-09A-3014</t>
  </si>
  <si>
    <t>Đỗ Thị Xuân Sương</t>
  </si>
  <si>
    <t>07h30 - 15h30</t>
  </si>
  <si>
    <t>10.8407077789, 106.6626663208</t>
  </si>
  <si>
    <t>10.8407516479, 106.6626434326</t>
  </si>
  <si>
    <t>DT1002119G</t>
  </si>
  <si>
    <t>Trần Thị Dứa</t>
  </si>
  <si>
    <t>273, Hùng Thắng, TT.Tiền Hải, H.Tiền Hải, Thái Bình</t>
  </si>
  <si>
    <t>AL-04A-1063</t>
  </si>
  <si>
    <t>Đào Thị Liễu</t>
  </si>
  <si>
    <t>20.3992824554, 106.4977340698</t>
  </si>
  <si>
    <t>20.3992862701, 106.4977340698</t>
  </si>
  <si>
    <t>Can Tho</t>
  </si>
  <si>
    <t>MEGA</t>
  </si>
  <si>
    <t>Hypermarket</t>
  </si>
  <si>
    <t>MT5004.11081</t>
  </si>
  <si>
    <t>METRO CẦN THƠ</t>
  </si>
  <si>
    <t>Khu vực V,Quốc lộ 91B,Phường Hưng Lợi,Quận Ninh Kiều,Thành phố Cần Thơ</t>
  </si>
  <si>
    <t>GSMT012</t>
  </si>
  <si>
    <t>Nguyễn Chí Linh</t>
  </si>
  <si>
    <t>ST-04A-4001</t>
  </si>
  <si>
    <t>Phạm Thị Bé Sáu</t>
  </si>
  <si>
    <t>ST-03G-4001</t>
  </si>
  <si>
    <t>Nguyễn Ngọc Dung</t>
  </si>
  <si>
    <t>10.0235338211, 105.7608642578</t>
  </si>
  <si>
    <t>10.0224084854, 105.7609863281</t>
  </si>
  <si>
    <t>08h00 - 12h00</t>
  </si>
  <si>
    <t>13.7658338547, 109.2256164551</t>
  </si>
  <si>
    <t>13.7658319473, 109.2256240845</t>
  </si>
  <si>
    <t>An Giang</t>
  </si>
  <si>
    <t>LD500213AW</t>
  </si>
  <si>
    <t>Bánh kem Hạnh Bích</t>
  </si>
  <si>
    <t>41, Thủ Khoa Huân (Kế Tân Thanh), P.Châu Phú B, TX.Châu Đốc, An Giang</t>
  </si>
  <si>
    <t>AL-08C-4008</t>
  </si>
  <si>
    <t>Nguyễn Thị Tiền</t>
  </si>
  <si>
    <t>08h30 - 17h30</t>
  </si>
  <si>
    <t>10.7083320618, 105.1175994873</t>
  </si>
  <si>
    <t>10.7083559036, 105.1175765991</t>
  </si>
  <si>
    <t>SH5004204D</t>
  </si>
  <si>
    <t xml:space="preserve">Chi Nhung </t>
  </si>
  <si>
    <t>0, Nhà lồng Chợ Kinh Cùng, TT.Kinh Cùng, H.Phụng Hiệp, Hậu Giang</t>
  </si>
  <si>
    <t>AL-09F-4003</t>
  </si>
  <si>
    <t>Nguyễn Thị Kim Ngân</t>
  </si>
  <si>
    <t>9.8127317429, 105.6478805542</t>
  </si>
  <si>
    <t>9.8127431870, 105.6478347778</t>
  </si>
  <si>
    <t>CO2002.5045</t>
  </si>
  <si>
    <t>COOP MART DA NANG</t>
  </si>
  <si>
    <t>478 Điện Biên Phủ,Phường Thanh Khê Đông,Quận Thanh Khê,Thành Phố Đà Nẵng</t>
  </si>
  <si>
    <t>ST-04A-2011</t>
  </si>
  <si>
    <t>Nguyễn Đức</t>
  </si>
  <si>
    <t>ST-12F-2001</t>
  </si>
  <si>
    <t>16.0663604736, 108.1870574951</t>
  </si>
  <si>
    <t>MB00</t>
  </si>
  <si>
    <t>Ha noi</t>
  </si>
  <si>
    <t>Lan chi</t>
  </si>
  <si>
    <t>LC1009.24979</t>
  </si>
  <si>
    <t>Lan chi Số 68 Phố Hoàng Diệu,P Quang Trung</t>
  </si>
  <si>
    <t>Số 68 Phố Hoàng Diệu,P Quang Trung,Tx Sơn Tây,Tp Hà Nội</t>
  </si>
  <si>
    <t>GSMT018</t>
  </si>
  <si>
    <t>Hoàng Thị Thu Hương</t>
  </si>
  <si>
    <t>ST-04A-1015</t>
  </si>
  <si>
    <t>Nguyễn Thị Kim Oanh</t>
  </si>
  <si>
    <t>ST-04A-1014</t>
  </si>
  <si>
    <t>Lương Thị Huệ</t>
  </si>
  <si>
    <t>21.1360149384, 105.5063018799</t>
  </si>
  <si>
    <t>21.1359024048, 105.5091171265</t>
  </si>
  <si>
    <t>Vinmart</t>
  </si>
  <si>
    <t>VC1007.63176</t>
  </si>
  <si>
    <t>VINMART_TRUONG_CHINH</t>
  </si>
  <si>
    <t xml:space="preserve">Tầng 1, Tòa HH1 - Meco Complex Building, ngõ 102 Trường Chinh, Phường Phương Mai, Quận Đống Đa, TP  Hà Nội</t>
  </si>
  <si>
    <t>GSMT017</t>
  </si>
  <si>
    <t>Hồ Thanh Tú</t>
  </si>
  <si>
    <t>ST-05A-1004</t>
  </si>
  <si>
    <t>Nguyễn Thị Thùy</t>
  </si>
  <si>
    <t>ST-05E-1010</t>
  </si>
  <si>
    <t>Ngô Thị Xuân</t>
  </si>
  <si>
    <t>20.9997463226, 105.8375320435</t>
  </si>
  <si>
    <t>20.9999084473, 105.8373031616</t>
  </si>
  <si>
    <t>Khanh Hoa</t>
  </si>
  <si>
    <t>Mỹ Khánh 1</t>
  </si>
  <si>
    <t>MK20021TV3</t>
  </si>
  <si>
    <t>Thơm</t>
  </si>
  <si>
    <t>Chợ Đất Sét , Diên Xuân, Diên Khánh, Khánh Hòa</t>
  </si>
  <si>
    <t>AL-04A-2139</t>
  </si>
  <si>
    <t>Phạm Thị Thanh Hiển</t>
  </si>
  <si>
    <t>09h00 - 17h00</t>
  </si>
  <si>
    <t>12.3175840378, 108.9801940918</t>
  </si>
  <si>
    <t>12.3175859451, 108.9801940918</t>
  </si>
  <si>
    <t>Lotte</t>
  </si>
  <si>
    <t>LT2010.123937</t>
  </si>
  <si>
    <t>Lotte 2 Nha Trang</t>
  </si>
  <si>
    <t>Tầng 3 và 4 của Trumg tâm Thương Mại Gold Coast, số 01 đường Trần Hưng Đạo, phường Lộc Thọ, Thành phố Nha Trang, Tỉnh Khánh Hòa</t>
  </si>
  <si>
    <t>ST-04A-2049</t>
  </si>
  <si>
    <t>Lý Thu Huyền</t>
  </si>
  <si>
    <t>12.2480068207, 109.1949386597</t>
  </si>
  <si>
    <t>12.2479524612, 109.1948699951</t>
  </si>
  <si>
    <t>XH4001.36884</t>
  </si>
  <si>
    <t>BHX 393 Hương Lộ 3</t>
  </si>
  <si>
    <t>393 Hương Lộ 3,Phường Bình Hưng Hòa,Quận Bình Tân,Tp HCM</t>
  </si>
  <si>
    <t>GSMT030</t>
  </si>
  <si>
    <t>Phạm Đình Tứ</t>
  </si>
  <si>
    <t>ST-04A-3059</t>
  </si>
  <si>
    <t>Đỗ Thị Hòa</t>
  </si>
  <si>
    <t>ST-02F-3013</t>
  </si>
  <si>
    <t>Tô Thị Mỹ Phương</t>
  </si>
  <si>
    <t>10.8011169434, 106.6109771729</t>
  </si>
  <si>
    <t>10.8011255264, 106.6110076904</t>
  </si>
  <si>
    <t>Ben Tre</t>
  </si>
  <si>
    <t>BO5001137Z</t>
  </si>
  <si>
    <t>Hải Loan</t>
  </si>
  <si>
    <t>Chợ Mỹ Lồng, ấP Chợ, X.Mỹ Thạnh, H.Giồng Trôm, Bến Tre</t>
  </si>
  <si>
    <t>AL-04A-4137</t>
  </si>
  <si>
    <t>Nguyễn Thị Huỳnh Như</t>
  </si>
  <si>
    <t>10.2212743759, 106.4340438843</t>
  </si>
  <si>
    <t>10.2212572098, 106.4341430664</t>
  </si>
  <si>
    <t>CV10051W47</t>
  </si>
  <si>
    <t>Giang</t>
  </si>
  <si>
    <t>41, Vĩnh Tuy, Hai Bà Trưng, Hà Nội</t>
  </si>
  <si>
    <t>TB-05A-1001</t>
  </si>
  <si>
    <t>QUÁCH HẢI LONG</t>
  </si>
  <si>
    <t>AL-08A-1008</t>
  </si>
  <si>
    <t>Lê Thị Hai</t>
  </si>
  <si>
    <t>08h20 - 17h20</t>
  </si>
  <si>
    <t>21.0012092590, 105.8722152710</t>
  </si>
  <si>
    <t>21.0011978149, 105.8722229004</t>
  </si>
  <si>
    <t>CV100511K1</t>
  </si>
  <si>
    <t>Fami max</t>
  </si>
  <si>
    <t>210, Đại Từ, Đại Kim, Hoàng Mai, Hà Nội</t>
  </si>
  <si>
    <t>AL-04A-1032</t>
  </si>
  <si>
    <t>Nguyễn Thị Huệ</t>
  </si>
  <si>
    <t>20.9708747864, 105.8329925537</t>
  </si>
  <si>
    <t>20.9708766937, 105.8329696655</t>
  </si>
  <si>
    <t>LC1009.49272</t>
  </si>
  <si>
    <t>Lan Chi Quốc lộ 37B</t>
  </si>
  <si>
    <t>Quốc lộ 37B, xóm 14, xã Hoành Sơn, H. Giao Thủy, T. Nam Định</t>
  </si>
  <si>
    <t>ST-04A-1053</t>
  </si>
  <si>
    <t>Lê Thị Yến Linh</t>
  </si>
  <si>
    <t>ST-10C-1007</t>
  </si>
  <si>
    <t>Đặng Thị Thủy</t>
  </si>
  <si>
    <t>20.2740211487, 106.4370727539</t>
  </si>
  <si>
    <t>20.2739391327, 106.4372558594</t>
  </si>
  <si>
    <t>Vinmart Plus</t>
  </si>
  <si>
    <t>VI3002.82954</t>
  </si>
  <si>
    <t>VMP_DNI_155_TRUONG_DINH</t>
  </si>
  <si>
    <t>155 Trương Định, Khu phố 2, Phường Tân Mai, Biên Hòa, Đồng Nai</t>
  </si>
  <si>
    <t>GSMT007</t>
  </si>
  <si>
    <t>Đỗ Mạnh Kha</t>
  </si>
  <si>
    <t>ST-10F-3006</t>
  </si>
  <si>
    <t>Phạm Thị Thảo Chi</t>
  </si>
  <si>
    <t>10.9596347809, 106.8483886719</t>
  </si>
  <si>
    <t>10.9596166611, 106.8483581543</t>
  </si>
  <si>
    <t>Kien Giang</t>
  </si>
  <si>
    <t>XH4001.92096</t>
  </si>
  <si>
    <t>BHX Số 12, đường Quốc Lộ 80</t>
  </si>
  <si>
    <t xml:space="preserve">Số 12, đường Quốc Lộ 80, ấp Hưng Giang, xã Mỹ Lâm, H  Hòn Đất, Tỉnh Kiên Giang</t>
  </si>
  <si>
    <t>ST-04G-4004</t>
  </si>
  <si>
    <t>Trần Vũ Phương</t>
  </si>
  <si>
    <t>10.0492401123, 105.0735244751</t>
  </si>
  <si>
    <t>10.0492525101, 105.0735397339</t>
  </si>
  <si>
    <t>VI5010.40525</t>
  </si>
  <si>
    <t>VM HAU GIANG</t>
  </si>
  <si>
    <t>TTTM Vincom Plaza Hậu Giang,Khu Vực 3,Phường V,Tp Vị Thanh,tỉnh Hậu Giang</t>
  </si>
  <si>
    <t>ST-04A-4015</t>
  </si>
  <si>
    <t>Nguyễn Thị Hồng Nga</t>
  </si>
  <si>
    <t>9.7835588455, 105.4693374634</t>
  </si>
  <si>
    <t>9.7833318710, 105.4695510864</t>
  </si>
  <si>
    <t>CF3002.84146</t>
  </si>
  <si>
    <t>CO OPFOOD BD KDC VIỆT SING</t>
  </si>
  <si>
    <t>13 – 15 DC11 KDC Việt Sing, Thị Xã Thuận An, Tỉnh Bình Dương</t>
  </si>
  <si>
    <t>GSMT009</t>
  </si>
  <si>
    <t>Lê Xuân Hoàng</t>
  </si>
  <si>
    <t>ST-07C-3009</t>
  </si>
  <si>
    <t>Nguyễn Minh Đăng</t>
  </si>
  <si>
    <t>ST-02G-3007</t>
  </si>
  <si>
    <t>Nguyễn Thị Mỹ Em</t>
  </si>
  <si>
    <t>10.9423503876, 106.7327423096</t>
  </si>
  <si>
    <t>10.9423656464, 106.7326965332</t>
  </si>
  <si>
    <t>Lam Dong</t>
  </si>
  <si>
    <t>Chung Thúy</t>
  </si>
  <si>
    <t>CT300215PE</t>
  </si>
  <si>
    <t>Anh Thư</t>
  </si>
  <si>
    <t>17, Cụm 2, Tân Trung, Tân Hà, Lâm Hà, Lâm Đồng</t>
  </si>
  <si>
    <t>AL-07F-2007</t>
  </si>
  <si>
    <t>Nguyễn Thị Ngọc</t>
  </si>
  <si>
    <t>08h00 - 16h00</t>
  </si>
  <si>
    <t>11.7456550598, 108.1954040527</t>
  </si>
  <si>
    <t>11.7456789017, 108.1954803467</t>
  </si>
  <si>
    <t>XH4001.119577</t>
  </si>
  <si>
    <t>BHX 45 Võ Thị Nhờ</t>
  </si>
  <si>
    <t>45 Võ Thị Nhờ, Khu Phố 1B, Phường Tân Thuận Đông, Quận 7, TP HCM</t>
  </si>
  <si>
    <t>ST-04E-3005</t>
  </si>
  <si>
    <t>Nguyễn Anh Khoa</t>
  </si>
  <si>
    <t>10.7494287491, 106.7285766602</t>
  </si>
  <si>
    <t>10.7494201660, 106.7285842896</t>
  </si>
  <si>
    <t>VC1007.35067</t>
  </si>
  <si>
    <t>VINMART Tầng hầm B2 Lô 7, Trung tâm Vicom Mega Mall Royal City</t>
  </si>
  <si>
    <t>Tầng hầm B2 Lô 7, Trung tâm Vicom Mega Mall Royal City, Nguyễn Trãi, Thanh Xuân, Hà Nội</t>
  </si>
  <si>
    <t>ST-12F-1003</t>
  </si>
  <si>
    <t>Nguyễn Thị Lan Hương</t>
  </si>
  <si>
    <t>21.0032520294, 105.8156051636</t>
  </si>
  <si>
    <t>21.0032463074, 105.8159103394</t>
  </si>
  <si>
    <t>Thanh Hoa</t>
  </si>
  <si>
    <t>SH20031132</t>
  </si>
  <si>
    <t>Tâm Hoàn</t>
  </si>
  <si>
    <t>Khu 5, TT Quán Lào, TT.Quán Lào, H.Yên Định, Thanh Hóa</t>
  </si>
  <si>
    <t>AL-09A-1003</t>
  </si>
  <si>
    <t>Thảo Thị Thu Hà</t>
  </si>
  <si>
    <t>19.9705467224, 105.6525726318</t>
  </si>
  <si>
    <t>19.9704437256, 105.6525421143</t>
  </si>
  <si>
    <t>CF5001.58741</t>
  </si>
  <si>
    <t>CH_CF_CT_TAY_DO</t>
  </si>
  <si>
    <t>449 Trần Chiên, KV Phú Mỹ, Phường Thường Thạnh, Quận Cái Răng, Tp Cần Thơ</t>
  </si>
  <si>
    <t>ST-04A-4006</t>
  </si>
  <si>
    <t>Võ Bích Thuận</t>
  </si>
  <si>
    <t>ST-07F-4006</t>
  </si>
  <si>
    <t>Lâm Thị Diễm Phúc</t>
  </si>
  <si>
    <t>9.9977750778, 105.7603912354</t>
  </si>
  <si>
    <t>9.9978437424, 105.7604141235</t>
  </si>
  <si>
    <t>VM1009.29441</t>
  </si>
  <si>
    <t>VM 528 NGO GIA TU</t>
  </si>
  <si>
    <t>Số 528 ngõ 528 Ngô Gia Tự, phường Đức Giang, quận Long Biên, Hà Nội</t>
  </si>
  <si>
    <t>GSMT023</t>
  </si>
  <si>
    <t>Trịnh Quốc Phương</t>
  </si>
  <si>
    <t>ST-04A-1046</t>
  </si>
  <si>
    <t>Cát Thanh Vân</t>
  </si>
  <si>
    <t>ST-12F-1002</t>
  </si>
  <si>
    <t>Đinh Văn Trung</t>
  </si>
  <si>
    <t>21.0718746185, 105.9004669189</t>
  </si>
  <si>
    <t>21.0716285706, 105.9001693726</t>
  </si>
  <si>
    <t>VM1009.100489</t>
  </si>
  <si>
    <t>VMP_HNI_50_NGO_28_XUAN_LA</t>
  </si>
  <si>
    <t xml:space="preserve">Kiot TM02 - Tầng 1 của Dự án Khu nhà ở gia đình cán bộ quân đội Dự án 4-678, số 50 ngõ 28 đường Xuân La, P  Xuân La, Q  Tây Hồ, TP Hà Nội</t>
  </si>
  <si>
    <t>ST-09E-1003</t>
  </si>
  <si>
    <t>Trần Ngọc Nghĩa</t>
  </si>
  <si>
    <t>21.0646171570, 105.8078384399</t>
  </si>
  <si>
    <t>21.0644989014, 105.8079376221</t>
  </si>
  <si>
    <t>XH4001.53945</t>
  </si>
  <si>
    <t>BHX 205 Lã Xuân Oai</t>
  </si>
  <si>
    <t xml:space="preserve">205 Lã Xuân Oai, khu phố 4, phường Tăng Nhơn Phú A, TP  Thủ Đức, TP  Hồ Chí Minh</t>
  </si>
  <si>
    <t>ST-04E-3026</t>
  </si>
  <si>
    <t>Nguyễn Duy Lâm</t>
  </si>
  <si>
    <t>ST-03G-3013</t>
  </si>
  <si>
    <t>Phạm Đăng Chiến</t>
  </si>
  <si>
    <t>10.8399629593, 106.7966003418</t>
  </si>
  <si>
    <t>10.8399410248, 106.7965087891</t>
  </si>
  <si>
    <t>Private</t>
  </si>
  <si>
    <t>LC1007.124722</t>
  </si>
  <si>
    <t xml:space="preserve"> Thị trấn Quán Lào, Huyện Yên Định</t>
  </si>
  <si>
    <t>Thị trấn Quán Lào, Huyện Yên Định, Tỉnh Thanh Hóa</t>
  </si>
  <si>
    <t>TV004</t>
  </si>
  <si>
    <t>Trần Hoài Sơn</t>
  </si>
  <si>
    <t>GSMT016</t>
  </si>
  <si>
    <t>Thái Duy Hậu</t>
  </si>
  <si>
    <t>ST-12F-1004</t>
  </si>
  <si>
    <t>Phạm Thị Huyền</t>
  </si>
  <si>
    <t>19.9637508392, 105.6610260010</t>
  </si>
  <si>
    <t>19.9637718201, 105.6610412598</t>
  </si>
  <si>
    <t>VC2007.102756</t>
  </si>
  <si>
    <t>VM QUY NHON</t>
  </si>
  <si>
    <t xml:space="preserve">52 Tăng Bạt Hổ, Phường Lê Lợi, TP  Quy Nhơn, Tỉnh Bình Định</t>
  </si>
  <si>
    <t>ST-04A-2035</t>
  </si>
  <si>
    <t>Nguyễn Thị Minh Thư</t>
  </si>
  <si>
    <t>13.7667617798, 109.2164154053</t>
  </si>
  <si>
    <t>13.7686195374, 109.2162322998</t>
  </si>
  <si>
    <t>CO5018.65087</t>
  </si>
  <si>
    <t>CM_BINH_THUY</t>
  </si>
  <si>
    <t>35 - 37 Cách Mạng Tháng Tám, Phường An Thới, Quận Bình Thủy, Thành phố Cần Thơ</t>
  </si>
  <si>
    <t>ST-09F-4002</t>
  </si>
  <si>
    <t>Tô Thanh Ngân</t>
  </si>
  <si>
    <t>10.0541601181, 105.7712478638</t>
  </si>
  <si>
    <t>10.0542783737, 105.7711486816</t>
  </si>
  <si>
    <t>KT3006106Y</t>
  </si>
  <si>
    <t>Thiên Trang</t>
  </si>
  <si>
    <t>63 Nguyễn Văn Hoa,Phường Thống Nhất, Đồng Nai</t>
  </si>
  <si>
    <t>TB-04A-3001</t>
  </si>
  <si>
    <t>TRẦN BỘI XUYÊN</t>
  </si>
  <si>
    <t>AL-04A-3169</t>
  </si>
  <si>
    <t>Nguyễn Thụy Mai Trâm</t>
  </si>
  <si>
    <t>14h00 - 18h00</t>
  </si>
  <si>
    <t>10.9571924210, 106.8360290527</t>
  </si>
  <si>
    <t>10.9572143555, 106.8359985352</t>
  </si>
  <si>
    <t>LD5002112R</t>
  </si>
  <si>
    <t xml:space="preserve">Tân Thanh </t>
  </si>
  <si>
    <t>49, Thủ Khoa Huân, P.Châu Phú A, TX.Châu Đốc, An Giang</t>
  </si>
  <si>
    <t>AL-05G-4006</t>
  </si>
  <si>
    <t>Thi Mỹ Yến</t>
  </si>
  <si>
    <t>08h30 - 17h00</t>
  </si>
  <si>
    <t>10.7082557678, 105.1178207397</t>
  </si>
  <si>
    <t>10.7078008652, 105.1176757813</t>
  </si>
  <si>
    <t>Tuyen Quang</t>
  </si>
  <si>
    <t>TQ1008.8010</t>
  </si>
  <si>
    <t>KSAN TUYEN QUANG 68 Chiến Thắng Sông Lô, Tp Tuyên Quang</t>
  </si>
  <si>
    <t xml:space="preserve">68 Chiến Thắng Sông Lô, Tp Tuyên Quang, T  Tuyên Quang</t>
  </si>
  <si>
    <t>GSMT015</t>
  </si>
  <si>
    <t>Nguyễn Đắc Bình</t>
  </si>
  <si>
    <t>ST-04A-1028</t>
  </si>
  <si>
    <t>Nguyễn Thị Hồng Nhung</t>
  </si>
  <si>
    <t>ST-05E-1009</t>
  </si>
  <si>
    <t>Nguyễn Thùy Dung</t>
  </si>
  <si>
    <t>21.8150825500, 105.2158889771</t>
  </si>
  <si>
    <t>21.8150882721, 105.2158813477</t>
  </si>
  <si>
    <t>NH10031204</t>
  </si>
  <si>
    <t>Nguyễn Thị Thanh Lưu</t>
  </si>
  <si>
    <t>Tuyên Quang</t>
  </si>
  <si>
    <t>AL-04F-1002</t>
  </si>
  <si>
    <t>LÊ THỊ THU HÀ</t>
  </si>
  <si>
    <t>AL-12C-1001</t>
  </si>
  <si>
    <t>Hà Thị Duyên</t>
  </si>
  <si>
    <t>21.7946605682, 105.2152252197</t>
  </si>
  <si>
    <t>21.8140277863, 105.2149353027</t>
  </si>
  <si>
    <t>Lao Cai</t>
  </si>
  <si>
    <t>Thủ Đô</t>
  </si>
  <si>
    <t>TD1027100H</t>
  </si>
  <si>
    <t>Liên Khanh</t>
  </si>
  <si>
    <t>76, Cốc Lếu, Cốc Lếu, TP Lào Cai, Lào Cai</t>
  </si>
  <si>
    <t>AL-11F-1002</t>
  </si>
  <si>
    <t>Nguyễn Thị Linh</t>
  </si>
  <si>
    <t>22.4997329712, 103.9679107666</t>
  </si>
  <si>
    <t>22.4997215271, 103.9679565430</t>
  </si>
  <si>
    <t>Satra</t>
  </si>
  <si>
    <t>SG4040.80931</t>
  </si>
  <si>
    <t>SF_DIEN _BIEN_PHU</t>
  </si>
  <si>
    <t>151/9-151/9 Bis, Điện Biên Phủ, P25, Quận Bình Thạnh,TP HCM</t>
  </si>
  <si>
    <t>GSMT036</t>
  </si>
  <si>
    <t>Phan Đỗ Nhân</t>
  </si>
  <si>
    <t>ST-09D-3011</t>
  </si>
  <si>
    <t>Đỗ Thị Quỳnh Thu</t>
  </si>
  <si>
    <t>ST-08C-3018</t>
  </si>
  <si>
    <t>Lê Đức Thiện</t>
  </si>
  <si>
    <t>10.8018903732, 106.7218017578</t>
  </si>
  <si>
    <t>10.8018541336, 106.7218856812</t>
  </si>
  <si>
    <t>VI4001.47777</t>
  </si>
  <si>
    <t>VMP 537 NGUYEN DUY TRINH</t>
  </si>
  <si>
    <t xml:space="preserve">537 Nguyễn Duy Trinh, Phường Bình Trưng Đông, TP  Thủ Đức TP  Hồ Chí Minh</t>
  </si>
  <si>
    <t>26095</t>
  </si>
  <si>
    <t>Bùi Thị Bích Trâm</t>
  </si>
  <si>
    <t>ST-07D-3009</t>
  </si>
  <si>
    <t>Lê Tấn Giàu</t>
  </si>
  <si>
    <t>10.7664794922, 106.7835159302</t>
  </si>
  <si>
    <t>10.7666501999, 106.7835235596</t>
  </si>
  <si>
    <t>VC2003.100182</t>
  </si>
  <si>
    <t>VinMart Ninh Hoà</t>
  </si>
  <si>
    <t>Trung tâm thương mại Vincom Ninh Hòa- Khánh Hòa, Đường 2/4, Phường Ninh Hiệp, Thị xã Ninh Hòa, Tỉnh Khánh Hòa</t>
  </si>
  <si>
    <t>ST-01G-2003</t>
  </si>
  <si>
    <t>Nguyễn Thị Thương</t>
  </si>
  <si>
    <t>12.4890480042, 109.1321487427</t>
  </si>
  <si>
    <t>12.4892292023, 109.1322479248</t>
  </si>
  <si>
    <t>TH1039.54409</t>
  </si>
  <si>
    <t>TRUONG HA 352 đường Giải Phóng, Phường Phương Liệt</t>
  </si>
  <si>
    <t xml:space="preserve">352 đường Giải Phóng, Phường Phương Liệt, Q  Thanh Xuân, TP  Hà Nội</t>
  </si>
  <si>
    <t>ST-04A-1010</t>
  </si>
  <si>
    <t>Lê Thị Minh Hồng</t>
  </si>
  <si>
    <t>20.9880142212, 105.8402481079</t>
  </si>
  <si>
    <t>20.9876155853, 105.8400573730</t>
  </si>
  <si>
    <t>Hai Duong</t>
  </si>
  <si>
    <t>MT100414VD</t>
  </si>
  <si>
    <t>Trần Văn Đông</t>
  </si>
  <si>
    <t>Thôn 3, Ngọ Dương, An Hòa , An Dương , Hải Dương</t>
  </si>
  <si>
    <t>AL-03G-1005</t>
  </si>
  <si>
    <t>Nguyễn Thị Trang</t>
  </si>
  <si>
    <t>20.8816013336, 106.5477752686</t>
  </si>
  <si>
    <t>20.8815975189, 106.5478210449</t>
  </si>
  <si>
    <t>SG4040.36255</t>
  </si>
  <si>
    <t>SF 31 NG ANH THU</t>
  </si>
  <si>
    <t>31/7 Nguyễn Ảnh Thủ,Ấp Hưng Lân,Xã Bà Điểm,Huyện Hóc Môn,TP HCM</t>
  </si>
  <si>
    <t>ST-03G-3030</t>
  </si>
  <si>
    <t>Pham Quang Tuyên</t>
  </si>
  <si>
    <t>10.8533248901, 106.6055984497</t>
  </si>
  <si>
    <t>10.8531131744, 106.6057281494</t>
  </si>
  <si>
    <t>VC3005103Q</t>
  </si>
  <si>
    <t>Tuấn Là</t>
  </si>
  <si>
    <t>156, Ấp 2, Xã Lộ 25, Thống Nhất, Đồng Nai</t>
  </si>
  <si>
    <t>AL-07F-3010</t>
  </si>
  <si>
    <t>Nguyễn Thị Kiều Trinh</t>
  </si>
  <si>
    <t>10.8694429398, 107.0884017944</t>
  </si>
  <si>
    <t>10.8694286346, 107.0884857178</t>
  </si>
  <si>
    <t>MT100415QN</t>
  </si>
  <si>
    <t>Chị Nga</t>
  </si>
  <si>
    <t>., Anh Liệt Thanh Hải, X.Thanh Hải, H.Thanh Hà, Hải Dương</t>
  </si>
  <si>
    <t>AL-10D-1004</t>
  </si>
  <si>
    <t>Phạm Thị Xinh</t>
  </si>
  <si>
    <t>20.8970031738, 106.4037322998</t>
  </si>
  <si>
    <t>20.8969993591, 106.4037170410</t>
  </si>
  <si>
    <t>LD100410LU</t>
  </si>
  <si>
    <t>Nga Ba</t>
  </si>
  <si>
    <t>55, Bình Sơn, Chúc Sơn, Chương Mỹ, Hà Nội</t>
  </si>
  <si>
    <t>AL-12D-1005</t>
  </si>
  <si>
    <t>Trịnh Thị Châm</t>
  </si>
  <si>
    <t>20.9186630249, 105.7025604248</t>
  </si>
  <si>
    <t>20.9188137054, 105.7025680542</t>
  </si>
  <si>
    <t>TA1003104A</t>
  </si>
  <si>
    <t>Sáu Hanh</t>
  </si>
  <si>
    <t>TT Keo, Kim Sơn, Gia Lâm, Hà Nội</t>
  </si>
  <si>
    <t>AL-08C-1006</t>
  </si>
  <si>
    <t>Trần Ngọc Anh</t>
  </si>
  <si>
    <t>15h00 - 19h00</t>
  </si>
  <si>
    <t>21.0258331299, 105.9911880493</t>
  </si>
  <si>
    <t>21.0258369446, 105.9912261963</t>
  </si>
  <si>
    <t>QD200110OV</t>
  </si>
  <si>
    <t>Cường Nguyệt</t>
  </si>
  <si>
    <t>TK12, TT Vạn Hà, TT.Vạn Hà, H.Thiệu Hóa, Thanh Hóa</t>
  </si>
  <si>
    <t>AL-07D-1005</t>
  </si>
  <si>
    <t>Nguyễn Thị Nguyệt</t>
  </si>
  <si>
    <t>19.8887004852, 105.6784667969</t>
  </si>
  <si>
    <t>19.9822998047, 105.6427841187</t>
  </si>
  <si>
    <t>SG2004.6785</t>
  </si>
  <si>
    <t>COOP TUY HOA</t>
  </si>
  <si>
    <t>Ô phố B8, Khu dân dụng Duy Tân, P 4, Tp Tuy Hòa, Phú Yên</t>
  </si>
  <si>
    <t>ST-07D-2006</t>
  </si>
  <si>
    <t>Lương Võ Ngọc Vũ</t>
  </si>
  <si>
    <t>13.0884523392, 109.3096084595</t>
  </si>
  <si>
    <t>13.1380558014, 109.2792739868</t>
  </si>
  <si>
    <t>CO4021.5070</t>
  </si>
  <si>
    <t>CM RACH MIEU</t>
  </si>
  <si>
    <t>Số 48 Hoa Sứ, P 7, Q Phú Nhuận, TP HCM</t>
  </si>
  <si>
    <t>ST-04A-3055</t>
  </si>
  <si>
    <t>Trần Thị Ngọc Thanh</t>
  </si>
  <si>
    <t>ST-02F-3001</t>
  </si>
  <si>
    <t>Hoàng thị Thanh Thúy</t>
  </si>
  <si>
    <t>10.7983331680, 106.6887893677</t>
  </si>
  <si>
    <t>10.7988061905, 106.6889953613</t>
  </si>
  <si>
    <t>Bac Lieu</t>
  </si>
  <si>
    <t>CM500912TX</t>
  </si>
  <si>
    <t>Lưu Tèo</t>
  </si>
  <si>
    <t>44, Nội ô, Ngan Dừa, TT.Ngan Dừa, H.Hồng Dân, Bạc Liêu</t>
  </si>
  <si>
    <t>AL-12E-4009</t>
  </si>
  <si>
    <t>Trần Thanh Tâm</t>
  </si>
  <si>
    <t>09h00 - 17h30</t>
  </si>
  <si>
    <t>9.5645999908, 105.4482345581</t>
  </si>
  <si>
    <t>9.5667943954, 105.4499206543</t>
  </si>
  <si>
    <t>Thai Nguyen</t>
  </si>
  <si>
    <t>VT102510TW</t>
  </si>
  <si>
    <t>Tiến Cúc</t>
  </si>
  <si>
    <t>Chợ Đại Từ, Hùng Sơn, Đại Từ, Thái Nguyên</t>
  </si>
  <si>
    <t>AL-10F-1009</t>
  </si>
  <si>
    <t>Dương Thị Thanh</t>
  </si>
  <si>
    <t>21.6343936920, 105.6421356201</t>
  </si>
  <si>
    <t>21.6344413757, 105.6422958374</t>
  </si>
  <si>
    <t>VV100110G3</t>
  </si>
  <si>
    <t>Chị Thu Hường</t>
  </si>
  <si>
    <t>16, Chợ Que Hàn, Thường Tín , Hà Nội</t>
  </si>
  <si>
    <t>AL-10B-1004</t>
  </si>
  <si>
    <t>Phạm Thị Thảo</t>
  </si>
  <si>
    <t>14h00 - 17h15</t>
  </si>
  <si>
    <t>20.8951663971, 105.8878097534</t>
  </si>
  <si>
    <t>20.8952713013, 105.8877258301</t>
  </si>
  <si>
    <t>Ca Mau</t>
  </si>
  <si>
    <t>KA50031031</t>
  </si>
  <si>
    <t>Nguyễn Ngọc Phương_Nghĩa_Trần Văn Nhơn</t>
  </si>
  <si>
    <t>4, Đề Thám, P.2, TP.Cà Mau, Cà Mau</t>
  </si>
  <si>
    <t>AL-02E-4001</t>
  </si>
  <si>
    <t>Thái Thanh Tuyền</t>
  </si>
  <si>
    <t>9.1791229248, 105.1469116211</t>
  </si>
  <si>
    <t>9.1787023544, 105.1476516724</t>
  </si>
  <si>
    <t>MT4002.6384</t>
  </si>
  <si>
    <t>METRO BÌNH PHÚ</t>
  </si>
  <si>
    <t>Bình Phú, Quận 6, TP HCM</t>
  </si>
  <si>
    <t>GSMT035</t>
  </si>
  <si>
    <t>Hoàng Thái Anh</t>
  </si>
  <si>
    <t>ST-04A-3089</t>
  </si>
  <si>
    <t>Lê Hoài Bảo Long</t>
  </si>
  <si>
    <t>ST-09F-3008</t>
  </si>
  <si>
    <t>Lâm Tuyết Ngân</t>
  </si>
  <si>
    <t>10.7424726486, 106.6302490234</t>
  </si>
  <si>
    <t>10.7426185608, 106.6312713623</t>
  </si>
  <si>
    <t>Binh Thuan</t>
  </si>
  <si>
    <t>Trương Mai Lan</t>
  </si>
  <si>
    <t>TL2017100H</t>
  </si>
  <si>
    <t>Sáu Phương</t>
  </si>
  <si>
    <t>Đức Tài, Đức Linh, Bình Thuận</t>
  </si>
  <si>
    <t>AL-07E-2004</t>
  </si>
  <si>
    <t>Trần Thị Kim Thoa</t>
  </si>
  <si>
    <t>11.1877689362, 107.5674438477</t>
  </si>
  <si>
    <t>11.1877231598, 107.5672225952</t>
  </si>
  <si>
    <t>Hai Phong</t>
  </si>
  <si>
    <t>LC1009.37061</t>
  </si>
  <si>
    <t>LAN CHI</t>
  </si>
  <si>
    <t>Khu dân cư Lôi Động, Phường Cộng Hòa, Thị xã Chí Linh, T. Hải Dương</t>
  </si>
  <si>
    <t>GSMT021</t>
  </si>
  <si>
    <t>Văn Đình Cường</t>
  </si>
  <si>
    <t>ST-04E-1010</t>
  </si>
  <si>
    <t>Nguyễn Thị Hường</t>
  </si>
  <si>
    <t>21.1157302856, 106.3963394165</t>
  </si>
  <si>
    <t>21.1157665253, 106.3966140747</t>
  </si>
  <si>
    <t>SG5004.6842</t>
  </si>
  <si>
    <t>SGON BAC LIEU</t>
  </si>
  <si>
    <t>07 Trần Huỳnh, P7, Tp Bạc Liêu, T Bạc Liêu</t>
  </si>
  <si>
    <t>ST-07B-4001</t>
  </si>
  <si>
    <t>Trần Thị Thanh Hải</t>
  </si>
  <si>
    <t>9.2923383713, 105.7164077759</t>
  </si>
  <si>
    <t>9.2923555374, 105.7163925171</t>
  </si>
  <si>
    <t>Quang Ngai</t>
  </si>
  <si>
    <t>Anh Kiệt</t>
  </si>
  <si>
    <t>AK20011008</t>
  </si>
  <si>
    <t>Hiển Ngọt</t>
  </si>
  <si>
    <t>TT Đức Phổ, TT Mộ Đức, Đức Phổ, Quảng Ngãi</t>
  </si>
  <si>
    <t>AL-04A-2048</t>
  </si>
  <si>
    <t>Nguyễn Thị Hương Hoa</t>
  </si>
  <si>
    <t>14.8110580444, 108.9560546875</t>
  </si>
  <si>
    <t>14.8110599518, 108.9560852051</t>
  </si>
  <si>
    <t>LT2001108N</t>
  </si>
  <si>
    <t>Chị Quế</t>
  </si>
  <si>
    <t>Hải Thanh, Hải Thanh, X.Hải Thanh, H.Tĩnh Gia, Thanh Hóa</t>
  </si>
  <si>
    <t>AL-07F-1011</t>
  </si>
  <si>
    <t>Tạ Thị Đào</t>
  </si>
  <si>
    <t>12h00 - 17h00</t>
  </si>
  <si>
    <t>19.4240112305, 105.7936706543</t>
  </si>
  <si>
    <t>19.4239807129, 105.7936782837</t>
  </si>
  <si>
    <t>CO4030.5079</t>
  </si>
  <si>
    <t>CM NGUYEN KIEM</t>
  </si>
  <si>
    <t>Số 571-573 Nguyễn Kiệm, P 9, Q Phú Nhuận, TP HCM</t>
  </si>
  <si>
    <t>ST-05A-3002</t>
  </si>
  <si>
    <t>Lưu Thị Hồng Vân</t>
  </si>
  <si>
    <t>10.8088006973, 106.6783905029</t>
  </si>
  <si>
    <t>10.8088197708, 106.6783065796</t>
  </si>
  <si>
    <t>Minh Khôi</t>
  </si>
  <si>
    <t>MK400210EP</t>
  </si>
  <si>
    <t>Anh Sơn</t>
  </si>
  <si>
    <t>95, Phan Văn Khỏe, 2, 6, HCM</t>
  </si>
  <si>
    <t>AL-04A-3082</t>
  </si>
  <si>
    <t>TRỊNH THỊ LUYẾN</t>
  </si>
  <si>
    <t>AL-05G-3007</t>
  </si>
  <si>
    <t>Nguyễn Thị Ngọc Hiền</t>
  </si>
  <si>
    <t>10.7489318848, 106.6487731934</t>
  </si>
  <si>
    <t>10.7489166260, 106.6487426758</t>
  </si>
  <si>
    <t>KA500310JD</t>
  </si>
  <si>
    <t>CH CNTP Lê Lai</t>
  </si>
  <si>
    <t>8, Lê Lai, P.2, TP.Cà Mau, Cà Mau</t>
  </si>
  <si>
    <t>AL-04A-4039</t>
  </si>
  <si>
    <t>Nguyễn Thị Thu Trang</t>
  </si>
  <si>
    <t>9.1782751083, 105.1473083496</t>
  </si>
  <si>
    <t>9.1782665253, 105.1473159790</t>
  </si>
  <si>
    <t>NPP-MT</t>
  </si>
  <si>
    <t>MB00KC100110MK</t>
  </si>
  <si>
    <t>Kmart Tầng 1 tòa B ,Số 1 đại lộ Thăng Long</t>
  </si>
  <si>
    <t>Tầng 1 tòa B ,Số 1 đại lộ Thăng Long,Phường Mễ Trì,Quận Nam Từ Liêm,Hà Nôi</t>
  </si>
  <si>
    <t>ST-04A-1027</t>
  </si>
  <si>
    <t>Trần Thị Hồng Mến</t>
  </si>
  <si>
    <t>ST-02E-1007</t>
  </si>
  <si>
    <t>Nguyễn Thị Mai</t>
  </si>
  <si>
    <t>21.0026950836, 105.7929306030</t>
  </si>
  <si>
    <t>21.0027618408, 105.7930297852</t>
  </si>
  <si>
    <t>Đức Long</t>
  </si>
  <si>
    <t>DL200412FR</t>
  </si>
  <si>
    <t>Đỗ Thị Thủy</t>
  </si>
  <si>
    <t>chợ Krông Bông, TT Krông Kma, Krông Bông, Đăk Lăk</t>
  </si>
  <si>
    <t>AL-03F-2010</t>
  </si>
  <si>
    <t>Huỳnh Thu Uyên</t>
  </si>
  <si>
    <t>12.5076551437, 108.3379821777</t>
  </si>
  <si>
    <t>12.5076236725, 108.3379287720</t>
  </si>
  <si>
    <t>KA50032245</t>
  </si>
  <si>
    <t>Ngọc Trinh</t>
  </si>
  <si>
    <t>0, Lộ mới, đường vào Ủy ban, Chợ nhỏ, TT.Sông Đốc, H.Trần Văn Thời, Cà Mau</t>
  </si>
  <si>
    <t>AL-04D-4005</t>
  </si>
  <si>
    <t>Cao Tấn Lộc</t>
  </si>
  <si>
    <t>9.0438356400, 104.8285751343</t>
  </si>
  <si>
    <t>9.0438337326, 104.8285751343</t>
  </si>
  <si>
    <t>VI4001.84726</t>
  </si>
  <si>
    <t>VMP_HCM_34_CHUONG_DUONG</t>
  </si>
  <si>
    <t xml:space="preserve">34 Chương Dương, P  Linh Chiểu, TP  Thủ Đức, TP  Hồ Chí Minh</t>
  </si>
  <si>
    <t>ST-04E-3025</t>
  </si>
  <si>
    <t>Nguyễn Quang Hiển</t>
  </si>
  <si>
    <t>10.8529300690, 106.7599945068</t>
  </si>
  <si>
    <t>10.8530626297, 106.7599639893</t>
  </si>
  <si>
    <t>VC1007.65179</t>
  </si>
  <si>
    <t>VINMART_LE_DUC_THO</t>
  </si>
  <si>
    <t>Tầng 1, lô CT4, TTTM Thiên Sơn Plaza, 89 Lê Đức Thọ, Phường Mỹ Đình 2, Quận Nam Từ Liêm , TP Hà Nội</t>
  </si>
  <si>
    <t>AL-08A-1001</t>
  </si>
  <si>
    <t>Nguyễn Thị Thùy Linh</t>
  </si>
  <si>
    <t>ST-04A-1020</t>
  </si>
  <si>
    <t>Lê Thị Hòa</t>
  </si>
  <si>
    <t>21.0282707214, 105.7687149048</t>
  </si>
  <si>
    <t>21.0285854340, 105.7689514160</t>
  </si>
  <si>
    <t>Thua Thien - Hue</t>
  </si>
  <si>
    <t>EB4001.13988</t>
  </si>
  <si>
    <t>BIGC HUE</t>
  </si>
  <si>
    <t>KhuQuyHoachBaTrieu-HùngVương-Phường Phú Hội, Thành Phố Huế</t>
  </si>
  <si>
    <t>ST-04A-2013</t>
  </si>
  <si>
    <t>Nguyễn Viết Phúc</t>
  </si>
  <si>
    <t>16.4600048065, 107.5984344482</t>
  </si>
  <si>
    <t>16.4662647247, 107.5917510986</t>
  </si>
  <si>
    <t>NT101111VM</t>
  </si>
  <si>
    <t>Sinh</t>
  </si>
  <si>
    <t>63, Quang Trung, P.Quang Trung, Q.Hồng Bàng, Hải Phòng</t>
  </si>
  <si>
    <t>AL-10F-1001</t>
  </si>
  <si>
    <t>20.8563060760, 106.6792449951</t>
  </si>
  <si>
    <t>20.8563022614, 106.6793212891</t>
  </si>
  <si>
    <t>T_MARTSTORES</t>
  </si>
  <si>
    <t>KC10011030</t>
  </si>
  <si>
    <t>T-Mart VT25-26-27</t>
  </si>
  <si>
    <t>VT25-26-27, Liền Kề 5 KĐT Đại Thanh,X.Tả Thanh Oai,H.Thanh Trì,Hà Nội</t>
  </si>
  <si>
    <t>ST-12E-1008</t>
  </si>
  <si>
    <t>Trần Nam Thành</t>
  </si>
  <si>
    <t>20.9569530487, 105.8072204590</t>
  </si>
  <si>
    <t>TL40041CR4</t>
  </si>
  <si>
    <t>Circle K 277, Âu Dương Lân</t>
  </si>
  <si>
    <t>277, Âu Dương Lân, P.2, Q.8, Hồ Chí Minh</t>
  </si>
  <si>
    <t>GSMT002</t>
  </si>
  <si>
    <t>Phạm Ngọc Tú</t>
  </si>
  <si>
    <t>ST-09D-3008</t>
  </si>
  <si>
    <t>Huỳnh Thị Thu Trâm</t>
  </si>
  <si>
    <t>10.7455844879, 106.6832275391</t>
  </si>
  <si>
    <t>10.7455854416, 106.6831970215</t>
  </si>
  <si>
    <t>MT1002.11072</t>
  </si>
  <si>
    <t>METRO_21269_CD Melinh Plaza,Lô II</t>
  </si>
  <si>
    <t>Melinh Plaza,Lô II,TTHC mới Hà Đông,Q.Hà Đông,HN</t>
  </si>
  <si>
    <t>GSMT026</t>
  </si>
  <si>
    <t>Nguyễn Thị Thu Hà</t>
  </si>
  <si>
    <t>ST-04A-1005</t>
  </si>
  <si>
    <t>Hoàng Thị Oanh</t>
  </si>
  <si>
    <t>ST-04A-1006</t>
  </si>
  <si>
    <t>20.9648284912, 105.7719573975</t>
  </si>
  <si>
    <t>20.9647674561, 105.7719879150</t>
  </si>
  <si>
    <t>Long An</t>
  </si>
  <si>
    <t>LA5001128D</t>
  </si>
  <si>
    <t>TH Su_Shi</t>
  </si>
  <si>
    <t>161, Nguyễn Trung Trực, TT.Tân Trụ, H.Tân Trụ, Long An</t>
  </si>
  <si>
    <t>AL-03F-4007</t>
  </si>
  <si>
    <t>Phạm Bảo Trang</t>
  </si>
  <si>
    <t>10.5210504532, 106.5213241577</t>
  </si>
  <si>
    <t>10.5210504532, 106.5213165283</t>
  </si>
  <si>
    <t>VC1007.35049</t>
  </si>
  <si>
    <t>VINMART B100, Hầm B1 Tòa nhà T8 &amp; T9 Time City</t>
  </si>
  <si>
    <t>B100, Hầm B1 Tòa nhà T8 &amp; T9 Time City, Minh Khai, Quận Hai Bà Trưng, Hà Nội</t>
  </si>
  <si>
    <t>TV006</t>
  </si>
  <si>
    <t>Trần Thùy Dương</t>
  </si>
  <si>
    <t>ST-06A-1007</t>
  </si>
  <si>
    <t>Trương Minh Ngọc</t>
  </si>
  <si>
    <t>20.9940834045, 105.8691024780</t>
  </si>
  <si>
    <t>20.9936027527, 105.8696823120</t>
  </si>
  <si>
    <t>MK40021II8</t>
  </si>
  <si>
    <t>Circle K 27, BÌNH PHÚ</t>
  </si>
  <si>
    <t>27, BÌNH PHÚ, P.10, Q.6, Hồ Chí Minh</t>
  </si>
  <si>
    <t>ST-02B-3001</t>
  </si>
  <si>
    <t>Cao Minh Hải</t>
  </si>
  <si>
    <t>ST-10E-3010</t>
  </si>
  <si>
    <t>Võ Minh Phát</t>
  </si>
  <si>
    <t>10.7389287949, 106.6290969849</t>
  </si>
  <si>
    <t>10.7388944626, 106.6291046143</t>
  </si>
  <si>
    <t>TN101112ON</t>
  </si>
  <si>
    <t>Quang Luyến</t>
  </si>
  <si>
    <t>A3, Văn Nội, Phú Lãm, Hà Đông, Hà Nội</t>
  </si>
  <si>
    <t>AL-06A-1008</t>
  </si>
  <si>
    <t>Lê Thị Luyến</t>
  </si>
  <si>
    <t>20.9442577362, 105.7636795044</t>
  </si>
  <si>
    <t>20.9442710876, 105.7636795044</t>
  </si>
  <si>
    <t>NT1011123G</t>
  </si>
  <si>
    <t>81, Dư Hàng, P.Dư Hàng Kênh, Q.Lê Chân, Hải Phòng</t>
  </si>
  <si>
    <t>AL-05D-1005</t>
  </si>
  <si>
    <t>Phạm Ngọc Huế</t>
  </si>
  <si>
    <t>20.8482913971, 106.6786880493</t>
  </si>
  <si>
    <t>20.8483142853, 106.6786499023</t>
  </si>
  <si>
    <t>Hải Minh</t>
  </si>
  <si>
    <t>HM200513VQ</t>
  </si>
  <si>
    <t>Mẹ Xíu</t>
  </si>
  <si>
    <t>84, Âu Cơ, Hòa Khánh Bắc, Liên Chiểu, Đà Nẵng</t>
  </si>
  <si>
    <t>AL-03F-2006</t>
  </si>
  <si>
    <t>Đoàn Ngọc Diệu Linh</t>
  </si>
  <si>
    <t>16.0707988739, 108.1482696533</t>
  </si>
  <si>
    <t>16.0708084106, 108.1482849121</t>
  </si>
  <si>
    <t>Ninh Binh</t>
  </si>
  <si>
    <t>CG1002107F</t>
  </si>
  <si>
    <t>Nga Vinh</t>
  </si>
  <si>
    <t>n/a, Phố Trung, TT.Yên Thịnh, H.Yên Mô, Ninh Bình</t>
  </si>
  <si>
    <t>AL-04A-1090</t>
  </si>
  <si>
    <t>Đỗ Thị Oanh</t>
  </si>
  <si>
    <t>20.1616172791, 106.0046691895</t>
  </si>
  <si>
    <t>20.1990051270, 106.0148086548</t>
  </si>
  <si>
    <t>CF4001.23934</t>
  </si>
  <si>
    <t>CF PHU THUAN</t>
  </si>
  <si>
    <t>785 Huỳnh Tấn Phát,Phường Phú Thuận,Quận 7,Tp HCM</t>
  </si>
  <si>
    <t>ST-04C-3005</t>
  </si>
  <si>
    <t>Ngô Thị Thanh Vân</t>
  </si>
  <si>
    <t>10.7070894241, 106.7273483276</t>
  </si>
  <si>
    <t>10.7561120987, 106.7044601440</t>
  </si>
  <si>
    <t>CT300215OZ</t>
  </si>
  <si>
    <t>Thanh Ngọc</t>
  </si>
  <si>
    <t>32, Bồ Liêng, Đinh Văn, Lâm Hà, Lâm Đồng</t>
  </si>
  <si>
    <t>AL-04A-2126</t>
  </si>
  <si>
    <t>Hoàng Thị Mỹ Dung</t>
  </si>
  <si>
    <t>07h00 - 15h00</t>
  </si>
  <si>
    <t>11.7904691696, 108.2416839600</t>
  </si>
  <si>
    <t>11.7904653549, 108.2417221069</t>
  </si>
  <si>
    <t>NC40171L6O</t>
  </si>
  <si>
    <t>Family Mart 33, Nguyễn Văn Bảo</t>
  </si>
  <si>
    <t>33, Nguyễn Văn Bảo, P.4, Q.Gò Vấp, Hồ Chí Minh</t>
  </si>
  <si>
    <t>10.8215370178, 106.6870193481</t>
  </si>
  <si>
    <t>10.8045082092, 106.6482467651</t>
  </si>
  <si>
    <t>Quang Ninh</t>
  </si>
  <si>
    <t>MT1007.6342</t>
  </si>
  <si>
    <t>METRO_21269_CD</t>
  </si>
  <si>
    <t>Tổ 29,Khu II&amp;III,phường Hà Tu,thành phố Hạ Long,tỉnh Quảng Ninh</t>
  </si>
  <si>
    <t>ST-04E-1005</t>
  </si>
  <si>
    <t>Lê Thị Hằng</t>
  </si>
  <si>
    <t>20.9603996277, 107.1546630859</t>
  </si>
  <si>
    <t>20.9607219696, 107.1557235718</t>
  </si>
  <si>
    <t>DH300910FQ</t>
  </si>
  <si>
    <t>Chị Tâm</t>
  </si>
  <si>
    <t>670, 767 Bùi Chu, Bắc Sơn, Trảng Bom, Đồng Nai</t>
  </si>
  <si>
    <t>AL-06C-3002</t>
  </si>
  <si>
    <t>Lê Thị Thanh Dung</t>
  </si>
  <si>
    <t>10.9839487076, 106.9635620117</t>
  </si>
  <si>
    <t>10.9839630127, 106.9638366699</t>
  </si>
  <si>
    <t>BR1001.85415</t>
  </si>
  <si>
    <t xml:space="preserve">BRG 23 Minh Khai, Q  Hồng Bàng</t>
  </si>
  <si>
    <t xml:space="preserve">23 Minh Khai, Q  Hồng Bàng, Tp  Hải Phòng</t>
  </si>
  <si>
    <t>GSMT014</t>
  </si>
  <si>
    <t>Hoàng Kim Anh</t>
  </si>
  <si>
    <t>ST-04A-1067</t>
  </si>
  <si>
    <t>Trần Thị Phương Anh</t>
  </si>
  <si>
    <t>ST-04F-1001</t>
  </si>
  <si>
    <t>Phạm Thanh Thùy</t>
  </si>
  <si>
    <t>20.8611412048, 106.6852874756</t>
  </si>
  <si>
    <t>20.8611469269, 106.6852951050</t>
  </si>
  <si>
    <t>XH4001.111955</t>
  </si>
  <si>
    <t>BHX Số 33-33A-35 Trần Nhật Duật, Phường Phước Tiến</t>
  </si>
  <si>
    <t xml:space="preserve">Số 33-33A-35 Trần Nhật Duật, Phường Phước Tiến, TP  Nha Trang, Tỉnh Khánh Hòa</t>
  </si>
  <si>
    <t>ST-11F-2009</t>
  </si>
  <si>
    <t>Huỳnh Thị Thùy Linh</t>
  </si>
  <si>
    <t>12.2397871017, 109.1849975586</t>
  </si>
  <si>
    <t>12.2397480011, 109.1850051880</t>
  </si>
  <si>
    <t>DP300711M9</t>
  </si>
  <si>
    <t>Long Anh Phát</t>
  </si>
  <si>
    <t>26/5A8, KDC Minh Tuấn, Bình Hòa, Thuận An, Bình Dương</t>
  </si>
  <si>
    <t>AL-11F-3001</t>
  </si>
  <si>
    <t>Thái Hoàng Thạch Trúc</t>
  </si>
  <si>
    <t>10.9192285538, 106.7291336060</t>
  </si>
  <si>
    <t>10.9192800522, 106.7293014526</t>
  </si>
  <si>
    <t>VI4001.64737</t>
  </si>
  <si>
    <t>VMP_29A_NGUYEN_VAN_VINH</t>
  </si>
  <si>
    <t>29A Nguyễn Văn Vịnh, P Hiệp Tân, Tân Phú, TPHCM</t>
  </si>
  <si>
    <t>ST-04A-3068</t>
  </si>
  <si>
    <t>Võ Thụy Ngọc Nhi</t>
  </si>
  <si>
    <t>ST-06E-3013</t>
  </si>
  <si>
    <t>Diệp Thành Vân</t>
  </si>
  <si>
    <t>10.7673044205, 106.6299972534</t>
  </si>
  <si>
    <t>10.7674150467, 106.6300582886</t>
  </si>
  <si>
    <t>VS4019.122365</t>
  </si>
  <si>
    <t>Cửa Hàng Vissan 39 Khu Phố 1, Đường số 1</t>
  </si>
  <si>
    <t>39 Khu Phố 1, Đường số 1, phường Tân Phú, Quận 7, TP HCM</t>
  </si>
  <si>
    <t>GSMT001</t>
  </si>
  <si>
    <t>Bùi Xuân Quý</t>
  </si>
  <si>
    <t>ST-09C-3023</t>
  </si>
  <si>
    <t>Nguyễn Thị Thanh Trúc</t>
  </si>
  <si>
    <t>10.7368221283, 106.7200164795</t>
  </si>
  <si>
    <t>10.7368249893, 106.7199783325</t>
  </si>
  <si>
    <t>BL3001100Y</t>
  </si>
  <si>
    <t>Tân Long</t>
  </si>
  <si>
    <t>10, Lý Tự Trọng, An Lộc, Bình Long, Bình Phước</t>
  </si>
  <si>
    <t>AL-04A-3193</t>
  </si>
  <si>
    <t>Vương Triều Giang</t>
  </si>
  <si>
    <t>11.6537141800, 106.6069259644</t>
  </si>
  <si>
    <t>11.6537475586, 106.6069259644</t>
  </si>
  <si>
    <t>VM1009.49343</t>
  </si>
  <si>
    <t>VMP_23_NGO_136_CAU_DIEN</t>
  </si>
  <si>
    <t>Số 23 ngõ 136 đường Cầu Diễn, phường Minh Khai, quận Bắc Từ Liêm, Hà Nội</t>
  </si>
  <si>
    <t>ST-05F-1003</t>
  </si>
  <si>
    <t>Nguyễn Ngọc Diệp</t>
  </si>
  <si>
    <t>21.0485210419, 105.7693023682</t>
  </si>
  <si>
    <t>21.0485191345, 105.7692565918</t>
  </si>
  <si>
    <t>XH4001.88819</t>
  </si>
  <si>
    <t>BHX Thửa đất 1850</t>
  </si>
  <si>
    <t xml:space="preserve">Thửa đất 1850, tờ bản đồ số 29, KP  Bình Thung 2, P  Bình An, TX  Dĩ An, Tỉnh Bình Dương</t>
  </si>
  <si>
    <t>10.8992805481, 106.8071746826</t>
  </si>
  <si>
    <t>10.8966960907, 106.8095779419</t>
  </si>
  <si>
    <t>LC1009.57059</t>
  </si>
  <si>
    <t>Số 44, Bạch Đằng, P.Yên Giang, TX. Quảng Yên, T. Quảng Ninh</t>
  </si>
  <si>
    <t>ST-03G-1002</t>
  </si>
  <si>
    <t>Phạm Văn Vĩnh</t>
  </si>
  <si>
    <t>20.9456005096, 106.7963333130</t>
  </si>
  <si>
    <t>20.9472522736, 106.7967453003</t>
  </si>
  <si>
    <t>XNK Long An</t>
  </si>
  <si>
    <t>LA50011138</t>
  </si>
  <si>
    <t>Chị Nhung</t>
  </si>
  <si>
    <t>303, QUốC Lộ 62, TP Tân An, Tân Trụ, Long An</t>
  </si>
  <si>
    <t>AL-07F-4007</t>
  </si>
  <si>
    <t>Đặng Thị Thúy Kiều</t>
  </si>
  <si>
    <t>10.5453224182, 106.3849792480</t>
  </si>
  <si>
    <t>10.5452966690, 106.3849716187</t>
  </si>
  <si>
    <t>CF4001.46948</t>
  </si>
  <si>
    <t>CF MAN THIEN 126A</t>
  </si>
  <si>
    <t>126A Man Thiện, P. Tăng Nhơn Phú A, TP. Thủ Đức, TP. Hồ Chí Minh</t>
  </si>
  <si>
    <t>ST-04A-3137</t>
  </si>
  <si>
    <t>Nguyễn Duy Tùng</t>
  </si>
  <si>
    <t>ST-03C-3018</t>
  </si>
  <si>
    <t>Đặng Ngô Anh Thư</t>
  </si>
  <si>
    <t>10.8514595032, 106.7888946533</t>
  </si>
  <si>
    <t>Ba Ria - Vung Tau</t>
  </si>
  <si>
    <t>VI3004.77582</t>
  </si>
  <si>
    <t>VMP_VTU_1_3_P_K_KHOAN</t>
  </si>
  <si>
    <t>193 Bình Giã, Phường 8, TP Vũng Tàu, TP Vũng Tàu</t>
  </si>
  <si>
    <t>ST-05D-3007</t>
  </si>
  <si>
    <t>Hồ Thị Mỹ Lệ</t>
  </si>
  <si>
    <t>10.3555803299, 107.0934066772</t>
  </si>
  <si>
    <t>10.3555889130, 107.0935440063</t>
  </si>
  <si>
    <t>VC1007.78508</t>
  </si>
  <si>
    <t>VINMART_TRAN_DUY_HUNG</t>
  </si>
  <si>
    <t>Tầng 2, TTTM Vincom Center Trần Duy Hưng, Đường Trần Duy Hưng, P Trung Hòa, Quần Cầu Giấy, TP Hà Nội</t>
  </si>
  <si>
    <t>21.0380687714, 105.7938995361</t>
  </si>
  <si>
    <t>21.0719280243, 105.7917633057</t>
  </si>
  <si>
    <t>Nhất Nhất Thành</t>
  </si>
  <si>
    <t>NT40541FT0</t>
  </si>
  <si>
    <t>Chị Phương</t>
  </si>
  <si>
    <t>42A, Nguyễn Thông, 9, 3, HCM</t>
  </si>
  <si>
    <t>AL-08E-3003</t>
  </si>
  <si>
    <t>Nguyễn Ánh Ngọc</t>
  </si>
  <si>
    <t>10.7797193527, 106.6816711426</t>
  </si>
  <si>
    <t>10.7797622681, 106.6815643311</t>
  </si>
  <si>
    <t>VM1014.64312</t>
  </si>
  <si>
    <t>Vinmart 27 Lê Hữu Lập, phường Lam Sơn</t>
  </si>
  <si>
    <t>27 Lê Hữu Lập, phường Lam Sơn, Tp. Thanh Hóa, Tỉnh Thanh Hóa</t>
  </si>
  <si>
    <t>ST-07F-1001</t>
  </si>
  <si>
    <t>Nguyễn Dũng Ngọc</t>
  </si>
  <si>
    <t>19.8021469116, 105.7712783813</t>
  </si>
  <si>
    <t>19.8139095306, 105.7611999512</t>
  </si>
  <si>
    <t>Dong Thap</t>
  </si>
  <si>
    <t>HN500112EY</t>
  </si>
  <si>
    <t>CH Hồng Điệp</t>
  </si>
  <si>
    <t>28_KDC_Nguyễn Văn Voi, ấp Phú Mỹ Hiệp, TT.Cái Tàu Hạ, H.Châu Thành, Đồng Tháp</t>
  </si>
  <si>
    <t>AL-08C-4058</t>
  </si>
  <si>
    <t>Nguyễn Diệu Hiền</t>
  </si>
  <si>
    <t>08h00 - 16h30</t>
  </si>
  <si>
    <t>10.2596979141, 105.8735656738</t>
  </si>
  <si>
    <t>10.2596883774, 105.8735580444</t>
  </si>
  <si>
    <t>VC1007.36374</t>
  </si>
  <si>
    <t>VM HOAI DUC</t>
  </si>
  <si>
    <t>Tầng 1,2,3 tòa nhà CT1A khu đô thị Tân Tây Đô,X Tân Lập,H Đan Phượng,Tp Hà Nội</t>
  </si>
  <si>
    <t>ST-11A-1006</t>
  </si>
  <si>
    <t>Dương Thị Thu Huyền</t>
  </si>
  <si>
    <t>21.0740451813, 105.7006072998</t>
  </si>
  <si>
    <t>21.0740509033, 105.7008666992</t>
  </si>
  <si>
    <t>XH4001.92156</t>
  </si>
  <si>
    <t>BHX 3210 đường Quốc Lộ 51</t>
  </si>
  <si>
    <t xml:space="preserve">3210 đường Quốc Lộ 51, Ấp 1C, Xã Phước Thái, H  Long Thành, Tỉnh Đồng Nai</t>
  </si>
  <si>
    <t>ST-08F-3023</t>
  </si>
  <si>
    <t>Đỗ Đức Thịnh</t>
  </si>
  <si>
    <t>10.6781158447, 107.0277481079</t>
  </si>
  <si>
    <t>10.6779747009, 107.0277328491</t>
  </si>
  <si>
    <t>Bình Mai</t>
  </si>
  <si>
    <t>BM300310PN</t>
  </si>
  <si>
    <t>Ánh Tuấn</t>
  </si>
  <si>
    <t>ẤP 1, CHỢ LỘC ĐIỀN, Lộc Điền, Lộc Điền, Bình Phước</t>
  </si>
  <si>
    <t>AL-09C-3013</t>
  </si>
  <si>
    <t>Nguyễn Thị Quỳnh</t>
  </si>
  <si>
    <t>11.8043394089, 106.6267700195</t>
  </si>
  <si>
    <t>11.8044071198, 106.6269226074</t>
  </si>
  <si>
    <t>NT40541LPL</t>
  </si>
  <si>
    <t>Siêu thị GS-25 2A-4A, Tôn Đức Thắng</t>
  </si>
  <si>
    <t>2A-4A, Tôn Đức Thắng, P.Bến Nghé, Q.1, Hồ Chí Minh</t>
  </si>
  <si>
    <t>ST-08D-3002</t>
  </si>
  <si>
    <t>10.7783021927, 106.7068023682</t>
  </si>
  <si>
    <t>10.7783079147, 106.7068328857</t>
  </si>
  <si>
    <t>VC1007.35043</t>
  </si>
  <si>
    <t>VINMART Tầng hầm B1,TTTM VINCOM</t>
  </si>
  <si>
    <t>Tầng hầm B1,TTTM VINCOM,Số 2 Phạm Ngọc Thạch,P Trung Tự,Q Đống Đa,Hà Nội</t>
  </si>
  <si>
    <t>ST-05E-1006</t>
  </si>
  <si>
    <t>Mông Thị Truyền</t>
  </si>
  <si>
    <t>21.0061187744, 105.8321456909</t>
  </si>
  <si>
    <t>21.0062961578, 105.8318710327</t>
  </si>
  <si>
    <t>Bac Giang</t>
  </si>
  <si>
    <t>CO1004.20858</t>
  </si>
  <si>
    <t>CM BAC GIANG</t>
  </si>
  <si>
    <t>Số 51 Nguyễn Văn Cừ,Phường Ngô Quyền,Tp Bắc Giang,T Bắc Giang</t>
  </si>
  <si>
    <t>ST-04A-1045</t>
  </si>
  <si>
    <t>Nguyễn Thị Thủy</t>
  </si>
  <si>
    <t>21.2769241333, 106.1947708130</t>
  </si>
  <si>
    <t>21.2770156860, 106.1948318481</t>
  </si>
  <si>
    <t>NC500412PQ</t>
  </si>
  <si>
    <t>Quốc Việt</t>
  </si>
  <si>
    <t>0, CĐ Số 5, Ấp 1 (Gần Quán Nhậu 999), TT.Sa Rài, H.Tân Hồng, Đồng Tháp</t>
  </si>
  <si>
    <t>AL-07C-4003</t>
  </si>
  <si>
    <t>Bùi Thị Thúy</t>
  </si>
  <si>
    <t>10.8827590942, 105.4565200806</t>
  </si>
  <si>
    <t>10.8827600479, 105.4565200806</t>
  </si>
  <si>
    <t>VM1009.84903</t>
  </si>
  <si>
    <t>KIOT_02_04_HH03B_THANH_HA</t>
  </si>
  <si>
    <t xml:space="preserve">Ki ốt số 02-04, tầng 1 thuộc tòa nhà B2 1 HH03B, KĐT Thanh Hà - Cienco5, xã Cự Khê, H  Thanh Oai, TP  Hà Nội</t>
  </si>
  <si>
    <t>GSMT019</t>
  </si>
  <si>
    <t>Nguyễn Ngọc Ánh</t>
  </si>
  <si>
    <t>ST-06B-1003</t>
  </si>
  <si>
    <t>Trần Cao Minh</t>
  </si>
  <si>
    <t>ST-05F-1011</t>
  </si>
  <si>
    <t>Phạm Thị Thu Hằng</t>
  </si>
  <si>
    <t>20.9291019440, 105.7842102051</t>
  </si>
  <si>
    <t>20.8867378235, 105.7880172729</t>
  </si>
  <si>
    <t>HM200513AG</t>
  </si>
  <si>
    <t>Tổ 3, Thôn Lệ Sơn 1, Hòa Tiến, Hòa Vang, Đà Nẵng</t>
  </si>
  <si>
    <t>AL-06A-2002</t>
  </si>
  <si>
    <t>Nguyễn Thị Hoài Lệ</t>
  </si>
  <si>
    <t>15.9687385559, 108.1817169189</t>
  </si>
  <si>
    <t>15.9687690735, 108.1817474365</t>
  </si>
  <si>
    <t>Xuân Phương</t>
  </si>
  <si>
    <t>XP200210QL</t>
  </si>
  <si>
    <t>Phan Thị Thanh Hạnh</t>
  </si>
  <si>
    <t>220, Nguyễn Thái Học, Nguyễn Văn Cừ , Quy Nhơn, Bình Định</t>
  </si>
  <si>
    <t>AL-11A-2001</t>
  </si>
  <si>
    <t>Trần Thị Lệ Phụng</t>
  </si>
  <si>
    <t>08h30 - 16h30</t>
  </si>
  <si>
    <t>13.7705373764, 109.2182998657</t>
  </si>
  <si>
    <t>13.7705335617, 109.2183380127</t>
  </si>
  <si>
    <t>Phú Thuận</t>
  </si>
  <si>
    <t>PT40351EN5</t>
  </si>
  <si>
    <t>Lâm Hải</t>
  </si>
  <si>
    <t>13, Nguyễn Súy, Tân Quý, Tân Phú, HCM</t>
  </si>
  <si>
    <t>AL-04A-3107</t>
  </si>
  <si>
    <t>TRỊNH THỊ THÚY HỒNG</t>
  </si>
  <si>
    <t>AL-08A-3002</t>
  </si>
  <si>
    <t>Nguyễn Ngọc Uyên</t>
  </si>
  <si>
    <t>17h00 - 21h00</t>
  </si>
  <si>
    <t>10.7907199860, 106.6222915649</t>
  </si>
  <si>
    <t>EB4001.13932</t>
  </si>
  <si>
    <t>BIGC MIEN DONG</t>
  </si>
  <si>
    <t>138A Tô Hiến Thành, P 15, Q 10, Tp HCM</t>
  </si>
  <si>
    <t>GSMT029</t>
  </si>
  <si>
    <t>Nguyễn Ngọc Chiến</t>
  </si>
  <si>
    <t>ST-04A-3008</t>
  </si>
  <si>
    <t>Huỳnh Khắc Huy</t>
  </si>
  <si>
    <t>10.7780294418, 106.6655731201</t>
  </si>
  <si>
    <t>10.7789964676, 106.6650314331</t>
  </si>
  <si>
    <t>CO4065.48695</t>
  </si>
  <si>
    <t>Co op 241A CHU VAN AN</t>
  </si>
  <si>
    <t xml:space="preserve">241A Chu Văn An, p 12, quận Binh Thạnh, Tp  HCM</t>
  </si>
  <si>
    <t>ST-11C-3001</t>
  </si>
  <si>
    <t>Hồ Thị Mỹ Tiên</t>
  </si>
  <si>
    <t>10.8107395172, 106.7029647827</t>
  </si>
  <si>
    <t>10.8098344803, 106.7038726807</t>
  </si>
  <si>
    <t>ST-09F-2002</t>
  </si>
  <si>
    <t>Hồ Ngọc Thanh Nhung</t>
  </si>
  <si>
    <t>12.2481956482, 109.1949615479</t>
  </si>
  <si>
    <t>12.2485475540, 109.1952590942</t>
  </si>
  <si>
    <t>Anh Lập</t>
  </si>
  <si>
    <t>AL2001119K</t>
  </si>
  <si>
    <t>Sáu Lập</t>
  </si>
  <si>
    <t>Chợ Phước An, Phước An, Krông Pắk, Đăk Lăk</t>
  </si>
  <si>
    <t>AL-08C-2050</t>
  </si>
  <si>
    <t>Trịnh Thị Hiền Phương</t>
  </si>
  <si>
    <t>12.7093887329, 108.3037109375</t>
  </si>
  <si>
    <t>12.7092685699, 108.3037109375</t>
  </si>
  <si>
    <t>KC100110MT</t>
  </si>
  <si>
    <t>T-Mart Lô N02-TM02</t>
  </si>
  <si>
    <t xml:space="preserve">Lô N02-TM02,Tầng 1 Tòa N02 Ecohome 3,P.Đông Ngạc , Q.Bắc Từ Liêm , HN </t>
  </si>
  <si>
    <t>ST-12E-1010</t>
  </si>
  <si>
    <t>Phạm Thị Thanh Bình</t>
  </si>
  <si>
    <t>21.0901985168, 105.7859191895</t>
  </si>
  <si>
    <t>HN300210I1</t>
  </si>
  <si>
    <t>Nguyên Sơn</t>
  </si>
  <si>
    <t>314, KP5 , Phan Đăng Lưu, Hiệp An, Thủ Dầu Một, Bình Dương</t>
  </si>
  <si>
    <t>AL-09D-3007</t>
  </si>
  <si>
    <t>Lê Thị Ngát</t>
  </si>
  <si>
    <t>11.0242481232, 106.6382675171</t>
  </si>
  <si>
    <t>11.0242433548, 106.6382675171</t>
  </si>
  <si>
    <t>CO5010.36001</t>
  </si>
  <si>
    <t>COOP THỐT NỐT</t>
  </si>
  <si>
    <t>Quốc lộ 91, khu vực Phụng Thạnh I, Phường Thốt Nốt, Quận Thốt Nốt, Thành Phố Cần Thơ</t>
  </si>
  <si>
    <t>ST-12D-4007</t>
  </si>
  <si>
    <t>Trần Quốc Thế</t>
  </si>
  <si>
    <t>10.2691354752, 105.5357894897</t>
  </si>
  <si>
    <t>SG4040.38670</t>
  </si>
  <si>
    <t>SF LE VAN QUOI</t>
  </si>
  <si>
    <t>36 Lê Văn Quới,Phường Bình Hưng Hòa A,Quận Bình Tân,TP HCM</t>
  </si>
  <si>
    <t>ST-06C-3007</t>
  </si>
  <si>
    <t>Nguyễn Thị Mỹ Huyền</t>
  </si>
  <si>
    <t>10.7741851807, 106.6199874878</t>
  </si>
  <si>
    <t>10.7743873596, 106.6200866699</t>
  </si>
  <si>
    <t>VM1009.102914</t>
  </si>
  <si>
    <t>VMP_HNI_LO_03C_TOA_L</t>
  </si>
  <si>
    <t xml:space="preserve">Lô 03C, tầng 1 Tòa L, thuộc Dự án tòa K, L Khu ĐTM HH2 Dương Nội, Phường Dương Nội, Quận Hà Đông, TP  Hà Nội</t>
  </si>
  <si>
    <t>ST-05F-1005</t>
  </si>
  <si>
    <t>Trần Thị Giang</t>
  </si>
  <si>
    <t>20.9625682831, 105.7641754150</t>
  </si>
  <si>
    <t>20.9697322845, 105.7851867676</t>
  </si>
  <si>
    <t>XH4001.104658</t>
  </si>
  <si>
    <t>BHX 86 - 88 Đường số 10</t>
  </si>
  <si>
    <t>86 - 88 Đường số 10, Phường 13, Quận 06, TP HCM</t>
  </si>
  <si>
    <t>ST-08C-3008</t>
  </si>
  <si>
    <t>Nguyễn Thị Ngân Hà</t>
  </si>
  <si>
    <t>10.7532758713, 106.6274414063</t>
  </si>
  <si>
    <t>10.7532548904, 106.6274337769</t>
  </si>
  <si>
    <t>VC1016.58055</t>
  </si>
  <si>
    <t>VM_THAI_NGUYEN</t>
  </si>
  <si>
    <t>TTTM Vincom Thái Nguyên, Đường Lương Ngọc Quyến, Phường Quang Trung, TP Thái Nguyên, Tỉnh Thái Nguyên</t>
  </si>
  <si>
    <t>ST-03G-1007</t>
  </si>
  <si>
    <t>Trịnh Thị Nga</t>
  </si>
  <si>
    <t>21.5908622742, 105.8263320923</t>
  </si>
  <si>
    <t>21.5907936096, 105.8264007568</t>
  </si>
  <si>
    <t>CO4054.21787</t>
  </si>
  <si>
    <t>CM LY THUONG KIET</t>
  </si>
  <si>
    <t>TTTM-Văn Hóa-Dịch Vụ-Giải Trí, 497 Hòa Hảo,P 7,Q 10,Tp HCM</t>
  </si>
  <si>
    <t>ST-04A-3033</t>
  </si>
  <si>
    <t>Nguyễn Thị Trà Mi</t>
  </si>
  <si>
    <t>ST-02F-3024</t>
  </si>
  <si>
    <t>Nguyễn Thành Nhựt</t>
  </si>
  <si>
    <t>10.7596454620, 106.6613082886</t>
  </si>
  <si>
    <t>10.7598800659, 106.6616821289</t>
  </si>
  <si>
    <t>CO4024.5073</t>
  </si>
  <si>
    <t>CM BINH TAN</t>
  </si>
  <si>
    <t>Số 158 Đường số 19, P Bình Trị Đông B, Q Bình Tân, TP HCM</t>
  </si>
  <si>
    <t>ST-04A-3108</t>
  </si>
  <si>
    <t>Nguyễn Thị Ngọc Phượng</t>
  </si>
  <si>
    <t>ST-04G-3004</t>
  </si>
  <si>
    <t>Đặng Quốc Bảo</t>
  </si>
  <si>
    <t>10.7533931732, 106.6133651733</t>
  </si>
  <si>
    <t>10.7533922195, 106.6134033203</t>
  </si>
  <si>
    <t>TD500514E2</t>
  </si>
  <si>
    <t>La Thị Hoàng</t>
  </si>
  <si>
    <t>Khóm 2, TT Càng Long, TT.Càng Long, H.Càng Long, Trà Vinh</t>
  </si>
  <si>
    <t>AL-08F-4006</t>
  </si>
  <si>
    <t>Mai Thị Tươi</t>
  </si>
  <si>
    <t>10.0018873215, 106.2054824829</t>
  </si>
  <si>
    <t>10.0018815994, 106.2054824829</t>
  </si>
  <si>
    <t>TA100610WU</t>
  </si>
  <si>
    <t>Quang Minh</t>
  </si>
  <si>
    <t>Kim Nỗ, Đông Anh, Đông Anh, Hà Nội</t>
  </si>
  <si>
    <t>AL-09F-1004</t>
  </si>
  <si>
    <t>Lê Thị Oanh</t>
  </si>
  <si>
    <t>21.1333389282, 105.7939071655</t>
  </si>
  <si>
    <t>21.1332187653, 105.7940673828</t>
  </si>
  <si>
    <t>KA500322TA</t>
  </si>
  <si>
    <t>Bé Môn</t>
  </si>
  <si>
    <t>0, Chợ Đầm Dơi, Khóm 4, TT.Đầm Dơi, H.Đầm Dơi, Cà Mau</t>
  </si>
  <si>
    <t>AL-10F-4007</t>
  </si>
  <si>
    <t>Nguyễn Kim Thảo</t>
  </si>
  <si>
    <t>8.9954938889, 105.1984786987</t>
  </si>
  <si>
    <t>8.9954566956, 105.1984786987</t>
  </si>
  <si>
    <t>CV1005103G</t>
  </si>
  <si>
    <t xml:space="preserve">Thanh Thủy </t>
  </si>
  <si>
    <t>Ô3, Lô 4, Đền Lừ 2, Đền Lừ, Hoàng Mai, Hà Nội</t>
  </si>
  <si>
    <t>AL-04G-1002</t>
  </si>
  <si>
    <t>Trịnh Thị Hoàng Én</t>
  </si>
  <si>
    <t>20.9846019745, 105.8583221436</t>
  </si>
  <si>
    <t>20.9846000671, 105.8583297729</t>
  </si>
  <si>
    <t>HB1003.20053</t>
  </si>
  <si>
    <t>V HOA BINH Số 505,Phố Minh Khai</t>
  </si>
  <si>
    <t>Số 505,Phố Minh Khai,Phường Vĩnh Tuy,Q Hai Bà Trưng,Tp Hà Nội</t>
  </si>
  <si>
    <t>ST-04A-1012</t>
  </si>
  <si>
    <t>Nguyễn Hồng Loan</t>
  </si>
  <si>
    <t>ST-12D-1003</t>
  </si>
  <si>
    <t>Lương Thị Bích Ngọc</t>
  </si>
  <si>
    <t>20.9990959167, 105.8697586060</t>
  </si>
  <si>
    <t>20.9992942810, 105.8700332642</t>
  </si>
  <si>
    <t>VM1009.22490</t>
  </si>
  <si>
    <t>VM THANH NHAN</t>
  </si>
  <si>
    <t>227 Thanh Nhàn, Phường  Thanh Nhàn, Hai Ba Trưng, Hà Nội</t>
  </si>
  <si>
    <t>ST-04D-1004</t>
  </si>
  <si>
    <t>Trương Quang Trung</t>
  </si>
  <si>
    <t>20.9764556885, 105.8448181152</t>
  </si>
  <si>
    <t>21.0326061249, 105.8303909302</t>
  </si>
  <si>
    <t>SG4040.38075</t>
  </si>
  <si>
    <t>SF PHAM VAN BACH</t>
  </si>
  <si>
    <t xml:space="preserve">296 Phạm Văn Bạch, Phường 15, Quận Tân Bình, TP  HCM</t>
  </si>
  <si>
    <t>ST-04G-3021</t>
  </si>
  <si>
    <t>Thanh Phong Phạm</t>
  </si>
  <si>
    <t>10.8250885010, 106.6402664185</t>
  </si>
  <si>
    <t>10.8875350952, 106.5925903320</t>
  </si>
  <si>
    <t>LC1009.24967</t>
  </si>
  <si>
    <t xml:space="preserve">Lan chi Tràng An,  Chúc Sơn</t>
  </si>
  <si>
    <t xml:space="preserve">Tràng An,  Chúc Sơn, Chương Mỹ, Hà Nội</t>
  </si>
  <si>
    <t>ST-04E-1003</t>
  </si>
  <si>
    <t>Đỗ Thị Mai Lý</t>
  </si>
  <si>
    <t>20.9273471832, 105.7113571167</t>
  </si>
  <si>
    <t>20.9273719788, 105.7113037109</t>
  </si>
  <si>
    <t>Phúc Thịnh</t>
  </si>
  <si>
    <t>PT200116S7</t>
  </si>
  <si>
    <t>Toàn Hoa</t>
  </si>
  <si>
    <t>K199/1, Dũng Sĩ Thanh Khê, Thanh Khê Tây, Thanh Khê, Đà Nẵng</t>
  </si>
  <si>
    <t>AL-04A-2011</t>
  </si>
  <si>
    <t>Đỗ Thị Thùy Trang</t>
  </si>
  <si>
    <t>16.0761222839, 108.1723480225</t>
  </si>
  <si>
    <t>MA1007.90291</t>
  </si>
  <si>
    <t>CM_SCA_GOLDENSILK</t>
  </si>
  <si>
    <t>Tầng hầm, Tòa tháp C, Khu đô thị mới Kim Văn Kim Lũ, Phường Đại Kim, Quận Hoàng Mai, Thành phố Hà Nội</t>
  </si>
  <si>
    <t>ST-04A-1002</t>
  </si>
  <si>
    <t>Hoàng Thị Ngân</t>
  </si>
  <si>
    <t>ST-10E-1001</t>
  </si>
  <si>
    <t>Hoàng Minh Thảo</t>
  </si>
  <si>
    <t>20.9729404449, 105.8207778931</t>
  </si>
  <si>
    <t>20.9732818604, 105.8209609985</t>
  </si>
  <si>
    <t>VM1009.26669</t>
  </si>
  <si>
    <t>VM 1 KIM GIANG</t>
  </si>
  <si>
    <t>Số 1 ngõ 250 đường Kim Giang, phường Đại Kim, quận Hoàng Mai, Hà Nội</t>
  </si>
  <si>
    <t>ST-10C-1003</t>
  </si>
  <si>
    <t>Nguyễn Thị Hằng</t>
  </si>
  <si>
    <t>20.9791088104, 105.8205795288</t>
  </si>
  <si>
    <t>20.9791069031, 105.8205642700</t>
  </si>
  <si>
    <t>BD100511F1</t>
  </si>
  <si>
    <t>Kim Khánh</t>
  </si>
  <si>
    <t>Thôn Đức Thượng, Đức Thượng, Hoài Đức, Hà Nội</t>
  </si>
  <si>
    <t>AL-09F-1002</t>
  </si>
  <si>
    <t>Lê Thị Chung</t>
  </si>
  <si>
    <t>21.0748252869, 105.6942214966</t>
  </si>
  <si>
    <t>21.0748062134, 105.6942214966</t>
  </si>
  <si>
    <t>KC1001109D</t>
  </si>
  <si>
    <t>T-Mart Quầy 485</t>
  </si>
  <si>
    <t>Quầy 485, Vũ Tông Phan,P.Thanh Xuân Trung,Q.Thanh Xuân,Hà Nội</t>
  </si>
  <si>
    <t>ST-09E-1004</t>
  </si>
  <si>
    <t>Nguyễn Thị Thúy</t>
  </si>
  <si>
    <t>20.9868164063, 105.8141708374</t>
  </si>
  <si>
    <t>20.9865989685, 105.8139801025</t>
  </si>
  <si>
    <t>Ninh Thuan</t>
  </si>
  <si>
    <t>CO4045.5094</t>
  </si>
  <si>
    <t>CM PHAN RANG</t>
  </si>
  <si>
    <t>TTTM Chợ Thanh Hà, Trần Phú, P Phủ Hà, TP Phan Rang- Tháp Chàm, T Ninh Thuận</t>
  </si>
  <si>
    <t>ST-08D-2002</t>
  </si>
  <si>
    <t>Nguyễn Thị Mai Trâm</t>
  </si>
  <si>
    <t>11.5756072998, 108.9885864258</t>
  </si>
  <si>
    <t>11.5767164230, 108.9893188477</t>
  </si>
  <si>
    <t>XH4001.54951</t>
  </si>
  <si>
    <t>BHX Thửa đất số 659</t>
  </si>
  <si>
    <t xml:space="preserve">Thửa đất số 659, Tờ bản đồ số 17, Phường Tân Thới Hiệp ,Quận 12 ,TP Hồ Chí Minh </t>
  </si>
  <si>
    <t>ST-03G-3014</t>
  </si>
  <si>
    <t>Đặng Ngọc Bảo Châu</t>
  </si>
  <si>
    <t>10.8677959442, 106.6355361938</t>
  </si>
  <si>
    <t>10.8679237366, 106.6356811523</t>
  </si>
  <si>
    <t>MT100416O0</t>
  </si>
  <si>
    <t>Thắng Oanh</t>
  </si>
  <si>
    <t>TT Lai Cách, Cẩm Giàng, Hải Dương</t>
  </si>
  <si>
    <t>AL-05G-1006</t>
  </si>
  <si>
    <t>Bùi Thị Hải</t>
  </si>
  <si>
    <t>07h00 - 17h00</t>
  </si>
  <si>
    <t>20.8735713959, 106.2619094849</t>
  </si>
  <si>
    <t>20.8735523224, 106.2618865967</t>
  </si>
  <si>
    <t>XH4001.36892</t>
  </si>
  <si>
    <t>BHX 175 Lê Đình Cẩn</t>
  </si>
  <si>
    <t>175 Lê Đình Cẩn,P Tân Tạo,Q Bình Tân,Tp HCM</t>
  </si>
  <si>
    <t>ST-12F-3006</t>
  </si>
  <si>
    <t>Huỳnh Tấn Nhân</t>
  </si>
  <si>
    <t>10.7590665817, 106.5935821533</t>
  </si>
  <si>
    <t>10.7982330322, 106.5812149048</t>
  </si>
  <si>
    <t>TD500514MX</t>
  </si>
  <si>
    <t>Chị Hòa</t>
  </si>
  <si>
    <t>Số 36B tổ 12, Khóm 2, TT.Vũng Liêm, H.Vũng Liêm, Vĩnh Long</t>
  </si>
  <si>
    <t>AL-06D-4011</t>
  </si>
  <si>
    <t>Trần Phương Dung</t>
  </si>
  <si>
    <t>10.0962743759, 106.1857452393</t>
  </si>
  <si>
    <t>10.0962800980, 106.1857299805</t>
  </si>
  <si>
    <t>CO4048.5097</t>
  </si>
  <si>
    <t>CM VUNG TAU</t>
  </si>
  <si>
    <t>Số 36 Nguyễn Thái Học, P 7, TP Vũng Tàu, T Bà Rịa Vũng Tàu</t>
  </si>
  <si>
    <t>ST-06A-3003</t>
  </si>
  <si>
    <t>Trần Thị Minh Thế</t>
  </si>
  <si>
    <t>ST-04A-3210</t>
  </si>
  <si>
    <t>Lê Thị Thanh Thảo</t>
  </si>
  <si>
    <t>10.3667612076, 107.0854873657</t>
  </si>
  <si>
    <t>10.3668670654, 107.0854873657</t>
  </si>
  <si>
    <t>Tấn Lâm Hân</t>
  </si>
  <si>
    <t>LH300713JD</t>
  </si>
  <si>
    <t>Như Mai</t>
  </si>
  <si>
    <t>Thành Mỹ, Lâm Đồng</t>
  </si>
  <si>
    <t>AL-10F-2008</t>
  </si>
  <si>
    <t>Nguyễn Thị Thái</t>
  </si>
  <si>
    <t>11.7603540421, 108.4842147827</t>
  </si>
  <si>
    <t>11.7603578568, 108.4842300415</t>
  </si>
  <si>
    <t>VC3003.48049</t>
  </si>
  <si>
    <t>VM DI AN</t>
  </si>
  <si>
    <t>Tầng trệt,chợ Dĩ An,Phường Dĩ An,Tx Dĩ An,Bình Dương</t>
  </si>
  <si>
    <t>ST-05G-3005</t>
  </si>
  <si>
    <t>Lê Trang Thảo Duy</t>
  </si>
  <si>
    <t>10.9071693420, 106.7698211670</t>
  </si>
  <si>
    <t>10.9071769714, 106.7698211670</t>
  </si>
  <si>
    <t>XH4001.58757</t>
  </si>
  <si>
    <t>BHX 1/44A1 NGUYỄN VĂN QUÁ</t>
  </si>
  <si>
    <t>1/44A1 NGUYỄN VĂN QUÁ, KHU PHỐ 5, PHƯỜNG ĐÔNG HƯNG THUẬN, QUẬN 12, TP HCM</t>
  </si>
  <si>
    <t>ST-03G-3015</t>
  </si>
  <si>
    <t>Khương Thị Bích Liên</t>
  </si>
  <si>
    <t>10.8277406693, 106.6268157959</t>
  </si>
  <si>
    <t>10.8277215958, 106.6268005371</t>
  </si>
  <si>
    <t>HT40321P3E</t>
  </si>
  <si>
    <t>Circle K 366, Vo Van Ngan</t>
  </si>
  <si>
    <t>366, Vo Van Ngan, P.Bình Thọ, Q.Thủ Đức, Hồ Chí Minh</t>
  </si>
  <si>
    <t>ST-04E-3008</t>
  </si>
  <si>
    <t>Huỳnh Hà Cẩm Tú</t>
  </si>
  <si>
    <t>10.8497076035, 106.7718048096</t>
  </si>
  <si>
    <t>10.8495626450, 106.7719116211</t>
  </si>
  <si>
    <t>MK20021U2O</t>
  </si>
  <si>
    <t>Nga</t>
  </si>
  <si>
    <t>Chợ Suối Tân, Cam Lâm, Khánh Hòa</t>
  </si>
  <si>
    <t>AL-03E-2006</t>
  </si>
  <si>
    <t>Huỳnh Thị Trinh Nguyên</t>
  </si>
  <si>
    <t>12.1600522995, 109.0762252808</t>
  </si>
  <si>
    <t>12.1602468491, 109.0787353516</t>
  </si>
  <si>
    <t>Hai Phương</t>
  </si>
  <si>
    <t>HP3009110A</t>
  </si>
  <si>
    <t>Hùng Thương</t>
  </si>
  <si>
    <t>19, Đường 6, Suối Nghệ, Châu Đức, Bà Rịa - Vũng Tàu</t>
  </si>
  <si>
    <t>AL-03D-3002</t>
  </si>
  <si>
    <t>Phạm Thị Bình</t>
  </si>
  <si>
    <t>10.5857343674, 107.2083969116</t>
  </si>
  <si>
    <t>10.5856618881, 107.2084579468</t>
  </si>
  <si>
    <t>Hoàng Ngân</t>
  </si>
  <si>
    <t>HN50011158</t>
  </si>
  <si>
    <t>Mỹ Anh</t>
  </si>
  <si>
    <t>40, Trần Hưng Đạo, Khóm 1, 2, Sa Đéc, Đồng Tháp</t>
  </si>
  <si>
    <t>AL-04A-4108</t>
  </si>
  <si>
    <t>Huỳnh Như</t>
  </si>
  <si>
    <t>10.2914962769, 105.7682723999</t>
  </si>
  <si>
    <t>10.2915725708, 105.7683029175</t>
  </si>
  <si>
    <t>VI5002.21165</t>
  </si>
  <si>
    <t>VM BAC LIEU</t>
  </si>
  <si>
    <t>Khu TTTM Vincom Bạc Liêu,Khóm 1,P 3, TP Bạc Liêu</t>
  </si>
  <si>
    <t>ST-08A-4002</t>
  </si>
  <si>
    <t>Thái Thành</t>
  </si>
  <si>
    <t>9.2870149612, 105.7218170166</t>
  </si>
  <si>
    <t>9.2868204117, 105.7216110229</t>
  </si>
  <si>
    <t>XH4001.43755</t>
  </si>
  <si>
    <t>BHX A6/71P Liên Ấp 123</t>
  </si>
  <si>
    <t xml:space="preserve">A6/71P Liên Ấp 123, Ấp 1A, Xã Vĩnh Lộc A, Huyện Bình Chánh, TP  HCM</t>
  </si>
  <si>
    <t>ST-07D-3016</t>
  </si>
  <si>
    <t>Phan Thị Thu</t>
  </si>
  <si>
    <t>10.8079786301, 106.5619201660</t>
  </si>
  <si>
    <t>GH5001100C</t>
  </si>
  <si>
    <t>Lý Nguyên Thành</t>
  </si>
  <si>
    <t>Thiện Chí, Thiện CHí_Vĩnh Bình_GCT, TT.Vĩnh Bình, H.Gò Công Tây, Tiền Giang</t>
  </si>
  <si>
    <t>AL-06C-4002</t>
  </si>
  <si>
    <t>Phạm Thị Vĩnh An</t>
  </si>
  <si>
    <t>10.3431529999, 106.5803680420</t>
  </si>
  <si>
    <t>10.3431453705, 106.5803680420</t>
  </si>
  <si>
    <t>EB4001.13986</t>
  </si>
  <si>
    <t>BIG C ĐÀ NẴNG</t>
  </si>
  <si>
    <t>Khu Thương Mại Vĩnh Trung,Đ Hùng Vương,P Vĩnh Trung,Q Thanh Khê,TP Đà Nẵng</t>
  </si>
  <si>
    <t>ST-04A-2001</t>
  </si>
  <si>
    <t>Huỳnh Thị Thùy Dương</t>
  </si>
  <si>
    <t>ST-10F-2002</t>
  </si>
  <si>
    <t>Nguyễn Vũ</t>
  </si>
  <si>
    <t>16.0669403076, 108.2137298584</t>
  </si>
  <si>
    <t>16.0669937134, 108.2135009766</t>
  </si>
  <si>
    <t>MB00KC100110FM</t>
  </si>
  <si>
    <t>OKONO MART 19 Lạc Trung, Phường Vĩnh Tuy</t>
  </si>
  <si>
    <t xml:space="preserve">19 Lạc Trung, Phường Vĩnh Tuy, Quận Hai Bà Trưng, Hà Nội </t>
  </si>
  <si>
    <t>21.0029964447, 105.8620681763</t>
  </si>
  <si>
    <t>21.0029754639, 105.8622741699</t>
  </si>
  <si>
    <t>LT1007.6207</t>
  </si>
  <si>
    <t>LOTTE DONG DA</t>
  </si>
  <si>
    <t>Tòa nhà Mipec,229 Tây Sơn,Phường Ngã Tư Sở,Quận Đống Đa,Thành Phố Hà Nội</t>
  </si>
  <si>
    <t>ST-04A-1001</t>
  </si>
  <si>
    <t>ST-05F-1007</t>
  </si>
  <si>
    <t>Nguyễn Văn Khải</t>
  </si>
  <si>
    <t>21.0056457520, 105.8230895996</t>
  </si>
  <si>
    <t>21.0054740906, 105.8232498169</t>
  </si>
  <si>
    <t>CO1001.5042</t>
  </si>
  <si>
    <t>CM HAI PHONG</t>
  </si>
  <si>
    <t>Số 1 Đ.Lê Hồng Phong,P.Lạc Viên,Q.Ngô Quyền,TP.Hải Phòng</t>
  </si>
  <si>
    <t>ST-02C-1001</t>
  </si>
  <si>
    <t>Đặng Văn Hưng</t>
  </si>
  <si>
    <t>ST-08D-1001</t>
  </si>
  <si>
    <t>20.8613166809, 106.6971740723</t>
  </si>
  <si>
    <t>20.8606224060, 106.6964645386</t>
  </si>
  <si>
    <t>DT100213MR</t>
  </si>
  <si>
    <t>Vũ Thị Nhung</t>
  </si>
  <si>
    <t>251 Minh Tân 1, TT Vũ Thư, TT.Vũ Thư, H.Vũ Thư, Thái Bình</t>
  </si>
  <si>
    <t>AL-09C-1007</t>
  </si>
  <si>
    <t>Phạm Thị Đông Anh</t>
  </si>
  <si>
    <t>20.4373130798, 106.2906417847</t>
  </si>
  <si>
    <t>20.4374370575, 106.2907638550</t>
  </si>
  <si>
    <t>TL40041D8W</t>
  </si>
  <si>
    <t>Siêu thị GS-25 Số 1016/12, Nguyễn Văn Linh</t>
  </si>
  <si>
    <t>Số 1016/12, Nguyễn Văn Linh, KP Sky Garden 1-R1-1, P.Tân Phong, Q.7, Hồ Chí Minh</t>
  </si>
  <si>
    <t>ST-08E-3001</t>
  </si>
  <si>
    <t>Trần Nguyễn Ngọc Duyên</t>
  </si>
  <si>
    <t>10.7301492691, 106.7060089111</t>
  </si>
  <si>
    <t>10.7299289703, 106.7059860229</t>
  </si>
  <si>
    <t>VC4001.56525</t>
  </si>
  <si>
    <t>VM_LANDMARK_81</t>
  </si>
  <si>
    <t>Toà nhà 81 tầng, Khu Central Park, KĐT Central Park, Quận Bình Thạnh, TPHCM</t>
  </si>
  <si>
    <t>GSMT034</t>
  </si>
  <si>
    <t>Nguyễn Vĩnh Hưng</t>
  </si>
  <si>
    <t>ST-11E-3005</t>
  </si>
  <si>
    <t>Lê Quốc Nam</t>
  </si>
  <si>
    <t>10.7938432693, 106.7220993042</t>
  </si>
  <si>
    <t>10.7934694290, 106.7221221924</t>
  </si>
  <si>
    <t>VC1001.100178</t>
  </si>
  <si>
    <t>VINMART_CAM_PHA</t>
  </si>
  <si>
    <t>TTTM Vincom Cẩm Phả, Phường Cẩm Bình, TP. Cẩm Phả, Tỉnh Quảng Ninh</t>
  </si>
  <si>
    <t>ST-01F-1003</t>
  </si>
  <si>
    <t>Nông Thị Huyền</t>
  </si>
  <si>
    <t>21.0051689148, 107.2904205322</t>
  </si>
  <si>
    <t>21.0054168701, 107.2901229858</t>
  </si>
  <si>
    <t>VI4001.55771</t>
  </si>
  <si>
    <t>VMP_HCM_68_HUYNH_VAN_NGHE</t>
  </si>
  <si>
    <t>68 Huỳnh Văn Nghệ, Phường 15, Quận Tân Bình, TPHCM</t>
  </si>
  <si>
    <t>GSMT037</t>
  </si>
  <si>
    <t>Lê Hoàng Phương</t>
  </si>
  <si>
    <t>ST-08F-3009</t>
  </si>
  <si>
    <t>Ngô Quang Minh</t>
  </si>
  <si>
    <t>10.8275289536, 106.6370544434</t>
  </si>
  <si>
    <t>10.8066759109, 106.7122497559</t>
  </si>
  <si>
    <t>VI4001.65468</t>
  </si>
  <si>
    <t>VMP_HCM_17_41_THANH_DA</t>
  </si>
  <si>
    <t>17/41 Thanh Đa, phường 27, quận Bình Thạnh, TP HCM</t>
  </si>
  <si>
    <t>ST-06F-3013</t>
  </si>
  <si>
    <t>Nguyễn Thị Hồng Linh</t>
  </si>
  <si>
    <t>10.8163671494, 106.7180557251</t>
  </si>
  <si>
    <t>10.8163070679, 106.7180328369</t>
  </si>
  <si>
    <t>VM5008.54573</t>
  </si>
  <si>
    <t>VINMART_LONG_AN</t>
  </si>
  <si>
    <t>Ngã tư đường Hùng Vương - đường Mai Thị Tốt, Phường 2, TP Tân An, Tỉnh Long An</t>
  </si>
  <si>
    <t>GSMT011</t>
  </si>
  <si>
    <t>Trương Văn Tân</t>
  </si>
  <si>
    <t>ST-08D-4009</t>
  </si>
  <si>
    <t>Nguyễn Thị Hồng Ân</t>
  </si>
  <si>
    <t>10.4678478241, 106.4357604980</t>
  </si>
  <si>
    <t>10.5344963074, 106.4102706909</t>
  </si>
  <si>
    <t>MT1004154S</t>
  </si>
  <si>
    <t>Hồng Phố</t>
  </si>
  <si>
    <t>., Phao SơnPhả Lại, P.Phả Lại, TX.Chí Linh, Hải Dương</t>
  </si>
  <si>
    <t>AL-11C-1008</t>
  </si>
  <si>
    <t>Từ Thị Nga</t>
  </si>
  <si>
    <t>21.1163864136, 106.3200759888</t>
  </si>
  <si>
    <t>21.1166725159, 106.3212890625</t>
  </si>
  <si>
    <t>Tuấn Nga</t>
  </si>
  <si>
    <t>TN101113HM</t>
  </si>
  <si>
    <t>Chị Thanh</t>
  </si>
  <si>
    <t>57, Trường Chinh, Phương Liệt, Thanh Xuân, Hà Nội</t>
  </si>
  <si>
    <t>AL-05D-1001</t>
  </si>
  <si>
    <t>Trần Thị Thanh Nga</t>
  </si>
  <si>
    <t>20.9979591370, 105.8399658203</t>
  </si>
  <si>
    <t>20.9979305267, 105.8399276733</t>
  </si>
  <si>
    <t>XH4001.88807</t>
  </si>
  <si>
    <t>BHX Số 36 Tổ 1</t>
  </si>
  <si>
    <t xml:space="preserve">Số 36, Tổ 1, khu phố Khánh Long, P  Tân Phước Khánh, TX  Tân Uyên, Tỉnh Bình Dương</t>
  </si>
  <si>
    <t>ST-03G-3024</t>
  </si>
  <si>
    <t>Bùi Quốc Trung</t>
  </si>
  <si>
    <t>10.9867544174, 106.7429809570</t>
  </si>
  <si>
    <t>10.9867601395, 106.7429504395</t>
  </si>
  <si>
    <t>MT4002.6380</t>
  </si>
  <si>
    <t>METRO AN PHÚ</t>
  </si>
  <si>
    <t>Khu B, Khu Đô Thị Mới An Phú – An Khánh, Phường An Phú, Thành phố Thủ Đức, Thành phố Hồ Chí Minh</t>
  </si>
  <si>
    <t>ST-04A-3098</t>
  </si>
  <si>
    <t>Đinh Tiến Đạt</t>
  </si>
  <si>
    <t>ST-05D-3009</t>
  </si>
  <si>
    <t>Phan Thị Kim Anh</t>
  </si>
  <si>
    <t>10.8009853363, 106.7427673340</t>
  </si>
  <si>
    <t>10.8009624481, 106.7433853149</t>
  </si>
  <si>
    <t>LC1009.24957</t>
  </si>
  <si>
    <t>Lan chi Số 13, đường 427</t>
  </si>
  <si>
    <t>Số 13, đường 427, X Hà Hồi, H Thường Tín, Hà Nội</t>
  </si>
  <si>
    <t>ST-08A-1003</t>
  </si>
  <si>
    <t>Phạm Thị Duyên</t>
  </si>
  <si>
    <t>20.8706874847, 105.8738555908</t>
  </si>
  <si>
    <t>20.8706607819, 105.8737487793</t>
  </si>
  <si>
    <t>VM1009.104210</t>
  </si>
  <si>
    <t>VP_C2_VINHOMES_DCAPITALE</t>
  </si>
  <si>
    <t xml:space="preserve">Diện tích thương mại số 01, Tháp G (tên thương mại: Tòa C2) thuộc Nhà Chung Cư tại địa chỉ: Lô đất ký hiệu HH, KĐT Đông Nam đường Trần Duy Hưng, P  Trung Hòa, Q  Cầu Giấy, TP  Hà Nội</t>
  </si>
  <si>
    <t>ST-03G-1006</t>
  </si>
  <si>
    <t>Vũ Hải Phong</t>
  </si>
  <si>
    <t>21.0043239594, 105.7941741943</t>
  </si>
  <si>
    <t>21.0043563843, 105.7942886353</t>
  </si>
  <si>
    <t>CO4032.5081</t>
  </si>
  <si>
    <t>CM NGUYEN DINH CHIEU</t>
  </si>
  <si>
    <t>Số 168 Nguyễn Đình Chiểu, Phường Võ Thị Sáu, Quận 3, TP HCM</t>
  </si>
  <si>
    <t>ST-04A-3034</t>
  </si>
  <si>
    <t>Nguyễn Thị Hiền</t>
  </si>
  <si>
    <t>10.7813558578, 106.6928100586</t>
  </si>
  <si>
    <t>10.7813205719, 106.6927947998</t>
  </si>
  <si>
    <t>Circle K</t>
  </si>
  <si>
    <t>KC100110A8</t>
  </si>
  <si>
    <t>Circle K Rice City</t>
  </si>
  <si>
    <t>Rice City, Linh Đàm-CT5,P.Hoàng Liệt,Q.Hoàng Mai,Hà Nội</t>
  </si>
  <si>
    <t>ST-03C-1001</t>
  </si>
  <si>
    <t>Khúc Văn Xuân</t>
  </si>
  <si>
    <t>20.9477748871, 105.8748931885</t>
  </si>
  <si>
    <t>20.9477691650, 105.8748931885</t>
  </si>
  <si>
    <t>XH4001.106450</t>
  </si>
  <si>
    <t>BHX Tổ Dân Phố Ngô Mây, phường Ba Ngòi</t>
  </si>
  <si>
    <t>Tổ Dân Phố Ngô Mây, phường Ba Ngòi, Thành Phố Cam Ranh, Tỉnh Khánh Hòa</t>
  </si>
  <si>
    <t>ST-11B-2002</t>
  </si>
  <si>
    <t>Nguyễn Huỳnh Hạ Huyên</t>
  </si>
  <si>
    <t>11.9186639786, 109.1384506226</t>
  </si>
  <si>
    <t>11.9186353683, 109.1384429932</t>
  </si>
  <si>
    <t>ST-04A-2014</t>
  </si>
  <si>
    <t>Lê Thành Đạt</t>
  </si>
  <si>
    <t>16.4602203369, 107.5994491577</t>
  </si>
  <si>
    <t>16.4592323303, 107.5993804932</t>
  </si>
  <si>
    <t>MK40021QF5</t>
  </si>
  <si>
    <t>Siêu thị GS-25 Số 35, Trương Công Định</t>
  </si>
  <si>
    <t>Số 35, Trương Công Định, P.14, Q.Tân Bình, Hồ Chí Minh</t>
  </si>
  <si>
    <t>ST-08D-3001</t>
  </si>
  <si>
    <t>Đào Trần Ngọc Thọ</t>
  </si>
  <si>
    <t>ST-02E-3001</t>
  </si>
  <si>
    <t>Lê Nguyễn Ngọc Ngân</t>
  </si>
  <si>
    <t>10.7520542145, 106.6544647217</t>
  </si>
  <si>
    <t>10.7718906403, 106.6134033203</t>
  </si>
  <si>
    <t>ST-04F-3006</t>
  </si>
  <si>
    <t>Phan Thị Mỹ Ngọc</t>
  </si>
  <si>
    <t>10.8046846390, 106.7213668823</t>
  </si>
  <si>
    <t>10.7938652039, 106.7221832275</t>
  </si>
  <si>
    <t>Minh Phát</t>
  </si>
  <si>
    <t>MP200110O2</t>
  </si>
  <si>
    <t>Hải</t>
  </si>
  <si>
    <t>194A, Nguyễn Trãi, P Tây Lộc, TP Huế, Huế</t>
  </si>
  <si>
    <t>AL-09C-2002</t>
  </si>
  <si>
    <t>Trương Nữ Diệu Huyền</t>
  </si>
  <si>
    <t>16.4750747681, 107.5668716431</t>
  </si>
  <si>
    <t>16.4749603271, 107.5669097900</t>
  </si>
  <si>
    <t>LC1007.124714</t>
  </si>
  <si>
    <t>The City Đường 39- Ngã 5 Yên Mỹ, Huyện Yên Mỹ</t>
  </si>
  <si>
    <t>Đường 39- Ngã 5 Yên Mỹ, Huyện Yên Mỹ, TỈnh Hưng Yên</t>
  </si>
  <si>
    <t>ST-12F-1001</t>
  </si>
  <si>
    <t>Đào Mạnh Cường</t>
  </si>
  <si>
    <t>20.8890533447, 106.0450515747</t>
  </si>
  <si>
    <t>20.8891010284, 106.0454788208</t>
  </si>
  <si>
    <t>CO4042.5091</t>
  </si>
  <si>
    <t>Co op Đồng Xoài</t>
  </si>
  <si>
    <t>Khu TTTM Đồng Xòai, Phú Riềng Đỏ, P Tân Bình, TP Đồng Xòai, T Bình Phước</t>
  </si>
  <si>
    <t>ST-09D-3003</t>
  </si>
  <si>
    <t>Mỵ Thị Mai</t>
  </si>
  <si>
    <t>07h00 - 15h30</t>
  </si>
  <si>
    <t>11.5322771072, 106.8969421387</t>
  </si>
  <si>
    <t>11.5330495834, 106.8973312378</t>
  </si>
  <si>
    <t>XH4001.88785</t>
  </si>
  <si>
    <t>BHX 32/9A - 32/9B ấp Tiền Lân</t>
  </si>
  <si>
    <t xml:space="preserve">32/9A - 32/9B ấp Tiền Lân, xã Bà Điểm, huyện Hóc Môn, TP  HCM</t>
  </si>
  <si>
    <t>10.8477745056, 106.6003265381</t>
  </si>
  <si>
    <t>10.8477344513, 106.6003646851</t>
  </si>
  <si>
    <t>ST-04F-2005</t>
  </si>
  <si>
    <t>16.0667419434, 108.1869812012</t>
  </si>
  <si>
    <t>16.0667495728, 108.1870422363</t>
  </si>
  <si>
    <t>Hùng Cường</t>
  </si>
  <si>
    <t>HC200410XJ</t>
  </si>
  <si>
    <t>Nguyễn Thị Sen</t>
  </si>
  <si>
    <t>Vĩnh An, Bình Thạnh, Bình Sơn, Quảng Ngãi</t>
  </si>
  <si>
    <t>AL-08C-2026</t>
  </si>
  <si>
    <t>Võ Thị Thu An</t>
  </si>
  <si>
    <t>15.3787288666, 108.7711410522</t>
  </si>
  <si>
    <t>15.3787307739, 108.7711334229</t>
  </si>
  <si>
    <t>Dak Nong</t>
  </si>
  <si>
    <t>CO4052.20895</t>
  </si>
  <si>
    <t>Coop Dak Nong</t>
  </si>
  <si>
    <t>Đường Huỳnh Thúc Kháng, Tổ dân phố 1, P Nghĩa Thành, Thành phố Gia Nghĩa, Tỉnh Đắk Nông</t>
  </si>
  <si>
    <t>ST-09E-2007</t>
  </si>
  <si>
    <t>Phan Thị Thu Thảo</t>
  </si>
  <si>
    <t>12.0031776428, 107.6855010986</t>
  </si>
  <si>
    <t>12.0033159256, 107.6855392456</t>
  </si>
  <si>
    <t>VM1009.38217</t>
  </si>
  <si>
    <t>VM C4 NGO 63</t>
  </si>
  <si>
    <t>C4 Dự án xây dựng khu nhà ở di dân GPMB &amp; đấu giá QSDĐ, ngõ 63 đường Lê Đức Thọ, p Mỹ Đình 2, q Nam Từ Liêm, Hà Nội</t>
  </si>
  <si>
    <t>ST-03G-1004</t>
  </si>
  <si>
    <t>Nguyễn Thị Trọng</t>
  </si>
  <si>
    <t>21.0295143127, 105.7695465088</t>
  </si>
  <si>
    <t>21.0294799805, 105.7695770264</t>
  </si>
  <si>
    <t>Soc Trang</t>
  </si>
  <si>
    <t>QL5001106H</t>
  </si>
  <si>
    <t>Cẩm Hồng</t>
  </si>
  <si>
    <t>cách chợ 200m, cách chợ 200m, ấp Thanh Bình, Cảng Trần Đề, X.Trung Bình, H.Trần Đề, Sóc Trăng</t>
  </si>
  <si>
    <t>AL-06E-4001</t>
  </si>
  <si>
    <t>Lê Thị Diễm Trinh</t>
  </si>
  <si>
    <t>9.5197420120, 106.1936340332</t>
  </si>
  <si>
    <t>9.5196590424, 106.1936798096</t>
  </si>
  <si>
    <t>XH4001.45165</t>
  </si>
  <si>
    <t>BHX 2/2 Phan Văn Hớn</t>
  </si>
  <si>
    <t>2/2 Phan Văn Hớn, Ấp Tiền Lân, Xã Bà Điểm, Huyện Hóc Môn, TP HCM</t>
  </si>
  <si>
    <t>ST-02F-3012</t>
  </si>
  <si>
    <t>Lê Thùy Trang</t>
  </si>
  <si>
    <t>10.8315906525, 106.5961761475</t>
  </si>
  <si>
    <t>10.8435325623, 106.5954818726</t>
  </si>
  <si>
    <t>CF4001.62194</t>
  </si>
  <si>
    <t>CH_CF_TINH_LO_43</t>
  </si>
  <si>
    <t xml:space="preserve">898 Tỉnh Lộ 43, TP  Thủ Đức, TP  Hồ Chí Minh</t>
  </si>
  <si>
    <t>ST-08F-3018</t>
  </si>
  <si>
    <t>Dương Quốc Tuấn</t>
  </si>
  <si>
    <t>10.8891487122, 106.7262344360</t>
  </si>
  <si>
    <t>10.8759307861, 106.7474365234</t>
  </si>
  <si>
    <t>CO2012.64375</t>
  </si>
  <si>
    <t>Coop Buôn Hồ</t>
  </si>
  <si>
    <t xml:space="preserve">Số 464 Đường Hùng Vương, P  An Bình, TX  Buôn Hồ, T  Đắk Lắk</t>
  </si>
  <si>
    <t>ST-05E-2004</t>
  </si>
  <si>
    <t>Phạm Thị Mỹ Dung</t>
  </si>
  <si>
    <t>12.9153041840, 108.2653350830</t>
  </si>
  <si>
    <t>12.9153079987, 108.2653427124</t>
  </si>
  <si>
    <t>KC100110DS</t>
  </si>
  <si>
    <t>T-Mart Tầng 1</t>
  </si>
  <si>
    <t xml:space="preserve">Tầng 1, toà 19T6 KĐT Kiến Hưng, phường Kiến Hưng, quận Hà Đông, Hà Nội </t>
  </si>
  <si>
    <t>ST-06E-1008</t>
  </si>
  <si>
    <t>Trần Văn Điệp</t>
  </si>
  <si>
    <t>20.9446125031, 105.7919692993</t>
  </si>
  <si>
    <t>20.9445858002, 105.7920150757</t>
  </si>
  <si>
    <t>SG4039.30764</t>
  </si>
  <si>
    <t>S_SATRA PHAM HUNG</t>
  </si>
  <si>
    <t>C6/27 Phạm Hùng, Xã Bình Hưng, Huyện Bình Chánh, TP HCM</t>
  </si>
  <si>
    <t>ST-04A-3216</t>
  </si>
  <si>
    <t>Hứa Thu Hằng</t>
  </si>
  <si>
    <t>AL-05B-3009</t>
  </si>
  <si>
    <t>Trần Lợi Lợi</t>
  </si>
  <si>
    <t>10.7334623337, 106.6741714478</t>
  </si>
  <si>
    <t>10.7335500717, 106.6743087769</t>
  </si>
  <si>
    <t>SG4040.58747</t>
  </si>
  <si>
    <t>SF_454_TUNG_THIEN_VUONG</t>
  </si>
  <si>
    <t xml:space="preserve">Số 454, Tùng Thiện Vương, Phường 12, Quận 8, Tp  Hồ Chí Minh</t>
  </si>
  <si>
    <t>10.7438497543, 106.6557312012</t>
  </si>
  <si>
    <t>10.7438888550, 106.6557617188</t>
  </si>
  <si>
    <t>VC1007.63184</t>
  </si>
  <si>
    <t>VINMART_TRUONG_DINH</t>
  </si>
  <si>
    <t xml:space="preserve">Tòa nhà Nam Đô Complex, 609 Trương Định, Phường Thịnh Liệt, Quận Hoàng Mai, TP  Hà Nội</t>
  </si>
  <si>
    <t>ST-04F-1003</t>
  </si>
  <si>
    <t>Triệu Diệu Linh</t>
  </si>
  <si>
    <t>20.9795131683, 105.8439941406</t>
  </si>
  <si>
    <t>20.9795455933, 105.8442153931</t>
  </si>
  <si>
    <t>CO4066.50531</t>
  </si>
  <si>
    <t>CO_OPMART_TAN_THANH</t>
  </si>
  <si>
    <t>Quốc lộ 51, Tổ 12, Khu phố Tân Phú, Phường Phú Mỹ, Thị xã Phú Mỹ, Tỉnh Bà Rịa - Vũng Tàu</t>
  </si>
  <si>
    <t>ST-03G-3010</t>
  </si>
  <si>
    <t>Huỳnh Công Thiện</t>
  </si>
  <si>
    <t>10.5983018875, 107.0552520752</t>
  </si>
  <si>
    <t>10.5982837677, 107.0552520752</t>
  </si>
  <si>
    <t>AK20011007</t>
  </si>
  <si>
    <t>Tuyến Hằng</t>
  </si>
  <si>
    <t>Tổ Dân Phố 2, Đức Phổ, Quảng Ngãi</t>
  </si>
  <si>
    <t>AL-12F-2001</t>
  </si>
  <si>
    <t>Nguyễn Thị Đình Đình</t>
  </si>
  <si>
    <t>14.8073568344, 108.9574966431</t>
  </si>
  <si>
    <t>14.8073453903, 108.9574890137</t>
  </si>
  <si>
    <t>VI4001.47771</t>
  </si>
  <si>
    <t>VMP 314 LE VAN THO</t>
  </si>
  <si>
    <t>314 Lê Văn Thọ, Phường 11, Quận Gò Vấp, Thành Phố Hồ Chí Minh</t>
  </si>
  <si>
    <t>ST-07F-3016</t>
  </si>
  <si>
    <t>Nguyễn Quốc Đoàn</t>
  </si>
  <si>
    <t>10.8454256058, 106.6571273804</t>
  </si>
  <si>
    <t>10.8392667770, 106.6561203003</t>
  </si>
  <si>
    <t>SH500417JY</t>
  </si>
  <si>
    <t>Chị Oanh</t>
  </si>
  <si>
    <t>11, Bùi Hữu Nghĩa, P.Bình Thủy, Q.Bình Thủy, Cần Thơ</t>
  </si>
  <si>
    <t>AL-04A-4008</t>
  </si>
  <si>
    <t>Nguyễn Thị Kim Hoàng</t>
  </si>
  <si>
    <t>10.0716915131, 105.7525482178</t>
  </si>
  <si>
    <t>10.0716934204, 105.7525482178</t>
  </si>
  <si>
    <t>CT3002155S</t>
  </si>
  <si>
    <t>Liên Hùng</t>
  </si>
  <si>
    <t>Gần chợ Thăng Long, Nam Ban, Lâm Hà, Lâm Đồng</t>
  </si>
  <si>
    <t>AL-12D-2001</t>
  </si>
  <si>
    <t>Phạm Thị Minh Phượng</t>
  </si>
  <si>
    <t>11.8441772461, 108.3427352905</t>
  </si>
  <si>
    <t>11.8441944122, 108.3427505493</t>
  </si>
  <si>
    <t>XH4001.112791</t>
  </si>
  <si>
    <t>BHX Tổ 5, Ấp Phước Tân 3</t>
  </si>
  <si>
    <t xml:space="preserve">Tổ 5, Ấp Phước Tân 3, Xã Tân Hưng, TP  Bà Rịa, Tỉnh Bà Rịa - Vũng Tàu</t>
  </si>
  <si>
    <t>ST-04G-3001</t>
  </si>
  <si>
    <t>10.5265016556, 107.1690826416</t>
  </si>
  <si>
    <t>10.5264682770, 107.1690750122</t>
  </si>
  <si>
    <t>CO4033.5082</t>
  </si>
  <si>
    <t>CM THANG LOI</t>
  </si>
  <si>
    <t>102 Phan Văn Hớn, P Tân Thới Nhất, Q 12, TP HCM</t>
  </si>
  <si>
    <t>ST-04A-3130</t>
  </si>
  <si>
    <t>Phạm Đức Anh</t>
  </si>
  <si>
    <t>ST-08F-3002</t>
  </si>
  <si>
    <t>Phan Quyền Đức</t>
  </si>
  <si>
    <t>13h00 - 21h00</t>
  </si>
  <si>
    <t>10.8284091949, 106.6198959351</t>
  </si>
  <si>
    <t>10.8283958435, 106.6199951172</t>
  </si>
  <si>
    <t>VC1007.35047</t>
  </si>
  <si>
    <t>VINMART Nhà CT7A, Khu đô thị mới Văn Quán</t>
  </si>
  <si>
    <t>Nhà CT7A, Khu đô thị mới Văn Quán, Yên Phúc, Phường Phúc La, Quận Hà Đông, TP Hà Nội</t>
  </si>
  <si>
    <t>20.9741649628, 105.7887268066</t>
  </si>
  <si>
    <t>20.9742355347, 105.7886657715</t>
  </si>
  <si>
    <t>SG4040.47904</t>
  </si>
  <si>
    <t>SF 49 TAN CHANH HIEP 10</t>
  </si>
  <si>
    <t xml:space="preserve">49 Tân Chánh Hiệp 10, KP 8, P  Tân Chánh Hiệp, Quận 12, TP  HCM</t>
  </si>
  <si>
    <t>ST-03G-3031</t>
  </si>
  <si>
    <t>Trần Thị Đan Thùy</t>
  </si>
  <si>
    <t>10.8637905121, 106.6307907104</t>
  </si>
  <si>
    <t>10.8635940552, 106.6307983398</t>
  </si>
  <si>
    <t>Hải Hà</t>
  </si>
  <si>
    <t>HH2002111L</t>
  </si>
  <si>
    <t>Thanh Thành</t>
  </si>
  <si>
    <t>Chợ Hà Lan A, Hà Lan A, Buôn Hồ, Đăk Lăk</t>
  </si>
  <si>
    <t>AL-07D-2006</t>
  </si>
  <si>
    <t>Hồ Thị Thu Thanh</t>
  </si>
  <si>
    <t>12.8504333496, 108.2542266846</t>
  </si>
  <si>
    <t>12.8504419327, 108.2542037964</t>
  </si>
  <si>
    <t>MB00VM10092794</t>
  </si>
  <si>
    <t>VMP_HNI_30C_PHAN_BOI_CHAU</t>
  </si>
  <si>
    <t xml:space="preserve">Số 30C Phố Phan Bội Châu, P  Cửa Nam, q Hoàn Kiếm, TP Hà Nội</t>
  </si>
  <si>
    <t>VT.DEMO01</t>
  </si>
  <si>
    <t>TV DEMO</t>
  </si>
  <si>
    <t>gs.demoMT</t>
  </si>
  <si>
    <t>Giám sát demo MT</t>
  </si>
  <si>
    <t>PGMINI</t>
  </si>
  <si>
    <t>PG Mini Demo</t>
  </si>
  <si>
    <t>10.7880249023, 106.6994781494</t>
  </si>
  <si>
    <t>10.7880239487, 106.6995010376</t>
  </si>
  <si>
    <t>TH2010.18699</t>
  </si>
  <si>
    <t>MIEN NUI THANH HOA Thị Trấn Thường Xuân, Huyện Thường Xuân</t>
  </si>
  <si>
    <t>Thị Trấn Thường Xuân, Huyện Thường Xuân, Tỉnh Thanh Hóa</t>
  </si>
  <si>
    <t>ST-03G-2002</t>
  </si>
  <si>
    <t>Lê Thị Thương</t>
  </si>
  <si>
    <t>19.9027690887, 105.3471374512</t>
  </si>
  <si>
    <t>19.9026985168, 105.3471221924</t>
  </si>
  <si>
    <t>VC1007.35090</t>
  </si>
  <si>
    <t>VM N C THANH</t>
  </si>
  <si>
    <t>54A Nguyễn Chí Thanh,Q Đống Đa,Tp Hà Nội</t>
  </si>
  <si>
    <t>ST-03E-1012</t>
  </si>
  <si>
    <t>Nguyễn Thu Hằng</t>
  </si>
  <si>
    <t>21.0232543945, 105.8095321655</t>
  </si>
  <si>
    <t>21.0234107971, 105.8087921143</t>
  </si>
  <si>
    <t>VI3002.73697</t>
  </si>
  <si>
    <t>VMP_DNI_89_TO_9_TAN_HIEP</t>
  </si>
  <si>
    <t>89 Tổ 9, KP1, P Tân Hiệp, TP Biên Hoà, T Đồng Nai</t>
  </si>
  <si>
    <t>ST-08E-3009</t>
  </si>
  <si>
    <t>Trần Ngọc Tài</t>
  </si>
  <si>
    <t>10.9653320313, 106.8655242920</t>
  </si>
  <si>
    <t>10.9653043747, 106.8655319214</t>
  </si>
  <si>
    <t>NT40541DF4</t>
  </si>
  <si>
    <t>Circle K 22L, Vũ Huy Tấn</t>
  </si>
  <si>
    <t>22L, Vũ Huy Tấn, P.3, Q.Bình Thạnh, Hồ Chí Minh</t>
  </si>
  <si>
    <t>ST-03F-3037</t>
  </si>
  <si>
    <t>Phạm Huỳnh Đức</t>
  </si>
  <si>
    <t>10.7959280014, 106.6924819946</t>
  </si>
  <si>
    <t>10.7959251404, 106.6924057007</t>
  </si>
  <si>
    <t>Aeon</t>
  </si>
  <si>
    <t>AE1001.97124</t>
  </si>
  <si>
    <t>AEON HA DONG</t>
  </si>
  <si>
    <t>TTTM Aeonmall Hà Đông, Tổ dân phố Hoàng Văn Thụ, P. Dương Nội, Q. Hà Đông, TP. Hà Nội</t>
  </si>
  <si>
    <t>20.9894924164, 105.7525939941</t>
  </si>
  <si>
    <t>20.9900112152, 105.7525405884</t>
  </si>
  <si>
    <t>NC40171KBU</t>
  </si>
  <si>
    <t>Circle K Số 1, Đường Số 1</t>
  </si>
  <si>
    <t>Số 1, Đường Số 1, Residence Citiland Garden Hill, P.5, Q.Gò Vấp, Hồ Chí Minh</t>
  </si>
  <si>
    <t>ST-04A-3071</t>
  </si>
  <si>
    <t>Nguyễn Mỹ Linh</t>
  </si>
  <si>
    <t>10.8238878250, 106.6925125122</t>
  </si>
  <si>
    <t>10.8238887787, 106.6925048828</t>
  </si>
  <si>
    <t>CVS</t>
  </si>
  <si>
    <t>G74003.65922</t>
  </si>
  <si>
    <t>G7 MINISTOP B2 2G, TẦNG B2</t>
  </si>
  <si>
    <t xml:space="preserve">B2 2G, TẦNG B2, THÁP HAWAII, ĐẢO KIM CƯƠNG, SỐ 01, ĐƯỜNG 104-BTT, P BÌNH TRƯNG TÂY, TP  Thủ Đức</t>
  </si>
  <si>
    <t>ST-09E-3001</t>
  </si>
  <si>
    <t>Đỗ Ngọc Châu</t>
  </si>
  <si>
    <t>10.7803592682, 106.7463760376</t>
  </si>
  <si>
    <t>CF4001.4960</t>
  </si>
  <si>
    <t>CF VINH HOI</t>
  </si>
  <si>
    <t>102 Vĩnh Hội, Q 4, Tp HCM</t>
  </si>
  <si>
    <t>ST-04A-3135</t>
  </si>
  <si>
    <t>Trang Thị Thanh Thúy</t>
  </si>
  <si>
    <t>10.7560625076, 106.7045211792</t>
  </si>
  <si>
    <t>10.7559967041, 106.7044906616</t>
  </si>
  <si>
    <t>TH2010.35449</t>
  </si>
  <si>
    <t>MIEN NUI THANH HOA 3 Siêu Thị Miền Tây Thạch Thành-Thị Trấn Kim Tân, Huyện Thạch Thành</t>
  </si>
  <si>
    <t>3 Siêu Thị Miền Tây Thạch Thành-Thị Trấn Kim Tân, Huyện Thạch Thành,Tỉnh Thanh Hóa</t>
  </si>
  <si>
    <t>ST-04C-1005</t>
  </si>
  <si>
    <t>Lê Thị Tâm</t>
  </si>
  <si>
    <t>20.1292037964, 105.6699066162</t>
  </si>
  <si>
    <t>20.1291980743, 105.6699066162</t>
  </si>
  <si>
    <t>13.7530441284, 109.2067565918</t>
  </si>
  <si>
    <t>13.7674188614, 109.2221603394</t>
  </si>
  <si>
    <t>CO4055.23881</t>
  </si>
  <si>
    <t>CM VAN THANH</t>
  </si>
  <si>
    <t>561A Điện Biên Phủ,Phường 25,Quận Bình Thạnh,Tp HCM</t>
  </si>
  <si>
    <t>ST-04A-3158</t>
  </si>
  <si>
    <t>Huỳnh Ngọc Quỳnh Trâm</t>
  </si>
  <si>
    <t>10.8002738953, 106.7184066772</t>
  </si>
  <si>
    <t>10.8001680374, 106.7183914185</t>
  </si>
  <si>
    <t>VC1007.64256</t>
  </si>
  <si>
    <t>VINMART_LINH_DAM</t>
  </si>
  <si>
    <t xml:space="preserve">Tầng 1, Tòa nhà Bắc Rice City Linh Đàm, CT4, KĐT mới Tây Nam Linh Đàm, P  Hoàng Liệt, Q  Hoàng Mai, TP  Hà Nội</t>
  </si>
  <si>
    <t>ST-04F-1004</t>
  </si>
  <si>
    <t>Trần Thị Hằng</t>
  </si>
  <si>
    <t>20.9643154144, 105.8223724365</t>
  </si>
  <si>
    <t>20.9642906189, 105.8224411011</t>
  </si>
  <si>
    <t>Cty Lương Thực Sông Hậu (Cần Thơ)</t>
  </si>
  <si>
    <t>SH500413SW</t>
  </si>
  <si>
    <t>Minh Thư</t>
  </si>
  <si>
    <t>332, Đường 30/4, P.Xuân Khánh, Q.Ninh Kiều, Cần Thơ</t>
  </si>
  <si>
    <t>AL-04A-4026</t>
  </si>
  <si>
    <t>Văn Thị Thể</t>
  </si>
  <si>
    <t>10.0221748352, 105.7709426880</t>
  </si>
  <si>
    <t>Quang Phương</t>
  </si>
  <si>
    <t>QP10011FOQ</t>
  </si>
  <si>
    <t>Anh Khôi</t>
  </si>
  <si>
    <t xml:space="preserve">5D5, Nguyễn Quý Đức, Thanh Xuân Bắc, Thanh Xuân, Hà Nội </t>
  </si>
  <si>
    <t>AL-08B-1001</t>
  </si>
  <si>
    <t>Nguyễn Thị Xiêm</t>
  </si>
  <si>
    <t>20.9938831329, 105.7991104126</t>
  </si>
  <si>
    <t>20.9938831329, 105.7991333008</t>
  </si>
  <si>
    <t>EB4001.39005</t>
  </si>
  <si>
    <t>BIGC AU CO</t>
  </si>
  <si>
    <t>Khu căn hộ và TTTM Đông Phương,685 Âu Cơ,P Tân Thành,Q Tân Phú,Tp HCM</t>
  </si>
  <si>
    <t>ST-04A-3018</t>
  </si>
  <si>
    <t>Huỳnh Tuyết Mai</t>
  </si>
  <si>
    <t>10.7896881104, 106.6397552490</t>
  </si>
  <si>
    <t>10.7896118164, 106.6396942139</t>
  </si>
  <si>
    <t>Nữ Vương</t>
  </si>
  <si>
    <t>NV2002102A</t>
  </si>
  <si>
    <t>Thu Huệ</t>
  </si>
  <si>
    <t>Chợ Km số 38, Quốc lộ 26, Ea Phê, Krông Pắk, Đăk Lăk</t>
  </si>
  <si>
    <t>AL-06F-2004</t>
  </si>
  <si>
    <t>Nguyễn Thị Phương Duyên</t>
  </si>
  <si>
    <t>12.7299156189, 108.3666687012</t>
  </si>
  <si>
    <t>12.7298707962, 108.3666534424</t>
  </si>
  <si>
    <t>XH4001.40779</t>
  </si>
  <si>
    <t>BHX Số 74D-74E Đường Tân Hương</t>
  </si>
  <si>
    <t>Số 74D-74E Đường Tân Hương,Phường Tân Quý,Quận Tân Phú,TP HCM</t>
  </si>
  <si>
    <t>ST-12C-3007</t>
  </si>
  <si>
    <t>Nguyễn Thị Kiều Trang</t>
  </si>
  <si>
    <t>10.7901220322, 106.6279830933</t>
  </si>
  <si>
    <t>10.7900724411, 106.6279067993</t>
  </si>
  <si>
    <t>G74003.86187</t>
  </si>
  <si>
    <t>G7 MINISTOP 21 Mai Thị Lựu, Phường Đa Kao</t>
  </si>
  <si>
    <t>21 Mai Thị Lựu, Phường Đa Kao, Quận 1, Thành phố Hồ Chí Minh</t>
  </si>
  <si>
    <t>ST-02D-3001</t>
  </si>
  <si>
    <t>Trầm Bảo Toàn</t>
  </si>
  <si>
    <t>10.7906188965, 106.6996307373</t>
  </si>
  <si>
    <t>10.7905931473, 106.6996307373</t>
  </si>
  <si>
    <t>MP4002106R</t>
  </si>
  <si>
    <t>CHI HANH</t>
  </si>
  <si>
    <t>C2/3,Quoc Lo 1A,X Tan Kien,Binh Chanh,HCM</t>
  </si>
  <si>
    <t>AL-11A-3007</t>
  </si>
  <si>
    <t>Lê Ngọc Thành</t>
  </si>
  <si>
    <t>10.7061309814, 106.5978622437</t>
  </si>
  <si>
    <t>10.7061214447, 106.5978240967</t>
  </si>
  <si>
    <t>NC401718CI</t>
  </si>
  <si>
    <t>Hoa Liên</t>
  </si>
  <si>
    <t>519, Thống Nhất, 16, Gò Vấp, HCM</t>
  </si>
  <si>
    <t>AL-04A-3041</t>
  </si>
  <si>
    <t>Trần Hưng Thạnh</t>
  </si>
  <si>
    <t>16h30 - 20h30</t>
  </si>
  <si>
    <t>10.8475790024, 106.6645812988</t>
  </si>
  <si>
    <t>Gia Lai</t>
  </si>
  <si>
    <t>VI2006.21209</t>
  </si>
  <si>
    <t>VM PLEIKU</t>
  </si>
  <si>
    <t xml:space="preserve">TTTM Pleiku, P  Diên Hồng, TP Pleiku, Gia Lai</t>
  </si>
  <si>
    <t>ST-10C-2003</t>
  </si>
  <si>
    <t>Đinh Hồng Thắng</t>
  </si>
  <si>
    <t>ST-11F-2006</t>
  </si>
  <si>
    <t>Phan Thị Bích Phượng</t>
  </si>
  <si>
    <t>13.9798831940, 107.9959945679</t>
  </si>
  <si>
    <t>XH4001.56218</t>
  </si>
  <si>
    <t>BHX 26 Nguyễn Thượng Hiền</t>
  </si>
  <si>
    <t>26 Nguyễn Thượng Hiền, Phường 1, Quận Gò Vấp</t>
  </si>
  <si>
    <t>ST-02D-3005</t>
  </si>
  <si>
    <t>Lê Thị Nga</t>
  </si>
  <si>
    <t>10.8145885468, 106.6871566772</t>
  </si>
  <si>
    <t>10.8147010803, 106.6872253418</t>
  </si>
  <si>
    <t>VI4001.43128</t>
  </si>
  <si>
    <t>VM HOANG ANH GOLD</t>
  </si>
  <si>
    <t>Thương mại dịch vụ số 1 5,khu B2, xã Phước Kiển (Hoàng Anh Gold House) 187A Lê Văn Lương,ấp 3 ,xã Phước Kiển,h Nhà Bè,Tp HCM</t>
  </si>
  <si>
    <t>ST-12D-3011</t>
  </si>
  <si>
    <t>Ngô Minh Thắng</t>
  </si>
  <si>
    <t>ST-03F-3043</t>
  </si>
  <si>
    <t>Trần Văn Tâm</t>
  </si>
  <si>
    <t>10.7109165192, 106.7035598755</t>
  </si>
  <si>
    <t>LT5012.23489</t>
  </si>
  <si>
    <t>LOTTE CAN THO</t>
  </si>
  <si>
    <t>So 84 duong Mau Than,Phuong An Hoa,Quan Ninh Kieu,Thanh Pho Can Tho</t>
  </si>
  <si>
    <t>10.0428514481, 105.7666091919</t>
  </si>
  <si>
    <t>10.0425262451, 105.7663803101</t>
  </si>
  <si>
    <t>XH4001.49493</t>
  </si>
  <si>
    <t>BHX A3/38 Thửa đất số 334</t>
  </si>
  <si>
    <t xml:space="preserve">A3/38 Thửa đất số 334, Tờ bản đồ số 20, Đường Liên Ấp 123, Xã Vĩnh Lộc A, Huyện Bình Chánh, TP  HCM</t>
  </si>
  <si>
    <t>10.8076772690, 106.5664138794</t>
  </si>
  <si>
    <t>10.8076906204, 106.5664062500</t>
  </si>
  <si>
    <t>MT1002_11064</t>
  </si>
  <si>
    <t>METRO_21269_CD Đường Phạm Văn Đồng, Phường Cổ Nhuế 1</t>
  </si>
  <si>
    <t>Đường Phạm Văn Đồng, Phường Cổ Nhuế 1, quận Bắc Từ Liêm, thành phố Hà Nội</t>
  </si>
  <si>
    <t>21.0557689667, 105.7822494507</t>
  </si>
  <si>
    <t>21.0541057587, 105.7803649902</t>
  </si>
  <si>
    <t>VI4001.52652</t>
  </si>
  <si>
    <t>VMP_156A_NGUYEN_HUU_THO</t>
  </si>
  <si>
    <t>C01 02 tầng 1, khối đế số 156A Nguyễn Hữu Thọ, xã Phước Kiểng, Huyện Nhà Bè, TP HCM</t>
  </si>
  <si>
    <t>10.6999406815, 106.7309570313</t>
  </si>
  <si>
    <t>10.6996393204, 106.7323532104</t>
  </si>
  <si>
    <t>MK40021J2M</t>
  </si>
  <si>
    <t>Circle K 77B, đường số 2</t>
  </si>
  <si>
    <t>77B, đường số 2, P.8, Q.11, Hồ Chí Minh</t>
  </si>
  <si>
    <t>10.7717781067, 106.6546478271</t>
  </si>
  <si>
    <t>10.7718048096, 106.6546401978</t>
  </si>
  <si>
    <t>LO500111Q8</t>
  </si>
  <si>
    <t xml:space="preserve">Kim Dung </t>
  </si>
  <si>
    <t>581, Ngô Quyền, P.Vĩnh Lạc, TP.Rạch Giá, Kiên Giang</t>
  </si>
  <si>
    <t>AL-06E-4008</t>
  </si>
  <si>
    <t>Võ Minh Thư</t>
  </si>
  <si>
    <t>9.9980373383, 105.0962753296</t>
  </si>
  <si>
    <t>XH4001.112061</t>
  </si>
  <si>
    <t>BHX 8 Đường Đồng Văn Cống, KV 5</t>
  </si>
  <si>
    <t xml:space="preserve">8 Đường Đồng Văn Cống, KV 5, Phường An Thới, Quận Bình Thuỷ, TP  Cần Thơ</t>
  </si>
  <si>
    <t>ST-12F-4003</t>
  </si>
  <si>
    <t>Ngô Thế Anh</t>
  </si>
  <si>
    <t>10.0504350662, 105.7721405029</t>
  </si>
  <si>
    <t>10.0502014160, 105.7563247681</t>
  </si>
  <si>
    <t>16.0941524506, 108.2417449951</t>
  </si>
  <si>
    <t>16.0903778076, 108.2323913574</t>
  </si>
  <si>
    <t>Vinh Phuc</t>
  </si>
  <si>
    <t>AM100312T0</t>
  </si>
  <si>
    <t>Hương Mai</t>
  </si>
  <si>
    <t>1, Bê Tông, Đạo Tú, Tam Dương, Vĩnh Phúc</t>
  </si>
  <si>
    <t>AL-09F-1024</t>
  </si>
  <si>
    <t>Nguyễn Thị Huyền Thu</t>
  </si>
  <si>
    <t>21.3536663055, 105.5593795776</t>
  </si>
  <si>
    <t>21.3536510468, 105.5593948364</t>
  </si>
  <si>
    <t>Ngọc Chương</t>
  </si>
  <si>
    <t>NC40171JDZ</t>
  </si>
  <si>
    <t>Thảo Uyên</t>
  </si>
  <si>
    <t>14/1, Tân Chánh Hiệp 13, 12, HCM</t>
  </si>
  <si>
    <t>AL-05F-3007</t>
  </si>
  <si>
    <t>Đỗ Thị Tường Vy</t>
  </si>
  <si>
    <t>10.8671331406, 106.6299972534</t>
  </si>
  <si>
    <t>EB4001.95534</t>
  </si>
  <si>
    <t>BigC QUANG NGAI</t>
  </si>
  <si>
    <t>Tầng 1, Trung Tâm thương mại và Siêu Thị Hùng Cường Big C, đường Lý Thường Kiệt, Phường Nghĩa Chánh, TP Quảng Ngãi, Tỉnh Quảng Ngãi, Việt Nam</t>
  </si>
  <si>
    <t>ST-03F-2003</t>
  </si>
  <si>
    <t>13h30 - 17h00</t>
  </si>
  <si>
    <t>15.1218290329, 108.7875900269</t>
  </si>
  <si>
    <t>15.0997686386, 108.8182144165</t>
  </si>
  <si>
    <t>KG40031C35</t>
  </si>
  <si>
    <t>Circle K 18, Vĩnh Hội</t>
  </si>
  <si>
    <t>18, Vĩnh Hội, P.14, Q.4, Hồ Chí Minh</t>
  </si>
  <si>
    <t>ST-02F-3025</t>
  </si>
  <si>
    <t>Nguyễn Thị Thu Hương</t>
  </si>
  <si>
    <t>10.7560930252, 106.7025375366</t>
  </si>
  <si>
    <t>10.7560253143, 106.7025070190</t>
  </si>
  <si>
    <t>TH5029100W</t>
  </si>
  <si>
    <t>Linh Linh</t>
  </si>
  <si>
    <t>135, QL 1A, ấp Thị Trấn A, TT.Hòa Bình, H.Hòa Bình, Bạc Liêu</t>
  </si>
  <si>
    <t>AL-07E-4005</t>
  </si>
  <si>
    <t>Nguyễn Thị Kiều Mi</t>
  </si>
  <si>
    <t>9.2816181183, 105.6253356934</t>
  </si>
  <si>
    <t>9.2816171646, 105.6253585815</t>
  </si>
  <si>
    <t>XH4001.47420</t>
  </si>
  <si>
    <t>BHX 273 Tô Ngọc Vân</t>
  </si>
  <si>
    <t xml:space="preserve">273 Tô Ngọc Vân, KP 1, P  Thạnh Xuận, Quận 12, TP  HCM</t>
  </si>
  <si>
    <t>ST-12F-3001</t>
  </si>
  <si>
    <t>Trần Trường Hải</t>
  </si>
  <si>
    <t>10.8670463562, 106.6750946045</t>
  </si>
  <si>
    <t>10.8670396805, 106.6750869751</t>
  </si>
  <si>
    <t>ST-05A-3003</t>
  </si>
  <si>
    <t>Nguyễn Võ Song Toàn</t>
  </si>
  <si>
    <t>10.8090353012, 106.6782989502</t>
  </si>
  <si>
    <t>10.8090686798, 106.6783065796</t>
  </si>
  <si>
    <t>Tay Ninh</t>
  </si>
  <si>
    <t>CO4076.101091</t>
  </si>
  <si>
    <t>CM_TAN_BIEN_TN</t>
  </si>
  <si>
    <t>Khu phố 3, Đường Nguyễn Văn Linh, Thị Trấn Tân Biên, Huyện Tân Biên, Tỉnh Tây Ninh</t>
  </si>
  <si>
    <t>ST-04A-3195</t>
  </si>
  <si>
    <t>Nguyễn Trương Thúy An</t>
  </si>
  <si>
    <t>ST-12E-3012</t>
  </si>
  <si>
    <t>Huỳnh Công Đạt</t>
  </si>
  <si>
    <t>11.5356168747, 106.0075912476</t>
  </si>
  <si>
    <t>11.5357522964, 106.0073394775</t>
  </si>
  <si>
    <t>CO5004.5102</t>
  </si>
  <si>
    <t>COOP CAN THO</t>
  </si>
  <si>
    <t>1,Đại Lộ Hòa Bình,Phường Tân An,Q Ninh Kiều,Tp Cần Thơ</t>
  </si>
  <si>
    <t>ST-08E-4003</t>
  </si>
  <si>
    <t>Võ Tuấn Kiệt</t>
  </si>
  <si>
    <t>18h00 - 21h30</t>
  </si>
  <si>
    <t>10.0345907211, 105.7862625122</t>
  </si>
  <si>
    <t>10.7422418594, 106.6309509277</t>
  </si>
  <si>
    <t>10.7422904968, 106.6299591064</t>
  </si>
  <si>
    <t>Phu Tho</t>
  </si>
  <si>
    <t>VI1002.54475</t>
  </si>
  <si>
    <t>VMP_PTO_K_2A_NONG_TRANG</t>
  </si>
  <si>
    <t>Khu 2A, phường Nông Trang, thành phố , thành phố Việt Trì, tỉnh Phú Thọ</t>
  </si>
  <si>
    <t>ST-09B-1002</t>
  </si>
  <si>
    <t>Đặng Thái Chung</t>
  </si>
  <si>
    <t>21.3291320801, 105.3784637451</t>
  </si>
  <si>
    <t>21.3292560577, 105.3783416748</t>
  </si>
  <si>
    <t>SG2009.47571</t>
  </si>
  <si>
    <t>COOP CHU SE</t>
  </si>
  <si>
    <t>912 Hùng Vương, tổ dân phố 4, Thị Trấn Chư Sê, Huyện Chư Sê, Tỉnh Gia Lai</t>
  </si>
  <si>
    <t>ST-10C-2005</t>
  </si>
  <si>
    <t>Trần Thị Chung</t>
  </si>
  <si>
    <t>13.6910095215, 108.0780715942</t>
  </si>
  <si>
    <t>13.6909246445, 108.0785293579</t>
  </si>
  <si>
    <t>CF4001.50087</t>
  </si>
  <si>
    <t>CUA_HANG_CF_XOM_CHIEU</t>
  </si>
  <si>
    <t>232 Xóm Chiếu, Quận 4, Tp HCM</t>
  </si>
  <si>
    <t>10.7561302185, 106.7045669556</t>
  </si>
  <si>
    <t>10.7560358047, 106.7044830322</t>
  </si>
  <si>
    <t>XH4001.79062</t>
  </si>
  <si>
    <t>BHX Số 75, Đường 23</t>
  </si>
  <si>
    <t xml:space="preserve">Số 75, Đường 23, Khu phố 5, Phường Hiệp Bình Chánh, TP  Thủ Đức, TP  Hồ Chí Minh</t>
  </si>
  <si>
    <t>ST-03F-3027</t>
  </si>
  <si>
    <t>Lê Hiếu</t>
  </si>
  <si>
    <t>10.8278522491, 106.7273864746</t>
  </si>
  <si>
    <t>10.8278570175, 106.7274017334</t>
  </si>
  <si>
    <t>VC4001.55661</t>
  </si>
  <si>
    <t>VM_TAN_BINH</t>
  </si>
  <si>
    <t>Số 10 đường Phổ Quang, Phường 2, Quận Tân Bình, TP HCM</t>
  </si>
  <si>
    <t>ST-07F-3007</t>
  </si>
  <si>
    <t>Đỗ Thị Huyền Trang</t>
  </si>
  <si>
    <t>10.8060894012, 106.6667251587</t>
  </si>
  <si>
    <t>10.8062610626, 106.6663665771</t>
  </si>
  <si>
    <t>VI4001.39699</t>
  </si>
  <si>
    <t>VM 70 DUONG 8</t>
  </si>
  <si>
    <t xml:space="preserve">70 Đường Số 8, KDC Trung Sơn, ấp 4B, Xã Bình Hưng, Huyện Bình Chánh, Tp  Hồ Chí Minh</t>
  </si>
  <si>
    <t>ST-08F-3014</t>
  </si>
  <si>
    <t>Vũ Quang Vinh</t>
  </si>
  <si>
    <t>10.7357587814, 106.6915969849</t>
  </si>
  <si>
    <t>10.7358636856, 106.6915893555</t>
  </si>
  <si>
    <t>DT1001.14048</t>
  </si>
  <si>
    <t>DUC THANH Tầng 1 nhà E KĐT Đền Lừ,P Hoàng Văn Thụ</t>
  </si>
  <si>
    <t>Tầng 1 nhà E KĐT Đền Lừ,P Hoàng Văn Thụ,Q Hoàng Mai,Hà Nội</t>
  </si>
  <si>
    <t>ST-04D-1009</t>
  </si>
  <si>
    <t>Đặng Hồng Thái</t>
  </si>
  <si>
    <t>20.9840641022, 105.8595199585</t>
  </si>
  <si>
    <t>20.9838809967, 105.8596115112</t>
  </si>
  <si>
    <t>XH4001.84245</t>
  </si>
  <si>
    <t>BHX Thửa đất số 192</t>
  </si>
  <si>
    <t>Thửa đất số 192, Tờ bản đồ số 5, Ấp Long Thới, Xã Long Thành Trung, Huyện Hòa Thành, Tỉnh Tây Ninh, Việt Nam</t>
  </si>
  <si>
    <t>ST-06F-3003</t>
  </si>
  <si>
    <t>Nguyễn Quốc Huy</t>
  </si>
  <si>
    <t>11.2780809402, 106.1300506592</t>
  </si>
  <si>
    <t>11.2780885696, 106.1300506592</t>
  </si>
  <si>
    <t>CF4002.105182</t>
  </si>
  <si>
    <t>CH_CF_NQ_KDC_DAI_PHUC</t>
  </si>
  <si>
    <t>Số 8 Đường số 3, Khu dân cư Đại Phúc, Xã Bình Hưng, Huyện Bình Chánh, Tp HCM</t>
  </si>
  <si>
    <t>ST-06B-3015</t>
  </si>
  <si>
    <t>Nguyễn Thị Nghĩa</t>
  </si>
  <si>
    <t>10.7187156677, 106.6838760376</t>
  </si>
  <si>
    <t>10.7227363586, 106.6833877563</t>
  </si>
  <si>
    <t>ST-06A-1006</t>
  </si>
  <si>
    <t>Nguyễn Thị Hạnh</t>
  </si>
  <si>
    <t>21.2771968842, 106.1952285767</t>
  </si>
  <si>
    <t>21.2771987915, 106.1952514648</t>
  </si>
  <si>
    <t>XH4001.126947</t>
  </si>
  <si>
    <t>BHX 52 Đường số 51</t>
  </si>
  <si>
    <t>52 Đường số 51, Khu phố 4, Phường Tân Quy, Quận 7, TP HCM</t>
  </si>
  <si>
    <t>10.7412328720, 106.7157974243</t>
  </si>
  <si>
    <t>10.7412910461, 106.7158966064</t>
  </si>
  <si>
    <t>VI4001.99763</t>
  </si>
  <si>
    <t>VMP_55_TRUONG_PHUOC_PHAN</t>
  </si>
  <si>
    <t>55 Trương Phước Phan, Khu phố 18, Phường Bình Trị Đông, Quận Bình Tân, TP HCM</t>
  </si>
  <si>
    <t>ST-10E-3020</t>
  </si>
  <si>
    <t>Huỳnh Quốc Nhựt</t>
  </si>
  <si>
    <t>10.7604122162, 106.6116790771</t>
  </si>
  <si>
    <t>10.7603940964, 106.6116256714</t>
  </si>
  <si>
    <t>VI2003.85599</t>
  </si>
  <si>
    <t>VMP_DNG_28_PHANCHAUTRINH</t>
  </si>
  <si>
    <t>28 Phan Châu Trinh, Phường Hải Châu 1, Quận Hải Châu, TP Đà Nẵng</t>
  </si>
  <si>
    <t>ST-11B-2005</t>
  </si>
  <si>
    <t>Trần Thị Ấu Cơ</t>
  </si>
  <si>
    <t>16.0679492950, 108.2202224731</t>
  </si>
  <si>
    <t>ST-04E-3004</t>
  </si>
  <si>
    <t>Nguyễn Thị Thu Thảo</t>
  </si>
  <si>
    <t>10.7813186646, 106.6926879883</t>
  </si>
  <si>
    <t>10.7813138962, 106.6927108765</t>
  </si>
  <si>
    <t>ST-11B-1001</t>
  </si>
  <si>
    <t>Nguyễn Thị Mai Hiên</t>
  </si>
  <si>
    <t>20.9939441681, 105.8689804077</t>
  </si>
  <si>
    <t>20.9933662415, 105.8688888550</t>
  </si>
  <si>
    <t>ST-07D-1005</t>
  </si>
  <si>
    <t>Vũ Thùy Dương</t>
  </si>
  <si>
    <t>21.0535678864, 105.7806243896</t>
  </si>
  <si>
    <t>21.0539608002, 105.7804336548</t>
  </si>
  <si>
    <t>XH4001.109196</t>
  </si>
  <si>
    <t>BHX 144 Nam Kỳ Khởi Nghĩa</t>
  </si>
  <si>
    <t xml:space="preserve">144 Nam Kỳ Khởi Nghĩa, Phường Thắng Tam, TP  Vũng Tàu, Tỉnh Bà Rịa Vũng Tàu</t>
  </si>
  <si>
    <t>ST-03G-3011</t>
  </si>
  <si>
    <t>Phạm Phương Loan</t>
  </si>
  <si>
    <t>10.3476095200, 107.0848312378</t>
  </si>
  <si>
    <t>10.3476409912, 107.0848693848</t>
  </si>
  <si>
    <t>VI4001.49179</t>
  </si>
  <si>
    <t>VMP_B57_KHU_PHO_3</t>
  </si>
  <si>
    <t>B57 KP3, Phường Đông Hưng Thuận, Quận 12, TP HCM</t>
  </si>
  <si>
    <t>ST-09F-3006</t>
  </si>
  <si>
    <t>Bùi Thanh Tùng</t>
  </si>
  <si>
    <t>10.8490247726, 106.6330184937</t>
  </si>
  <si>
    <t>10.8490209579, 106.6329345703</t>
  </si>
  <si>
    <t>10.7595729828, 106.6613693237</t>
  </si>
  <si>
    <t>10.7598628998, 106.6611328125</t>
  </si>
  <si>
    <t>XH4001.79637</t>
  </si>
  <si>
    <t>BHX 2 Nguyễn Trãi, Khóm 1</t>
  </si>
  <si>
    <t>2 Nguyễn Trãi, Khóm 1, Thị trấn Cái Nhum, Huyện Mang Thít, Tỉnh Vĩnh Long</t>
  </si>
  <si>
    <t>ST-11F-4005</t>
  </si>
  <si>
    <t>Mai Hoàng Duẩn</t>
  </si>
  <si>
    <t>10.1730251312, 106.1105041504</t>
  </si>
  <si>
    <t>10.1728715897, 106.1099472046</t>
  </si>
  <si>
    <t>MT4002.6376</t>
  </si>
  <si>
    <t>METRO HIỆP PHÚ</t>
  </si>
  <si>
    <t>Xa lộ Đại Hàn P Tân Thới Hiệp Q12, TPHCM</t>
  </si>
  <si>
    <t>ST-04A-3103</t>
  </si>
  <si>
    <t>Nguyễn Huy Bách</t>
  </si>
  <si>
    <t>10.8630676270, 106.6480178833</t>
  </si>
  <si>
    <t>10.8631830215, 106.6480331421</t>
  </si>
  <si>
    <t>VC1007.62759</t>
  </si>
  <si>
    <t>VINMART_NHAT_TAN</t>
  </si>
  <si>
    <t xml:space="preserve">Lô E, khu đất D1 Tòa nhà hỗn hợp Vườn Đào, phường Phú Thượng, Quận Tây Hồ, TP  Hà Nội</t>
  </si>
  <si>
    <t>ST-02F-1002</t>
  </si>
  <si>
    <t>Đỗ Phương Mai</t>
  </si>
  <si>
    <t>21.0790863037, 105.8136215210</t>
  </si>
  <si>
    <t>21.0792026520, 105.8137130737</t>
  </si>
  <si>
    <t>G74003.24132</t>
  </si>
  <si>
    <t>G7 MINISTOP 45 Hậu Giang, Phường 4</t>
  </si>
  <si>
    <t>45 Hậu Giang, Phường 4,Quận Tân Bình,Tp HCM</t>
  </si>
  <si>
    <t>CH-06E-3012</t>
  </si>
  <si>
    <t>Trần Hoàng Ngọc Linh</t>
  </si>
  <si>
    <t>10.7844810486, 106.6396331787</t>
  </si>
  <si>
    <t>10.7714948654, 106.6219482422</t>
  </si>
  <si>
    <t>HN1013.5881</t>
  </si>
  <si>
    <t>CM HA NOI</t>
  </si>
  <si>
    <t>Km 10 đường Nguyễn Trãi, P Mộ Lao,Q Hà Đông,Hà Nội</t>
  </si>
  <si>
    <t>20.9824466705, 105.7903213501</t>
  </si>
  <si>
    <t>21.1240119934, 105.6391448975</t>
  </si>
  <si>
    <t>BR1001.110462</t>
  </si>
  <si>
    <t>BRG Kios chợ Kim Giang, quận Thanh Xuân</t>
  </si>
  <si>
    <t>Kios chợ Kim Giang, quận Thanh Xuân, Hà Nội</t>
  </si>
  <si>
    <t>ST-06F-1010</t>
  </si>
  <si>
    <t>Đông Thị Hạnh</t>
  </si>
  <si>
    <t>20.9832820892, 105.8153152466</t>
  </si>
  <si>
    <t>20.9832153320, 105.8154983521</t>
  </si>
  <si>
    <t>Tuyên Nam Sơn</t>
  </si>
  <si>
    <t>TS200110YK</t>
  </si>
  <si>
    <t>Lê Thị Liên</t>
  </si>
  <si>
    <t>Đăk Nông</t>
  </si>
  <si>
    <t>AL-10F-2005</t>
  </si>
  <si>
    <t>Trần Thị Kiều Mỹ</t>
  </si>
  <si>
    <t>11.9954109192, 107.5109634399</t>
  </si>
  <si>
    <t>11.9954242706, 107.5109634399</t>
  </si>
  <si>
    <t>XH4001.51963</t>
  </si>
  <si>
    <t>BHX Số 171-173 Võ Thành Trang P11</t>
  </si>
  <si>
    <t>Số 171-173 Võ Thành Trang P11 ,Quận Tân Bình</t>
  </si>
  <si>
    <t>ST-05C-3010</t>
  </si>
  <si>
    <t>Nguyễn Thị Hồng Hiếu</t>
  </si>
  <si>
    <t>10.7906246185, 106.6463470459</t>
  </si>
  <si>
    <t>10.7906446457, 106.6463241577</t>
  </si>
  <si>
    <t>DNTN Phúc Lợi</t>
  </si>
  <si>
    <t>PL50011338</t>
  </si>
  <si>
    <t>Family Mart</t>
  </si>
  <si>
    <t>63/2, Trần Phú, P.4, TP.Vĩnh Long, Vĩnh Long</t>
  </si>
  <si>
    <t>AL-03G-4009</t>
  </si>
  <si>
    <t>Huỳnh Ngọc Hạnh</t>
  </si>
  <si>
    <t>10.2354021072, 105.9901580811</t>
  </si>
  <si>
    <t>KC1001106Z</t>
  </si>
  <si>
    <t>T-Mart CT3</t>
  </si>
  <si>
    <t>CT3, KĐT Văn Khê,P.La Khê,Q.Hà Đông,Hà Nội</t>
  </si>
  <si>
    <t>ST-12A-1001</t>
  </si>
  <si>
    <t>Nguyễn Thị Tâm</t>
  </si>
  <si>
    <t>20.9747161865, 105.7626037598</t>
  </si>
  <si>
    <t>20.9163455963, 105.7008285522</t>
  </si>
  <si>
    <t>KC100110LA</t>
  </si>
  <si>
    <t>Dmart Căn hộ ShopHouse-SH 19</t>
  </si>
  <si>
    <t>Căn hộ ShopHouse-SH 19, Dự án ICID Complex, Lô 37- Khu C, Khu đô thị 2BĐ Lê Trọng Tấn, Phường Dương Nội, quận Hà Đông, TP. Hà Nội</t>
  </si>
  <si>
    <t>ST-04D-1007</t>
  </si>
  <si>
    <t>Nguyễn Thị Khuyên</t>
  </si>
  <si>
    <t>20.9826107025, 105.7425231934</t>
  </si>
  <si>
    <t>20.9824142456, 105.7421798706</t>
  </si>
  <si>
    <t>CO4060.31520</t>
  </si>
  <si>
    <t>Co op Bình Dương</t>
  </si>
  <si>
    <t>Số 368 Đường 30/4, P Chánh Nghĩa, TP Thủ Dầu Một, T Bình Dương</t>
  </si>
  <si>
    <t>ST-09E-3005</t>
  </si>
  <si>
    <t>Trần Đình Kiến Nhã Uyên</t>
  </si>
  <si>
    <t>10.9644250870, 106.6678466797</t>
  </si>
  <si>
    <t>10.9651088715, 106.6679382324</t>
  </si>
  <si>
    <t>CO4067.65817</t>
  </si>
  <si>
    <t>CM_BINH_TAN_2</t>
  </si>
  <si>
    <t>819 Hương Lộ 2, Phường Bình Trị Đông A, Quận Bình Tân, TP HCM</t>
  </si>
  <si>
    <t>ST-04A-3051</t>
  </si>
  <si>
    <t>Huỳnh Thị Hoài Thanh</t>
  </si>
  <si>
    <t>ST-04A-3053</t>
  </si>
  <si>
    <t>Vũ Thị Như Ngà</t>
  </si>
  <si>
    <t>10.7593345642, 106.6714935303</t>
  </si>
  <si>
    <t>10.7593708038, 106.6712646484</t>
  </si>
  <si>
    <t>VM1009.55062</t>
  </si>
  <si>
    <t>VMP_HNI_359_LINH_NAM</t>
  </si>
  <si>
    <t>Số 359 đường Lĩnh Nam,phường Vĩnh Hưng, quận Hoàng Mai, Hà Nội</t>
  </si>
  <si>
    <t>ST-10E-1006</t>
  </si>
  <si>
    <t>Trần Thị Thanh Hoa</t>
  </si>
  <si>
    <t>20.9820175171, 105.8799285889</t>
  </si>
  <si>
    <t>20.9832057953, 105.8764190674</t>
  </si>
  <si>
    <t>TN101113FE</t>
  </si>
  <si>
    <t>Hoàng Thu Hà</t>
  </si>
  <si>
    <t>377, Khương Trung, Khương Trung, Thanh Xuân, Hà Nội</t>
  </si>
  <si>
    <t>AL-04A-1028</t>
  </si>
  <si>
    <t>Đỗ Lan Hương</t>
  </si>
  <si>
    <t>20.9923591614, 105.8172073364</t>
  </si>
  <si>
    <t>20.9923515320, 105.8171997070</t>
  </si>
  <si>
    <t>CF4001.53609</t>
  </si>
  <si>
    <t>CF_TAN_HUONG_262</t>
  </si>
  <si>
    <t>262 Tân Hương, P Tân Quý, Q Tân Phú</t>
  </si>
  <si>
    <t>ST-08F-3020</t>
  </si>
  <si>
    <t>Huỳnh Gia Nhân</t>
  </si>
  <si>
    <t>10.7901420593, 106.6203155518</t>
  </si>
  <si>
    <t>10.7901048660, 106.6202239990</t>
  </si>
  <si>
    <t>HN3002107G</t>
  </si>
  <si>
    <t>Minh Hùng</t>
  </si>
  <si>
    <t>314, Phú Lợi, Phú Hòa, Thủ Dầu Một, Bình Dương</t>
  </si>
  <si>
    <t>AL-05C-3001</t>
  </si>
  <si>
    <t>Lê Nguyễn Bảo Ngân</t>
  </si>
  <si>
    <t>10.9834003448, 106.6777496338</t>
  </si>
  <si>
    <t>CO4027.5076</t>
  </si>
  <si>
    <t>CM HAU GIANG</t>
  </si>
  <si>
    <t>Số 188 Hậu Giang, P 6, Q 6, TP HCM</t>
  </si>
  <si>
    <t>ST-07C-3019</t>
  </si>
  <si>
    <t>Thiệu Cẩm Huy</t>
  </si>
  <si>
    <t>10.7504434586, 106.6430816650</t>
  </si>
  <si>
    <t>10.7502212524, 106.6430740356</t>
  </si>
  <si>
    <t>Không Gian</t>
  </si>
  <si>
    <t>KG40031B66</t>
  </si>
  <si>
    <t>Chị Thủy</t>
  </si>
  <si>
    <t>166, Hoàng Diệu, 5, 4, HCM</t>
  </si>
  <si>
    <t>AL-01G-3004</t>
  </si>
  <si>
    <t>Trần Minh Hải</t>
  </si>
  <si>
    <t>10.7628917694, 106.7031173706</t>
  </si>
  <si>
    <t>10.7629032135, 106.7030868530</t>
  </si>
  <si>
    <t>ST-11F-3013</t>
  </si>
  <si>
    <t>Trần Hoàng Cơ</t>
  </si>
  <si>
    <t>10.8629302979, 106.6476669312</t>
  </si>
  <si>
    <t>10.8629398346, 106.6477279663</t>
  </si>
  <si>
    <t>HT3005109Y</t>
  </si>
  <si>
    <t>Út Huyền</t>
  </si>
  <si>
    <t>3/22, Chợ Trường Lưu, Nguyễn Lương Bằng, Trường Đông, Hòa Thành, Tây Ninh</t>
  </si>
  <si>
    <t>AL-11E-3004</t>
  </si>
  <si>
    <t>Võ Thị Trúc Phương</t>
  </si>
  <si>
    <t>11.2438230515, 106.1673049927</t>
  </si>
  <si>
    <t>11.2436370850, 106.1674652100</t>
  </si>
  <si>
    <t>EB4001.13942</t>
  </si>
  <si>
    <t>BIGC BINH DUONG</t>
  </si>
  <si>
    <t>Phường Hiệp Thành,Tp Thủ Dầu Một,Tỉnh Bình Dương</t>
  </si>
  <si>
    <t>ST-04A-3178</t>
  </si>
  <si>
    <t>Nguyễn Thị Kim Thanh</t>
  </si>
  <si>
    <t>10.9873409271, 106.6649169922</t>
  </si>
  <si>
    <t>10.9870843887, 106.6643218994</t>
  </si>
  <si>
    <t>LT4010.6217</t>
  </si>
  <si>
    <t>LOTTE QUAN 7</t>
  </si>
  <si>
    <t>469NguyễnHữuThọ,PhườngTânHưng,Quận7,ThànhPhốHồChíMinh</t>
  </si>
  <si>
    <t>ST-02F-3006</t>
  </si>
  <si>
    <t>Đinh Trường Thịnh</t>
  </si>
  <si>
    <t>10.7410478592, 106.7022399902</t>
  </si>
  <si>
    <t>10.7416477203, 106.7020950317</t>
  </si>
  <si>
    <t>An Thế</t>
  </si>
  <si>
    <t>AT20051007</t>
  </si>
  <si>
    <t>Chị Thu</t>
  </si>
  <si>
    <t>19, Nguyễn Lộ Trạch, P Xuân Phú, TP Huế, Huế</t>
  </si>
  <si>
    <t>AL-04A-2017</t>
  </si>
  <si>
    <t>Phan Thị Ngọc Quy</t>
  </si>
  <si>
    <t>16.4702587128, 107.5997009277</t>
  </si>
  <si>
    <t>16.4703216553, 107.5997161865</t>
  </si>
  <si>
    <t>KA5003205J</t>
  </si>
  <si>
    <t>HÒANG SỸ</t>
  </si>
  <si>
    <t>0, Chợ Phú Tân, ấp Cái Đôi, X.Phú Tân, H.Phú Tân, Cà Mau</t>
  </si>
  <si>
    <t>AL-08C-4026</t>
  </si>
  <si>
    <t>Nguyễn Thị Hồng Huệ</t>
  </si>
  <si>
    <t>8.9150953293, 104.8673171997</t>
  </si>
  <si>
    <t>8.9132833481, 104.8657073975</t>
  </si>
  <si>
    <t>CO4039.5088</t>
  </si>
  <si>
    <t>CM BAO LOC</t>
  </si>
  <si>
    <t>Tháp nước, Đường Trần Phú, P 2, TP Bảo Lộc, T Lâm Đồng</t>
  </si>
  <si>
    <t>ST-04A-3004</t>
  </si>
  <si>
    <t>Trần Thiên Hải Vân</t>
  </si>
  <si>
    <t>11.5442628860, 107.8029022217</t>
  </si>
  <si>
    <t>11.5435075760, 107.8070602417</t>
  </si>
  <si>
    <t>XH4001.88775</t>
  </si>
  <si>
    <t>BHX 277 - 279 Khu Phố 5</t>
  </si>
  <si>
    <t xml:space="preserve">277 - 279 Khu Phố 5, P  Tân Hiệp, TP Biên Hoà, Tỉnh Đồng Nai</t>
  </si>
  <si>
    <t>ST-11F-3018</t>
  </si>
  <si>
    <t>Kim Hoàng Khang</t>
  </si>
  <si>
    <t>10.9614820480, 106.8658218384</t>
  </si>
  <si>
    <t>10.9555435181, 106.8580627441</t>
  </si>
  <si>
    <t>PT200116UE</t>
  </si>
  <si>
    <t>Bảo Trân</t>
  </si>
  <si>
    <t>103, Hồ Quý Ly , Thanh Khê Tây, Thanh Khê, Đà Nẵng</t>
  </si>
  <si>
    <t>AL-03E-2007</t>
  </si>
  <si>
    <t>16.0720863342, 108.1695861816</t>
  </si>
  <si>
    <t>16.0720310211, 108.1694946289</t>
  </si>
  <si>
    <t>VM5009.64949</t>
  </si>
  <si>
    <t>VINMART_CA_MAU</t>
  </si>
  <si>
    <t>TTTM Vincom Plaza Cà Mau, Phường 1, TP Cà Mau, Cà Mau</t>
  </si>
  <si>
    <t>ST-04A-4022</t>
  </si>
  <si>
    <t>Bùi Thị Anh Thư</t>
  </si>
  <si>
    <t>9.1897506714, 105.1397857666</t>
  </si>
  <si>
    <t>9.1895494461, 105.1396102905</t>
  </si>
  <si>
    <t>CO4078.103135</t>
  </si>
  <si>
    <t>CM_TAM_BINH</t>
  </si>
  <si>
    <t xml:space="preserve">0 01 Khu chung cư cao tầng kết hợp TM-DV tại Lô BC, đường 4, KP4, Phường Tam Bình, TP  Thủ Đức, TP  Hồ Chí Minh</t>
  </si>
  <si>
    <t>ST-10E-3012</t>
  </si>
  <si>
    <t>Nguyễn Đức Thép</t>
  </si>
  <si>
    <t>10.8640756607, 106.7343673706</t>
  </si>
  <si>
    <t>10.8642215729, 106.7344055176</t>
  </si>
  <si>
    <t>VI5004.89393</t>
  </si>
  <si>
    <t>VM _CAO_ LANH</t>
  </si>
  <si>
    <t xml:space="preserve">Trung tâm thương mại và Shophouse Cao Lãnh – Đồng Tháp,  Phường 1, Thành phố Cao Lãnh, Tỉnh Đồng Tháp, Việt Nam</t>
  </si>
  <si>
    <t>ST-04A-4026</t>
  </si>
  <si>
    <t>Nguyễn Thị Mỹ Huỳnh</t>
  </si>
  <si>
    <t>10.4577465057, 105.6338119507</t>
  </si>
  <si>
    <t>10.4558420181, 105.6335983276</t>
  </si>
  <si>
    <t>AeonCitimart</t>
  </si>
  <si>
    <t>DH1009.5175</t>
  </si>
  <si>
    <t>Aeon Citimart ST Citimart Indochina-Tầng 3,TTTM Indochina</t>
  </si>
  <si>
    <t>ST Citimart Indochina-Tầng 3,TTTM Indochina,241 Xuân Thủy,Cầu Giấy,Hà Nội</t>
  </si>
  <si>
    <t>21.1007366180, 105.4975662231</t>
  </si>
  <si>
    <t>21.0608634949, 105.6417846680</t>
  </si>
  <si>
    <t>KC1001109O</t>
  </si>
  <si>
    <t>Siêu Thị Mường Thanh HH1 Lô CC6</t>
  </si>
  <si>
    <t>HH1 Lô CC6, KĐT Linh Đàm,P.Hoàng Liệt,Q.Hoàng Mai,Hà Nội</t>
  </si>
  <si>
    <t>ST-05E-1014</t>
  </si>
  <si>
    <t>Nguyễn Thị Thảo</t>
  </si>
  <si>
    <t>20.9642200470, 105.8258132935</t>
  </si>
  <si>
    <t>AT200510DT</t>
  </si>
  <si>
    <t>Anh Thịnh</t>
  </si>
  <si>
    <t>Thôn Vĩnh Lưu, Phú Lương, Phú Vang, Huế</t>
  </si>
  <si>
    <t>AL-07F-1009</t>
  </si>
  <si>
    <t>Nguyễn Thị Thanh Ái</t>
  </si>
  <si>
    <t>16.4558601379, 107.7067794800</t>
  </si>
  <si>
    <t>16.4537754059, 107.5760955811</t>
  </si>
  <si>
    <t>KC100110N1</t>
  </si>
  <si>
    <t xml:space="preserve">Sunmart 16 Tam Trinh </t>
  </si>
  <si>
    <t xml:space="preserve">16 Tam Trinh , P.Mai Động , Q. Hoàng Mai , Hà Nội </t>
  </si>
  <si>
    <t>ST-04A-1029</t>
  </si>
  <si>
    <t>Trương Thu Hạnh</t>
  </si>
  <si>
    <t>20.9937381744, 105.8625335693</t>
  </si>
  <si>
    <t>20.9929828644, 105.8626480103</t>
  </si>
  <si>
    <t>AE1002.113527</t>
  </si>
  <si>
    <t>AEON_HUNG_YEN</t>
  </si>
  <si>
    <t>Tầng 1, căn S2-05-Tháp A3 (Sky 2) Dự án Aqua Bay, Khu đô thị Ecopark, Xã Xuân Quan, Huyện Văn Giang, Tỉnh Hưng Yên</t>
  </si>
  <si>
    <t>ST-04A-1083</t>
  </si>
  <si>
    <t>Vũ Thị Én</t>
  </si>
  <si>
    <t>ST-08F-1005</t>
  </si>
  <si>
    <t>Lê Thu Huyền</t>
  </si>
  <si>
    <t>20.9540214539, 105.9382247925</t>
  </si>
  <si>
    <t>20.9530391693, 105.9389495850</t>
  </si>
  <si>
    <t>CG100211BT</t>
  </si>
  <si>
    <t>Thanh Yến</t>
  </si>
  <si>
    <t>n/a, Đường 12A, TT.Nho Quan, H.Nho Quan, Ninh Bình</t>
  </si>
  <si>
    <t>AL-10C-1013</t>
  </si>
  <si>
    <t>Trần Thị Thủy</t>
  </si>
  <si>
    <t>20.3234291077, 105.7516326904</t>
  </si>
  <si>
    <t>20.3234252930, 105.7516479492</t>
  </si>
  <si>
    <t>KA50031033</t>
  </si>
  <si>
    <t>Shop Vân</t>
  </si>
  <si>
    <t>6, Đề Thám, P.2, TP.Cà Mau, Cà Mau</t>
  </si>
  <si>
    <t>AL-03E-4005</t>
  </si>
  <si>
    <t>Huỳnh Lý Huệ</t>
  </si>
  <si>
    <t>9.1787166595, 105.1476974487</t>
  </si>
  <si>
    <t>9.1787157059, 105.1476898193</t>
  </si>
  <si>
    <t>VI2003.90089</t>
  </si>
  <si>
    <t>VMP_DNG_5_PHAN_KHOANG</t>
  </si>
  <si>
    <t xml:space="preserve">5 Phan Khoang, Phường Hòa An, Quận Cẩm Lệ, TP  Đà Nẵng</t>
  </si>
  <si>
    <t>CH-04A-2015</t>
  </si>
  <si>
    <t>Nguyễn Thị Điệp</t>
  </si>
  <si>
    <t>16.0469036102, 108.1790390015</t>
  </si>
  <si>
    <t>16.0468826294, 108.1790542603</t>
  </si>
  <si>
    <t>VI4001.55127</t>
  </si>
  <si>
    <t>VMP_HCM_14_6_H_DU_KHUONG</t>
  </si>
  <si>
    <t>14/6 Hoàng Dư Khương, Phường 12, Quận 10, TPHCM</t>
  </si>
  <si>
    <t>ST-04G-3018</t>
  </si>
  <si>
    <t>Nguyễn Thụy Ngọc Uyên</t>
  </si>
  <si>
    <t>10.7757453918, 106.6727218628</t>
  </si>
  <si>
    <t>10.7757568359, 106.6727066040</t>
  </si>
  <si>
    <t>CO4037.50352</t>
  </si>
  <si>
    <t>CO_OPXTRA_SU_VAN_HANH</t>
  </si>
  <si>
    <t>TTTM Vạn Hạnh, số 11, đường Sư Vạn Hạnh, P 12, Q 10</t>
  </si>
  <si>
    <t>ST-06E-3008</t>
  </si>
  <si>
    <t>Nguyễn Thị Mỹ Hạnh</t>
  </si>
  <si>
    <t>ST-09C-3019</t>
  </si>
  <si>
    <t>Huỳnh Thị Thanh Hồng</t>
  </si>
  <si>
    <t>10.7716083527, 106.6694717407</t>
  </si>
  <si>
    <t>LC1009.24973</t>
  </si>
  <si>
    <t>Lan chi Trần Hưng Đạo, Tây Đằng</t>
  </si>
  <si>
    <t xml:space="preserve">Trần Hưng Đạo, Tây Đằng, H  Ba Vì, Hà Nội</t>
  </si>
  <si>
    <t>ST-04A-1037</t>
  </si>
  <si>
    <t>Trần Thị Dinh</t>
  </si>
  <si>
    <t>21.2058715820, 105.4158172607</t>
  </si>
  <si>
    <t>SG4040.52760</t>
  </si>
  <si>
    <t>CH_SATRAFOODS_SO_2/7</t>
  </si>
  <si>
    <t>Số 2/7, Quốc Lộ 22, Ấp Dân Thắng, Huyện Hóc Môn, Tp HCM</t>
  </si>
  <si>
    <t>10.8889617920, 106.5835571289</t>
  </si>
  <si>
    <t>10.8889389038, 106.5835494995</t>
  </si>
  <si>
    <t>VC4001.34686</t>
  </si>
  <si>
    <t>VM DONG KHOI</t>
  </si>
  <si>
    <t>Vincom Center Đồng Khởi,72 Lê Thánh Tôn,Quận 1,Tp HCM</t>
  </si>
  <si>
    <t>ST-12F-3012</t>
  </si>
  <si>
    <t>Đào Huyền Trang</t>
  </si>
  <si>
    <t>10.7781753540, 106.7012100220</t>
  </si>
  <si>
    <t>10.7781620026, 106.7021560669</t>
  </si>
  <si>
    <t>VI3002.58172</t>
  </si>
  <si>
    <t>VMP_DNI_A2_TRAN_QUOC_TOAN</t>
  </si>
  <si>
    <t>A2 Trần Quốc Toản, KP3, Phường Bình Đa, TP Biên Hoà, Tỉnh Đồng Nai</t>
  </si>
  <si>
    <t>ST-04G-3019</t>
  </si>
  <si>
    <t>Nghiêm Thị Huyền Trang</t>
  </si>
  <si>
    <t>10.9384965897, 106.8599395752</t>
  </si>
  <si>
    <t>10.9384689331, 106.8599395752</t>
  </si>
  <si>
    <t>TD500514NR</t>
  </si>
  <si>
    <t>Mai Khanh</t>
  </si>
  <si>
    <t>ấp 9B, Xã An Trường A, X.An Trường A, H.Càng Long, Trà Vinh</t>
  </si>
  <si>
    <t>AL-11B-4006</t>
  </si>
  <si>
    <t>Nguyễn Thị Mộng Tuyền</t>
  </si>
  <si>
    <t>10.0035963058, 106.1351928711</t>
  </si>
  <si>
    <t>10.0034627914, 106.1351928711</t>
  </si>
  <si>
    <t>ST-07F-3011</t>
  </si>
  <si>
    <t>Nguyễn Trần Anh Kiệt</t>
  </si>
  <si>
    <t>10.8485126495, 106.7743988037</t>
  </si>
  <si>
    <t>10.8484516144, 106.7740402222</t>
  </si>
  <si>
    <t>ST-04G-3025</t>
  </si>
  <si>
    <t>Nguyễn Thị Trúc My</t>
  </si>
  <si>
    <t>10.7897224426, 106.7708282471</t>
  </si>
  <si>
    <t>10.7898502350, 106.7708435059</t>
  </si>
  <si>
    <t>BR1001.85404</t>
  </si>
  <si>
    <t>BRG 175 Giảng Võ,Q Đống Đa</t>
  </si>
  <si>
    <t>175 Giảng Võ,Q Đống Đa,Tp Hà Nội</t>
  </si>
  <si>
    <t>ST-11A-1003</t>
  </si>
  <si>
    <t>Ngô Bích Hạnh</t>
  </si>
  <si>
    <t>21.0280799866, 105.8254241943</t>
  </si>
  <si>
    <t>21.0280895233, 105.8254089355</t>
  </si>
  <si>
    <t>SG4040.31019</t>
  </si>
  <si>
    <t>SF DA NAM</t>
  </si>
  <si>
    <t xml:space="preserve">52 Dạ Nam, Phường 2, Quận 8, Tp  HCM</t>
  </si>
  <si>
    <t>ST-04G-3022</t>
  </si>
  <si>
    <t>Gia Nghi Phan</t>
  </si>
  <si>
    <t>10.7490749359, 106.6854324341</t>
  </si>
  <si>
    <t>10.7490663528, 106.6854629517</t>
  </si>
  <si>
    <t>XH4001.122067</t>
  </si>
  <si>
    <t>BHX Thôn Xuyên Hải, Xã Đức Xuyên</t>
  </si>
  <si>
    <t>Thôn Xuyên Hải, Xã Đức Xuyên, Huyện Krông Nô, Tỉnh Đắk Nông</t>
  </si>
  <si>
    <t>ST-05F-2005</t>
  </si>
  <si>
    <t>Nguyễn Quang Hưng</t>
  </si>
  <si>
    <t>12.4642696381, 107.8615493774</t>
  </si>
  <si>
    <t>12.4642724991, 107.8615341187</t>
  </si>
  <si>
    <t>VM1009.30206</t>
  </si>
  <si>
    <t>VM 116 DE LA THANH</t>
  </si>
  <si>
    <t>Số 116 Đê La Thành, phường Phương Liên, quận Đống Đa, Hà Nội</t>
  </si>
  <si>
    <t>ST-07F-1003</t>
  </si>
  <si>
    <t>Nguyễn Thị Liễu</t>
  </si>
  <si>
    <t>21.0140819550, 105.8348159790</t>
  </si>
  <si>
    <t>21.0140972137, 105.8348541260</t>
  </si>
  <si>
    <t>Kidsplaza</t>
  </si>
  <si>
    <t>KC100110L4</t>
  </si>
  <si>
    <t>KIDS PLAZA Số 9 Tân Mai</t>
  </si>
  <si>
    <t>Số 9 Tân Mai, Quân Hoàng Mai</t>
  </si>
  <si>
    <t>20.9910984039, 105.8136444092</t>
  </si>
  <si>
    <t>CO4034.5083</t>
  </si>
  <si>
    <t>CM CONG QUYNH</t>
  </si>
  <si>
    <t>Số 189C Cống Quỳnh, P Nguyễn Cư Trinh, Q 1, TP HCM</t>
  </si>
  <si>
    <t>ST-04G-3026</t>
  </si>
  <si>
    <t>Trần Lê Hùng</t>
  </si>
  <si>
    <t>10.7670364380, 106.6857681274</t>
  </si>
  <si>
    <t>10.7675161362, 106.6857986450</t>
  </si>
  <si>
    <t>VI2005.21205</t>
  </si>
  <si>
    <t>VinMart Dak Lak</t>
  </si>
  <si>
    <t>78 Lý thường Kiệt,P Thắng Lợi,TP Buôn Ma Thuột,Đăk lăk</t>
  </si>
  <si>
    <t>ST-08A-2002</t>
  </si>
  <si>
    <t>Nguyễn Thị Thái Hằng</t>
  </si>
  <si>
    <t>12.6817913055, 108.0436477661</t>
  </si>
  <si>
    <t>12.6817035675, 108.0441131592</t>
  </si>
  <si>
    <t>CO4026.5075</t>
  </si>
  <si>
    <t>CM PHU THO</t>
  </si>
  <si>
    <t>Tầng trệt, Tầng 1, Tầng 2 (Siêu thị Co opMart) Khu A, Chung cư Phú Thọ, P 15, Q 11, TP HCM</t>
  </si>
  <si>
    <t>ST-04G-3007</t>
  </si>
  <si>
    <t>Đào Tuấn An</t>
  </si>
  <si>
    <t>10.7701168060, 106.6532592773</t>
  </si>
  <si>
    <t>10.7710123062, 106.6529541016</t>
  </si>
  <si>
    <t>MT2011.6360</t>
  </si>
  <si>
    <t>Mega Đaklak</t>
  </si>
  <si>
    <t>Tổ dân phố 5, đường Đồng Khởi, phường Tân An, TP Buôn Ma Thuột, tỉnh Đắk Lắk</t>
  </si>
  <si>
    <t>ST-09B-2002</t>
  </si>
  <si>
    <t>Ya Li Na</t>
  </si>
  <si>
    <t>12.7018852234, 108.0679092407</t>
  </si>
  <si>
    <t>12.7018995285, 108.0679092407</t>
  </si>
  <si>
    <t>ST-12F-3018</t>
  </si>
  <si>
    <t>Hà ThanhTân</t>
  </si>
  <si>
    <t>10.7676534653, 106.6856918335</t>
  </si>
  <si>
    <t>CO4046.5095</t>
  </si>
  <si>
    <t>CM PHAN THIET</t>
  </si>
  <si>
    <t>Số 1A Nguyễn Tất Thành, P Bình Hưng, TP Phan Thiết, T Bình Thuận</t>
  </si>
  <si>
    <t>ST-04A-3187</t>
  </si>
  <si>
    <t>Trần Ngọc Hiếu</t>
  </si>
  <si>
    <t>ST-04A-3189</t>
  </si>
  <si>
    <t>Lê Thị Bích Trâm</t>
  </si>
  <si>
    <t>10.9301147461, 108.1055831909</t>
  </si>
  <si>
    <t>10.9298076630, 108.1050567627</t>
  </si>
  <si>
    <t>VC4001.34736</t>
  </si>
  <si>
    <t>VM CONG HOA</t>
  </si>
  <si>
    <t>15-17 Cộng Hòa, Phường 4, Quận Tân Bình, Tp Hồ Chí Minh</t>
  </si>
  <si>
    <t>ST-08F-3011</t>
  </si>
  <si>
    <t>Phạm Thanh Tùng</t>
  </si>
  <si>
    <t>10.8004493713, 106.6580963135</t>
  </si>
  <si>
    <t>10.7997112274, 106.6586608887</t>
  </si>
  <si>
    <t>VI2008.26006</t>
  </si>
  <si>
    <t xml:space="preserve">VM NINH THUAN </t>
  </si>
  <si>
    <t>Số 122,đường 16/4 Phường Mỹ Hải,Tp Phan Rang-Tháp Chàm,Ninh Thuận</t>
  </si>
  <si>
    <t>ST-04E-2004</t>
  </si>
  <si>
    <t>Lê Thị Kim Thu</t>
  </si>
  <si>
    <t>11.5632791519, 109.0094146729</t>
  </si>
  <si>
    <t>11.5633535385, 109.0094375610</t>
  </si>
  <si>
    <t>DT1001.21940</t>
  </si>
  <si>
    <t>DUC THANH Tầng 1+2,tòa nhà CT1</t>
  </si>
  <si>
    <t>Tầng 1+2,tòa nhà CT1,KĐT mới An Hưng,P La Khê,Q Hà Đông,Tp Hà Nội</t>
  </si>
  <si>
    <t>ST-09E-1001</t>
  </si>
  <si>
    <t>Nguyễn Thị Kim Chi</t>
  </si>
  <si>
    <t>20.9730339050, 105.7583618164</t>
  </si>
  <si>
    <t>20.9730224609, 105.7583312988</t>
  </si>
  <si>
    <t>Minh Gia Phú</t>
  </si>
  <si>
    <t>MP4002120F</t>
  </si>
  <si>
    <t>Tấn Thuận</t>
  </si>
  <si>
    <t>E9/9, Thới Hòa, X Vĩnh Lộc A, Bình Chánh, HCM</t>
  </si>
  <si>
    <t>AL-06F-3005</t>
  </si>
  <si>
    <t>Phạm Thị Hồng Hạnh</t>
  </si>
  <si>
    <t>10.8288450241, 106.5849990845</t>
  </si>
  <si>
    <t>CF4001.91212</t>
  </si>
  <si>
    <t>CF_VISION</t>
  </si>
  <si>
    <t>96 Trần Đại Nghĩa, Phường Tân Tạo A, Quận Bình Tân, Tp HCM</t>
  </si>
  <si>
    <t>ST-04A-3136</t>
  </si>
  <si>
    <t>Nguyễn Ngọc Thúy</t>
  </si>
  <si>
    <t>10.6946506500, 106.6058120728</t>
  </si>
  <si>
    <t>10.6946468353, 106.6058120728</t>
  </si>
  <si>
    <t>PT40351EIK</t>
  </si>
  <si>
    <t>Việt Hoa</t>
  </si>
  <si>
    <t>70, Nguyễn Trường Tộ, Tân Thành, Tân Phú, HCM</t>
  </si>
  <si>
    <t>AL-02C-3013</t>
  </si>
  <si>
    <t>Lê Thị Hồng Thu</t>
  </si>
  <si>
    <t>10.7925930023, 106.6354980469</t>
  </si>
  <si>
    <t>SG4038.30760</t>
  </si>
  <si>
    <t>S_ST SAI GON</t>
  </si>
  <si>
    <t>460 Đường 3/2, Phường 12, Quận 10, TP HCM</t>
  </si>
  <si>
    <t>ST-10C-3011</t>
  </si>
  <si>
    <t>Nguyễn Hoài Thương</t>
  </si>
  <si>
    <t>10.7681264877, 106.6678390503</t>
  </si>
  <si>
    <t>10.7680368423, 106.6676788330</t>
  </si>
  <si>
    <t>ST-03F-1004</t>
  </si>
  <si>
    <t>Phạm Nguyễn Mạnh</t>
  </si>
  <si>
    <t>20.9939956665, 105.8692779541</t>
  </si>
  <si>
    <t>20.9940643311, 105.8692855835</t>
  </si>
  <si>
    <t>AM100312LW</t>
  </si>
  <si>
    <t>Shop 360</t>
  </si>
  <si>
    <t>so 137 Nguyen viet Xuan, Vinh yen, Vinh phuc</t>
  </si>
  <si>
    <t>AL-03E-1011</t>
  </si>
  <si>
    <t>Nguyễn Thị Hạt</t>
  </si>
  <si>
    <t>14h30 - 18h30</t>
  </si>
  <si>
    <t>21.3086090088, 105.6000289917</t>
  </si>
  <si>
    <t>21.3086929321, 105.5999679565</t>
  </si>
  <si>
    <t>Vạn Liên</t>
  </si>
  <si>
    <t>VL100112R0</t>
  </si>
  <si>
    <t>Anh Tâm</t>
  </si>
  <si>
    <t>288, Tân Long, TT Đoan Hùng, Đoan Hùng, Phú Thọ</t>
  </si>
  <si>
    <t>AL-08D-1011</t>
  </si>
  <si>
    <t>Đào Mỹ Cẩm Anh</t>
  </si>
  <si>
    <t>21.6319923401, 105.1822967529</t>
  </si>
  <si>
    <t>21.6317958832, 105.1825408936</t>
  </si>
  <si>
    <t>KC100110IL</t>
  </si>
  <si>
    <t xml:space="preserve"> HỆ THỐNG SIÊU THỊ TH MART  172A Nguyễn Lân</t>
  </si>
  <si>
    <t>172A Nguyễn Lân, P. phương Liệt, quận Thanh xuân, Hà Nội</t>
  </si>
  <si>
    <t>ST-04G-1002</t>
  </si>
  <si>
    <t>Thị Nhật Diệp Nguyễn</t>
  </si>
  <si>
    <t>20.9893512726, 105.8373107910</t>
  </si>
  <si>
    <t>20.9897613525, 105.8372497559</t>
  </si>
  <si>
    <t>Hoàng Tiên</t>
  </si>
  <si>
    <t>HT40321F7Z</t>
  </si>
  <si>
    <t>Cô Năm Cúc</t>
  </si>
  <si>
    <t>1373, Nguyễn Duy Trinh, Trường Thạnh, 9, HCM</t>
  </si>
  <si>
    <t>AL-10D-3007</t>
  </si>
  <si>
    <t>Lâm Quan Đạt</t>
  </si>
  <si>
    <t>16h00 - 19h00</t>
  </si>
  <si>
    <t>10.8057146072, 106.8180007935</t>
  </si>
  <si>
    <t>ST-08D-4006</t>
  </si>
  <si>
    <t>Trương Thanh Hùng</t>
  </si>
  <si>
    <t>9.2923765182, 105.7163619995</t>
  </si>
  <si>
    <t>CO4035.5084</t>
  </si>
  <si>
    <t>CM NHIEU LOC</t>
  </si>
  <si>
    <t>Cao ốc SCREC 974A, Trường Sa, Phường 12, Q 3, TP HCM</t>
  </si>
  <si>
    <t>ST-03F-3001</t>
  </si>
  <si>
    <t>Lưu Kim Nguyên</t>
  </si>
  <si>
    <t>10.7868146896, 106.6751251221</t>
  </si>
  <si>
    <t>10.7865476608, 106.6754531860</t>
  </si>
  <si>
    <t>DL200410FT</t>
  </si>
  <si>
    <t>Lanh Huệ</t>
  </si>
  <si>
    <t>Thôn 5, Ea Lê, EaSoup, Đăk Lăk</t>
  </si>
  <si>
    <t>AL-03G-2010</t>
  </si>
  <si>
    <t>Lê Thị Thu Hà</t>
  </si>
  <si>
    <t>13.1096105576, 107.8638381958</t>
  </si>
  <si>
    <t>13.1095676422, 107.8637924194</t>
  </si>
  <si>
    <t>KA5003203U</t>
  </si>
  <si>
    <t>Huỳnh Tâm</t>
  </si>
  <si>
    <t>0, Chợ Cá, Khóm 1, TT.Cái Đôi Vàm, H.Phú Tân, Cà Mau</t>
  </si>
  <si>
    <t>AL-04E-4006</t>
  </si>
  <si>
    <t>Trần Quốc Đạt</t>
  </si>
  <si>
    <t>8.8580875397, 104.8152160645</t>
  </si>
  <si>
    <t>8.8580379486, 104.8152008057</t>
  </si>
  <si>
    <t>CO5002.5100</t>
  </si>
  <si>
    <t>COOPMART SOC TRANG</t>
  </si>
  <si>
    <t>06 Hùng Vương,Phường 6,Thành Phố Sóc Trăng,Tỉnh Sóc Trăng</t>
  </si>
  <si>
    <t>ST-06B-4002</t>
  </si>
  <si>
    <t>9.6127843857, 105.9694824219</t>
  </si>
  <si>
    <t>9.6127462387, 105.9695129395</t>
  </si>
  <si>
    <t>PT2001103S</t>
  </si>
  <si>
    <t>Hoài Nam</t>
  </si>
  <si>
    <t>113, Nguyễn Hoàng, Nam Dương , Hải Châu, Đà Nẵng</t>
  </si>
  <si>
    <t>AL-04A-2022</t>
  </si>
  <si>
    <t>Nguyễn Thị Lan Nguyệt</t>
  </si>
  <si>
    <t>16.0622863770, 108.2139663696</t>
  </si>
  <si>
    <t>16.0622730255, 108.2139663696</t>
  </si>
  <si>
    <t>HH2002122C</t>
  </si>
  <si>
    <t>Chị Thương</t>
  </si>
  <si>
    <t>Chợ PơngDrang , Pơng Đrang, Krông Buk, Đăk Lăk</t>
  </si>
  <si>
    <t>AL-04A-2111</t>
  </si>
  <si>
    <t>Hoàng Nguyễn Ngọc Trâm</t>
  </si>
  <si>
    <t>12.9541435242, 108.2460632324</t>
  </si>
  <si>
    <t>12.9541530609, 108.2460861206</t>
  </si>
  <si>
    <t>Tài Lộc</t>
  </si>
  <si>
    <t>TL40041AJW</t>
  </si>
  <si>
    <t>Huỳnh Thu</t>
  </si>
  <si>
    <t>42, Lê Văn Lương, Tân Hưng, 7, HCM</t>
  </si>
  <si>
    <t>AL-04A-3097</t>
  </si>
  <si>
    <t>Cổ Thị Lành</t>
  </si>
  <si>
    <t>07h30 - 17h30</t>
  </si>
  <si>
    <t>10.7508153915, 106.7051162720</t>
  </si>
  <si>
    <t>10.7508058548, 106.7050170898</t>
  </si>
  <si>
    <t>HH30091066</t>
  </si>
  <si>
    <t>Quang Vinh</t>
  </si>
  <si>
    <t>ấp Đồng Tiến, Tân Đông, Tân Châu, Tây Ninh</t>
  </si>
  <si>
    <t>AL-11D-3002</t>
  </si>
  <si>
    <t>Nguyễn Thanh Thì</t>
  </si>
  <si>
    <t>11.6679220200, 106.2181854248</t>
  </si>
  <si>
    <t>11.6680173874, 106.2182159424</t>
  </si>
  <si>
    <t>Thành Châu</t>
  </si>
  <si>
    <t>TC4002102D</t>
  </si>
  <si>
    <t>Kim Hằng</t>
  </si>
  <si>
    <t>335, Tỉnh lộ 15, Ấp 9, X Tân Thạnh Đông, Củ Chi, HCM</t>
  </si>
  <si>
    <t>AL-04A-3043</t>
  </si>
  <si>
    <t>Nguyễn Thị Bích Hà</t>
  </si>
  <si>
    <t>10.9541025162, 106.6014175415</t>
  </si>
  <si>
    <t>ST-08F-1002</t>
  </si>
  <si>
    <t>Phan Thị Lưu</t>
  </si>
  <si>
    <t>20.9811649323, 105.7764282227</t>
  </si>
  <si>
    <t>20.9908370972, 105.7524414063</t>
  </si>
  <si>
    <t>VI5013.87466</t>
  </si>
  <si>
    <t>VMP_493/26_QUAN_CO_THANH</t>
  </si>
  <si>
    <t>493/26 Quản Cơ Thành, phường Bình Khánh, TP Long Xuyên, An Giang (TBĐ số 35)</t>
  </si>
  <si>
    <t>ST-10D-4002</t>
  </si>
  <si>
    <t>Phan Hồng Huệ Thiện</t>
  </si>
  <si>
    <t>10.3946371078, 105.4292678833</t>
  </si>
  <si>
    <t>LD5002105W</t>
  </si>
  <si>
    <t>Sương Mai</t>
  </si>
  <si>
    <t>0, Ấp Bờ Dâu, chợ Long Châu, kinh 10, X.Thạnh Mỹ Tây, H.Châu Phú, An Giang</t>
  </si>
  <si>
    <t>AL-07D-4004</t>
  </si>
  <si>
    <t>Nguyễn Thị Trúc Linh</t>
  </si>
  <si>
    <t>10.5414857864, 105.1465072632</t>
  </si>
  <si>
    <t>10.5414838791, 105.1465148926</t>
  </si>
  <si>
    <t>MT500114YL</t>
  </si>
  <si>
    <t>Bách Hóa Đăng Khánh</t>
  </si>
  <si>
    <t>23, ấp Bắc, P.5, TP.Mỹ Tho, Tiền Giang</t>
  </si>
  <si>
    <t>AL-04A-4107</t>
  </si>
  <si>
    <t>Phan Thị Xuân Uyên</t>
  </si>
  <si>
    <t>10.3637914658, 106.3588714600</t>
  </si>
  <si>
    <t>10.3638792038, 106.3587799072</t>
  </si>
  <si>
    <t>EB4001.14028</t>
  </si>
  <si>
    <t>EB HAI DUONG</t>
  </si>
  <si>
    <t>Phường Nhị Châu,Thành phố Hải Dương,Tỉnh Hải Dương</t>
  </si>
  <si>
    <t>20.9489097595, 106.3423385620</t>
  </si>
  <si>
    <t>NC401717HE</t>
  </si>
  <si>
    <t>Thân Thảo</t>
  </si>
  <si>
    <t>96/1082, Lê Đức Thọ, 17, Gò Vấp, HCM</t>
  </si>
  <si>
    <t>AL-05F-3001</t>
  </si>
  <si>
    <t>Trương Thị Thu Hà</t>
  </si>
  <si>
    <t>10.8417940140, 106.6769561768</t>
  </si>
  <si>
    <t>10.8417234421, 106.6769866943</t>
  </si>
  <si>
    <t>PH5002101F</t>
  </si>
  <si>
    <t>Minh Đức</t>
  </si>
  <si>
    <t>21, Hùng Vương, P.2, TP.Cao Lãnh, Đồng Tháp</t>
  </si>
  <si>
    <t>AL-10F-4009</t>
  </si>
  <si>
    <t>Nguyễn Hồng Thắm</t>
  </si>
  <si>
    <t>10.4540224075, 105.6341018677</t>
  </si>
  <si>
    <t>10.4539995193, 105.6341094971</t>
  </si>
  <si>
    <t>LA500112T8</t>
  </si>
  <si>
    <t>Loan Dinh Dưỡng</t>
  </si>
  <si>
    <t>781, Võ Công Tồn, TT.Bến Lức, H.Bến Lức, Long An</t>
  </si>
  <si>
    <t>AL-04A-4082</t>
  </si>
  <si>
    <t>Trịnh Thị Kim Nhung</t>
  </si>
  <si>
    <t>10.6419763565, 106.4846420288</t>
  </si>
  <si>
    <t>10.6419687271, 106.4846572876</t>
  </si>
  <si>
    <t>Kon Tum</t>
  </si>
  <si>
    <t>CO2010.48994</t>
  </si>
  <si>
    <t>COOP KON TUM</t>
  </si>
  <si>
    <t xml:space="preserve">Số nhà 205B Lê Hồng Phong, P  Quyết Thắng, TP  Kon Tum, Tỉnh Kon Tum, VN</t>
  </si>
  <si>
    <t>ST-04A-2034</t>
  </si>
  <si>
    <t>Trịnh Thị Huệ</t>
  </si>
  <si>
    <t>14.3546714783, 108.0022048950</t>
  </si>
  <si>
    <t>CO2009.61011</t>
  </si>
  <si>
    <t>COOP DUC PHO</t>
  </si>
  <si>
    <t>Đường Nguyễn Nghiêm, tổ dân phố Vĩnh Bình,phường Phổ Ninh, thị xã Đức Phổ, tỉnh Quảng Ngãi</t>
  </si>
  <si>
    <t>ST-04A-2044</t>
  </si>
  <si>
    <t>14.8189153671, 108.9532394409</t>
  </si>
  <si>
    <t>Vinh Tuyền</t>
  </si>
  <si>
    <t>VT30021385</t>
  </si>
  <si>
    <t>Mai Đình</t>
  </si>
  <si>
    <t>Chợ Bảo Lâm, TT Lộc Thắng, Bảo Lâm, Lâm Đồng</t>
  </si>
  <si>
    <t>AL-04E-2012</t>
  </si>
  <si>
    <t>Huỳnh Thị Mộng Tuyền</t>
  </si>
  <si>
    <t>11.6269464493, 107.8385391235</t>
  </si>
  <si>
    <t>11.6270589828, 107.8384628296</t>
  </si>
  <si>
    <t>MP400213LM</t>
  </si>
  <si>
    <t>Tấn Tài</t>
  </si>
  <si>
    <t>D8/40, Ấp 4, Hương Lộ 11, X Hưng Long, Bình Chánh, HCM</t>
  </si>
  <si>
    <t>AL-08D-3015</t>
  </si>
  <si>
    <t>Tạ Thành Trung</t>
  </si>
  <si>
    <t>10.6583919525, 106.6077575684</t>
  </si>
  <si>
    <t>10.6583719254, 106.6078033447</t>
  </si>
  <si>
    <t>HN30021253</t>
  </si>
  <si>
    <t>Vui Sắm Hàng Việt</t>
  </si>
  <si>
    <t>Số 39, Phú Lợi, Phú Lợi, Thủ Dầu Một, Bình Dương</t>
  </si>
  <si>
    <t>AL-09A-3021</t>
  </si>
  <si>
    <t>Lê Thị Huyền Lam</t>
  </si>
  <si>
    <t>10.9826097488, 106.6688308716</t>
  </si>
  <si>
    <t>KC1001101W</t>
  </si>
  <si>
    <t>Kmart Calidas Tầng 1</t>
  </si>
  <si>
    <t>Calidas Tầng 1, Tòa nhà Kengnam, X.Cổ Nhuế, Hà Nội</t>
  </si>
  <si>
    <t>21.0168457031, 105.7845535278</t>
  </si>
  <si>
    <t>21.0168437958, 105.7845840454</t>
  </si>
  <si>
    <t>Ha Tinh</t>
  </si>
  <si>
    <t>DD2008.47021</t>
  </si>
  <si>
    <t>VM KY ANH</t>
  </si>
  <si>
    <t>Vincom+ Kỳ Anh, Tổ Dân Phố 1, P. Sông Trí, Thị xã Kỳ Anh, Huyện Kỳ Anh, Tỉnh Hà Tĩnh</t>
  </si>
  <si>
    <t>GSMT022</t>
  </si>
  <si>
    <t>Phạm Trường Minh</t>
  </si>
  <si>
    <t>ST-04A-1065</t>
  </si>
  <si>
    <t>Bùi Thị Trang</t>
  </si>
  <si>
    <t>ST-11C-1005</t>
  </si>
  <si>
    <t>Phạm Thị Kiều Oanh</t>
  </si>
  <si>
    <t>18.0760860443, 106.2890243530</t>
  </si>
  <si>
    <t>18.0761184692, 106.2889862061</t>
  </si>
  <si>
    <t>ST-05C-1004</t>
  </si>
  <si>
    <t>Hoàng Thị Lanh</t>
  </si>
  <si>
    <t>21.0363903046, 105.7822647095</t>
  </si>
  <si>
    <t>21.0360660553, 105.7837219238</t>
  </si>
  <si>
    <t>ST-04A-2030</t>
  </si>
  <si>
    <t>Trần Thị Kim Lài</t>
  </si>
  <si>
    <t>13.1095008850, 109.2873306274</t>
  </si>
  <si>
    <t>XH4001.92136</t>
  </si>
  <si>
    <t xml:space="preserve">BHX 206 Thủ Khoa Huân, KP  9</t>
  </si>
  <si>
    <t xml:space="preserve">206 Thủ Khoa Huân, KP  9, P  Phú Thủy, TP  Phan Thiết, Tỉnh Bình Thuận</t>
  </si>
  <si>
    <t>10.9326190948, 108.1119003296</t>
  </si>
  <si>
    <t>10.9325923920, 108.1116867065</t>
  </si>
  <si>
    <t>LT3009.17293</t>
  </si>
  <si>
    <t>LOTTE VUNG TAU</t>
  </si>
  <si>
    <t>Góc đường 3 tháng 2 và đường Thi Sách,Phường 8,Tp Vũng Tàu,Tỉnh Bà Rịa-Vũng Tàu</t>
  </si>
  <si>
    <t>ST-11F-3012</t>
  </si>
  <si>
    <t>Lê Thị Hồng Nhung</t>
  </si>
  <si>
    <t>10.3506240845, 107.0939254761</t>
  </si>
  <si>
    <t>10.3499412537, 107.0938644409</t>
  </si>
  <si>
    <t>NC4017101H</t>
  </si>
  <si>
    <t>Xuân Thụ</t>
  </si>
  <si>
    <t>45H, Nguyễn Ảnh Thủ, Hiệp Thành, 12, HCM</t>
  </si>
  <si>
    <t>AL-03G-3007</t>
  </si>
  <si>
    <t>Nguyễn Trịnh Ngọc Trà</t>
  </si>
  <si>
    <t>10.8797435760, 106.6359176636</t>
  </si>
  <si>
    <t>TC40021CUP</t>
  </si>
  <si>
    <t>Chị Huyền (TH Thu Huyền)</t>
  </si>
  <si>
    <t>101/20, HL80 B Tổ 1 ấp 4, X Đông Thạnh, Hóc Môn, HCM</t>
  </si>
  <si>
    <t>AL-04A-3003</t>
  </si>
  <si>
    <t>Nguyễn Thị Mỹ Nương</t>
  </si>
  <si>
    <t>16h00 - 20h00</t>
  </si>
  <si>
    <t>10.9064340591, 106.6495742798</t>
  </si>
  <si>
    <t>CF3002.82019</t>
  </si>
  <si>
    <t>Co op Food 209A Xuyên Á, KP Bình Đường 3</t>
  </si>
  <si>
    <t>209A Xuyên Á, KP Bình Đường 3, Phường An Bình, Thị xã Dĩ An, Tỉnh Bình Dương</t>
  </si>
  <si>
    <t>ST-03G-3023</t>
  </si>
  <si>
    <t>Lê Thị Ngọc Tỏ</t>
  </si>
  <si>
    <t>10.8745145798, 106.7503356934</t>
  </si>
  <si>
    <t>10.8744850159, 106.7503356934</t>
  </si>
  <si>
    <t>SG2003.6784</t>
  </si>
  <si>
    <t>COOP PLEIKU</t>
  </si>
  <si>
    <t>21 Cách Mạng Tháng Tám, Hoa Lư, Tp Pleiku, Gia lai</t>
  </si>
  <si>
    <t>ST-07B-2002</t>
  </si>
  <si>
    <t>Nguyễn Thị Thanh Trang</t>
  </si>
  <si>
    <t>13.9868450165, 108.0080490112</t>
  </si>
  <si>
    <t>MP4002105M</t>
  </si>
  <si>
    <t>Anh thức-AS</t>
  </si>
  <si>
    <t>1A1, Chợ Đệm, TT Tân Túc, Bình Chánh, HCM</t>
  </si>
  <si>
    <t>AL-06E-3009</t>
  </si>
  <si>
    <t>Trần Huỳnh Thái Bình</t>
  </si>
  <si>
    <t>10.6929349899, 106.5780868530</t>
  </si>
  <si>
    <t>10.6928472519, 106.5780563354</t>
  </si>
  <si>
    <t>VI5013.103168</t>
  </si>
  <si>
    <t>VMP_AGG_01_THAI_PHIEN</t>
  </si>
  <si>
    <t>01 đường Thái Phiên, Khóm Bình Khánh 2, Phường Bình Khánh, TP Long Xuyên, Tỉnh An Giang</t>
  </si>
  <si>
    <t>10.3934688568, 105.4248046875</t>
  </si>
  <si>
    <t>10.3934497833, 105.4247894287</t>
  </si>
  <si>
    <t>CF4001.36508</t>
  </si>
  <si>
    <t>CF PHAN HUY ICH 2</t>
  </si>
  <si>
    <t>397 Phan Huy Ích, Phường 14, Quận Gò Vấp, Tp HCM</t>
  </si>
  <si>
    <t>ST-03F-3047</t>
  </si>
  <si>
    <t>Đoàn Mai Hiếu</t>
  </si>
  <si>
    <t>10.8419399261, 106.6439743042</t>
  </si>
  <si>
    <t>VS4019.77466</t>
  </si>
  <si>
    <t>VISSAN Số 47G Phan Văn Hân, Phường 17</t>
  </si>
  <si>
    <t>Số 47G Phan Văn Hân, Phường 17, Quận Bình Thạnh, Thành phố Hồ Chí Minh</t>
  </si>
  <si>
    <t>ST-07C-3022</t>
  </si>
  <si>
    <t>Võ Thanh Hải</t>
  </si>
  <si>
    <t>10.7931480408, 106.7069549561</t>
  </si>
  <si>
    <t>10.7919425964, 106.7088851929</t>
  </si>
  <si>
    <t>LO500114JU</t>
  </si>
  <si>
    <t>Shop 27</t>
  </si>
  <si>
    <t>27, Lạc Hồng, P.Vĩnh Lạc, TP.Rạch Giá, Kiên Giang</t>
  </si>
  <si>
    <t>AL-12F-4004</t>
  </si>
  <si>
    <t>Nguyễn Thị Thu Diễm</t>
  </si>
  <si>
    <t>9.9987468719, 105.0948944092</t>
  </si>
  <si>
    <t>10.8890562057, 106.5837402344</t>
  </si>
  <si>
    <t>10.8889923096, 106.5837631226</t>
  </si>
  <si>
    <t>HA3001145R</t>
  </si>
  <si>
    <t>Phước Trung</t>
  </si>
  <si>
    <t>To 2, KP 5, Phuoc Trung, Ba Ria, Ba Ria - Vung Tau</t>
  </si>
  <si>
    <t>AL-04A-3163</t>
  </si>
  <si>
    <t>Thái Thị Hồng</t>
  </si>
  <si>
    <t>10.4910650253, 107.1735839844</t>
  </si>
  <si>
    <t>10.4909353256, 107.1737213135</t>
  </si>
  <si>
    <t>NT40541L8C</t>
  </si>
  <si>
    <t>Chú Hùng</t>
  </si>
  <si>
    <t>26/04, Nguyễn Cảnh Chân, Cầu Kho, 1, HCM</t>
  </si>
  <si>
    <t>AL-10B-3007</t>
  </si>
  <si>
    <t>Trần Thị Thanh Tâm</t>
  </si>
  <si>
    <t>16h30 - 20h00</t>
  </si>
  <si>
    <t>10.7589111328, 106.6878738403</t>
  </si>
  <si>
    <t>HN50021SC5</t>
  </si>
  <si>
    <t>Thu Thủy</t>
  </si>
  <si>
    <t>66, ấp Bình Tả 2, X.Đức Hòa Hạ, H.Đức Hòa, Long An</t>
  </si>
  <si>
    <t>AL-03G-4013</t>
  </si>
  <si>
    <t>Thái Thị Trúc Thi</t>
  </si>
  <si>
    <t>10.8132200241, 106.4732894897</t>
  </si>
  <si>
    <t>10.8131628036, 106.4732742310</t>
  </si>
  <si>
    <t>XH4001.115019</t>
  </si>
  <si>
    <t>BHX 336 Huỳnh Tấn Phát</t>
  </si>
  <si>
    <t>336 Huỳnh Tấn Phát, Phường Bình Thuận, Quận 7, TP HCM</t>
  </si>
  <si>
    <t>10.7494163513, 106.7286071777</t>
  </si>
  <si>
    <t>10.7494258881, 106.7286148071</t>
  </si>
  <si>
    <t>Nghe An</t>
  </si>
  <si>
    <t>VI1102.99596</t>
  </si>
  <si>
    <t>VMP_NAN_LK1_04</t>
  </si>
  <si>
    <t>LK1 - 04 Khu nhà ở Trường Thịnh Phát II– P.Hà Huy Tập, TP. Vinh, Tỉnh Nghệ An</t>
  </si>
  <si>
    <t>ST-08E-1006</t>
  </si>
  <si>
    <t>18.6949615479, 105.6877975464</t>
  </si>
  <si>
    <t>18.6949596405, 105.6877975464</t>
  </si>
  <si>
    <t>SV5001.6896</t>
  </si>
  <si>
    <t>COOP VINH LONG</t>
  </si>
  <si>
    <t>26 Đường 3/2, P1, TP Vĩnh Long, Tỉnh Vĩnh Long</t>
  </si>
  <si>
    <t>ST-04G-4001</t>
  </si>
  <si>
    <t>Nguyễn Ngọc Vân Tùng</t>
  </si>
  <si>
    <t>10.2549171448, 105.9709701538</t>
  </si>
  <si>
    <t>Mai Dũng</t>
  </si>
  <si>
    <t>MD200311B7</t>
  </si>
  <si>
    <t>TH Hồng Nhung</t>
  </si>
  <si>
    <t>51, Trần Phú, Tây Sơn, Pleiku, Gia Lai</t>
  </si>
  <si>
    <t>AL-04A-2015</t>
  </si>
  <si>
    <t>Nguyễn Thị Ly Ly</t>
  </si>
  <si>
    <t>08h00 - 11h30</t>
  </si>
  <si>
    <t>13.9789190292, 108.0003433228</t>
  </si>
  <si>
    <t>ST-10D-2004</t>
  </si>
  <si>
    <t>Bùi Thị Hằng</t>
  </si>
  <si>
    <t>12.6927270889, 108.0621185303</t>
  </si>
  <si>
    <t>12.6916713715, 108.0620651245</t>
  </si>
  <si>
    <t>TL201711DP</t>
  </si>
  <si>
    <t>Cửa hàng Matcha</t>
  </si>
  <si>
    <t>Chợ Đức Tài, Đức Tài, Đức Linh, Bình Thuận</t>
  </si>
  <si>
    <t>AL-10A-2004</t>
  </si>
  <si>
    <t>Trần Thị Mỹ Tuyền</t>
  </si>
  <si>
    <t>11.1502857208, 107.5051269531</t>
  </si>
  <si>
    <t>11.1503047943, 107.5050811768</t>
  </si>
  <si>
    <t>VI1001.51171</t>
  </si>
  <si>
    <t>VMP_TO_12C_2A_HA_PHONG</t>
  </si>
  <si>
    <t>Tổ 12C, khu 2A Hà Phong, Hạ Long, Quảng Ninh</t>
  </si>
  <si>
    <t>ST-04A-1077</t>
  </si>
  <si>
    <t>Lê Thị Hường</t>
  </si>
  <si>
    <t>20.9676322937, 107.1597518921</t>
  </si>
  <si>
    <t>20.9676704407, 107.1598281860</t>
  </si>
  <si>
    <t>TL400411R7</t>
  </si>
  <si>
    <t>Cô Hằng</t>
  </si>
  <si>
    <t>1799, Phạm Thế Hiển, 6, 8, HCM</t>
  </si>
  <si>
    <t>AL-04A-3088</t>
  </si>
  <si>
    <t>Trần Ngọc Đoan Trinh</t>
  </si>
  <si>
    <t>10.7370424271, 106.6499633789</t>
  </si>
  <si>
    <t>BO500111HC</t>
  </si>
  <si>
    <t>Thanh Lan</t>
  </si>
  <si>
    <t>ấp Tân Đông, xã Tân Phú, X.Tân Phú, H.Châu Thành, Bến Tre</t>
  </si>
  <si>
    <t>AL-10E-4002</t>
  </si>
  <si>
    <t>Nguyễn Thị Phương Trúc</t>
  </si>
  <si>
    <t>10.2900447845, 106.2106018066</t>
  </si>
  <si>
    <t>10.2899675369, 106.2105789185</t>
  </si>
  <si>
    <t>VI4001.91517</t>
  </si>
  <si>
    <t>VMP_HCM_16_DUONG_SO_5A</t>
  </si>
  <si>
    <t>Số 16 đường số 5A, KDC Trung Sơn, ấp 4B, xã Bình Hưng, huyện Bình Chánh, TP HCM</t>
  </si>
  <si>
    <t>10.7380084991, 106.6907882690</t>
  </si>
  <si>
    <t>10.7380533218, 106.6906738281</t>
  </si>
  <si>
    <t>Thành Ban 2</t>
  </si>
  <si>
    <t>TB200222ES</t>
  </si>
  <si>
    <t>Bảy Giỏi</t>
  </si>
  <si>
    <t>Gần chợ cũ Phú hiệp, Phú Hiệp 2, Đông Hòa, Phú Yên</t>
  </si>
  <si>
    <t>AL-09E-2001</t>
  </si>
  <si>
    <t>Nguyễn Thị Thanh Hương</t>
  </si>
  <si>
    <t>12.9966030121, 109.3654708862</t>
  </si>
  <si>
    <t>12.9965972900, 109.3654937744</t>
  </si>
  <si>
    <t>EB4001.109433</t>
  </si>
  <si>
    <t>BigC TAM KỲ</t>
  </si>
  <si>
    <t>Số 7, đường Phan Chu Trinh, Phường Phước Hòa, TP Tam Kỳ, Tình Quảng Nam</t>
  </si>
  <si>
    <t>ST-01D-2001</t>
  </si>
  <si>
    <t>15.5740156174, 108.4832305908</t>
  </si>
  <si>
    <t>VM1009.61818</t>
  </si>
  <si>
    <t>VMP_CT5_DN1_KDT_MY_DINH_2</t>
  </si>
  <si>
    <t>Kiot 11, tầng 1, nhà chung cư CT5- ĐN1 đường Trần Hữu Dực, KĐT Mỹ Đình II , phường Mỹ Đình 2, quận Nam Từ Liêm, Hà Nội</t>
  </si>
  <si>
    <t>21.0276927948, 105.7650070190</t>
  </si>
  <si>
    <t>21.0295352936, 105.7695541382</t>
  </si>
  <si>
    <t>CO4059.31516</t>
  </si>
  <si>
    <t>CM BA RIA</t>
  </si>
  <si>
    <t>Số 6 Nguyễn Hữu Thọ,KP 2,P Phước Trung,Tp Bà Rịa,T Bà Rịa Vũng Tàu</t>
  </si>
  <si>
    <t>10.4882001877, 107.1737442017</t>
  </si>
  <si>
    <t>NV200210MH</t>
  </si>
  <si>
    <t>Cửa hàng Shop Cọp</t>
  </si>
  <si>
    <t>716, Ea Ổ, Đăk Lăk</t>
  </si>
  <si>
    <t>AL-12E-2012</t>
  </si>
  <si>
    <t>Phạm Thị Hạnh</t>
  </si>
  <si>
    <t>12.7910718918, 108.4659271240</t>
  </si>
  <si>
    <t>12.7910690308, 108.4659805298</t>
  </si>
  <si>
    <t>TL20171035</t>
  </si>
  <si>
    <t>Xuân Linh</t>
  </si>
  <si>
    <t>21, Thôn 3, Ngoài chợ Măng Tố, Măng Tố, Tánh Linh, Bình Thuận</t>
  </si>
  <si>
    <t>AL-05C-2005</t>
  </si>
  <si>
    <t>Nguyễn Thị Hây</t>
  </si>
  <si>
    <t>11.2104549408, 107.7013473511</t>
  </si>
  <si>
    <t>ST-02F-3031</t>
  </si>
  <si>
    <t>Phí Thị Hồng Vân</t>
  </si>
  <si>
    <t>10.3669366837, 107.0855789185</t>
  </si>
  <si>
    <t>10.3667755127, 107.0855484009</t>
  </si>
  <si>
    <t>CF4001.17040</t>
  </si>
  <si>
    <t>CF 53 PHAM VAN CHIEU</t>
  </si>
  <si>
    <t>53/1B Phạm Văn Chiêu,P 12,Quận Gò Vấp,Tp HCM</t>
  </si>
  <si>
    <t>10.8252468109, 106.6882934570</t>
  </si>
  <si>
    <t>XH4001.108459</t>
  </si>
  <si>
    <t>BHX Đường ĐT 741, khu phố 3</t>
  </si>
  <si>
    <t xml:space="preserve">Đường ĐT 741, khu phố 3, Phường Thác Mơ, TX  Phước Long, Tỉnh Bình Phước</t>
  </si>
  <si>
    <t>11.8412876129, 106.9947433472</t>
  </si>
  <si>
    <t>11.8412866592, 106.9947586060</t>
  </si>
  <si>
    <t>TC400213OL</t>
  </si>
  <si>
    <t>419_ấp Trung Bình, Tỉnh Lộ 7, X.Trung Lập Thượng, Củ Chi, HCM</t>
  </si>
  <si>
    <t>AL-07E-3007</t>
  </si>
  <si>
    <t>Nguyễn Quang Phục</t>
  </si>
  <si>
    <t>11.0458726883, 106.4550781250</t>
  </si>
  <si>
    <t>11.0458812714, 106.4550704956</t>
  </si>
  <si>
    <t>AE1001.23758</t>
  </si>
  <si>
    <t>AEON LONG BIEN</t>
  </si>
  <si>
    <t>Lô HH1,Khu Công Viên CNTT Hà Nội,Phường Long Biên,Q.Long Biên,Tp.Hà Nội</t>
  </si>
  <si>
    <t>ST-03E-1009</t>
  </si>
  <si>
    <t>Đỗ Thị Hồng Thuấn</t>
  </si>
  <si>
    <t>21.0281658173, 105.8990859985</t>
  </si>
  <si>
    <t>21.0282421112, 105.8989944458</t>
  </si>
  <si>
    <t>Hoa Binh</t>
  </si>
  <si>
    <t>VC1021.82912</t>
  </si>
  <si>
    <t>VINMART_HOA_BINH</t>
  </si>
  <si>
    <t>Tầng 2, TTTM Vincom Plaza Hòa Bình, Phường Đồng Tiến, TP Hòa Bình, Tỉnh Hòa Bình</t>
  </si>
  <si>
    <t>ST-02F-1003</t>
  </si>
  <si>
    <t>Lê Thị Hoa</t>
  </si>
  <si>
    <t>20.8257293701, 105.3512344360</t>
  </si>
  <si>
    <t>20.8256816864, 105.3512344360</t>
  </si>
  <si>
    <t>CO2003.5046</t>
  </si>
  <si>
    <t>Coop Cam Ranh</t>
  </si>
  <si>
    <t>2038 Hùng Vương,PCam Lộc,TpCam Ranh,TKhánhHòa</t>
  </si>
  <si>
    <t>ST-01B-2001</t>
  </si>
  <si>
    <t>Nguyễn Vũ Thụy Tú Uyên</t>
  </si>
  <si>
    <t>11.9180850983, 109.1456680298</t>
  </si>
  <si>
    <t>11.9176559448, 109.1456222534</t>
  </si>
  <si>
    <t>CO4014.5063</t>
  </si>
  <si>
    <t>CM PHAN VAN TRI</t>
  </si>
  <si>
    <t>Số 543/1 Phan Văn Trị, P 7, Q Gò Vấp , TP HCM</t>
  </si>
  <si>
    <t>ST-03G-3009</t>
  </si>
  <si>
    <t>Thái Thị Huế Anh</t>
  </si>
  <si>
    <t>10.8293962479, 106.6822433472</t>
  </si>
  <si>
    <t>10.8302717209, 106.6825027466</t>
  </si>
  <si>
    <t>CO5006.5104</t>
  </si>
  <si>
    <t>COOP HAU GIANG</t>
  </si>
  <si>
    <t>Khu vực 3,Phường Ngã Bảy,Thành Phố Ngã Bảy,Tỉnh Hậu Giang</t>
  </si>
  <si>
    <t>ST-03F-4004</t>
  </si>
  <si>
    <t>Phạm Phi Đằng</t>
  </si>
  <si>
    <t>9.8124752045, 105.8209609985</t>
  </si>
  <si>
    <t>9.8124504089, 105.8209457397</t>
  </si>
  <si>
    <t>VT1025107B</t>
  </si>
  <si>
    <t>Hoa Trình</t>
  </si>
  <si>
    <t>3A, Tổ 8, Mỏ Chè, Sông Công, Thái Nguyên</t>
  </si>
  <si>
    <t>AL-01G-1001</t>
  </si>
  <si>
    <t>Dương Thị Hường</t>
  </si>
  <si>
    <t>21.4695663452, 105.8306503296</t>
  </si>
  <si>
    <t>21.4695625305, 105.8306884766</t>
  </si>
  <si>
    <t>AL200111PB</t>
  </si>
  <si>
    <t>Siêu Thị Xuân Kiên</t>
  </si>
  <si>
    <t>Chợ , Đạt Lý, Đạt Lý, Buôn Ma Thuột, Đăk Lăk</t>
  </si>
  <si>
    <t>AL-07F-2011</t>
  </si>
  <si>
    <t>Đoàn Thị Cẩm Nhung</t>
  </si>
  <si>
    <t>12.7314462662, 108.1154403687</t>
  </si>
  <si>
    <t>12.7311506271, 108.1153640747</t>
  </si>
  <si>
    <t>VI4001.20927</t>
  </si>
  <si>
    <t>VM GOLDHOUSE</t>
  </si>
  <si>
    <t>A3-01-05 Khu căn hộ Hoàng Anh GoldHouse, Số 187A, Ấp 3, Xã Phước Kiển,Huyện Nhà Bè,Tp HCM</t>
  </si>
  <si>
    <t>10.7109155655, 106.7035598755</t>
  </si>
  <si>
    <t>10.7109146118, 106.7035598755</t>
  </si>
  <si>
    <t>EB4001.13944</t>
  </si>
  <si>
    <t>BIGC DI AN</t>
  </si>
  <si>
    <t>Phường Đông Hòa,Thị Xã Dĩ An,Tỉnh Bình Dương</t>
  </si>
  <si>
    <t>ST-04E-3010</t>
  </si>
  <si>
    <t>Ngô Minh Nhí</t>
  </si>
  <si>
    <t>10.8894166946, 106.7759399414</t>
  </si>
  <si>
    <t>10.8895549774, 106.7758407593</t>
  </si>
  <si>
    <t>DNTN Tiến Đạt - Trung Tâm</t>
  </si>
  <si>
    <t>TD500514KZ</t>
  </si>
  <si>
    <t>Chị Trang</t>
  </si>
  <si>
    <t>Chợ Trung Hiếu, Ấp An Điền 2, X Trung Hiếu, H Vũng Liêm, Vĩnh Long</t>
  </si>
  <si>
    <t>AL-04A-4070</t>
  </si>
  <si>
    <t>Châu Thị Hồng Nhi</t>
  </si>
  <si>
    <t>10.0717220306, 106.1554183960</t>
  </si>
  <si>
    <t>10.0716056824, 106.1557312012</t>
  </si>
  <si>
    <t>TY300110F9</t>
  </si>
  <si>
    <t>Ngọc Anh</t>
  </si>
  <si>
    <t>Đường số 23, Phú Chánh, Tân Uyên, Bình Dương</t>
  </si>
  <si>
    <t>AL-06D-3003</t>
  </si>
  <si>
    <t>Phạm Quỳnh Như</t>
  </si>
  <si>
    <t>11.0747909546, 106.6942520142</t>
  </si>
  <si>
    <t>11.0747985840, 106.6942291260</t>
  </si>
  <si>
    <t>PT200116SB</t>
  </si>
  <si>
    <t>Thanh Nga</t>
  </si>
  <si>
    <t>117, Dũng Sĩ Thanh Khê, Thanh Khê Tây, Thanh Khê, Đà Nẵng</t>
  </si>
  <si>
    <t>AL-12B-2001</t>
  </si>
  <si>
    <t>Lê Thị Thanh Hồng</t>
  </si>
  <si>
    <t>16.0745792389, 108.1750106812</t>
  </si>
  <si>
    <t>16.0486927032, 108.1462631226</t>
  </si>
  <si>
    <t>HN500112R3</t>
  </si>
  <si>
    <t>Tạp hóa Minh Trường</t>
  </si>
  <si>
    <t>16,cach cong, Tan Binh, X.Tân Thành, X.Lai Vung, Đồng Tháp</t>
  </si>
  <si>
    <t>AL-09E-4002</t>
  </si>
  <si>
    <t>Nguyễn Thị Tuyết Anh</t>
  </si>
  <si>
    <t>10.2600383759, 105.5880050659</t>
  </si>
  <si>
    <t>10.2600259781, 105.5880126953</t>
  </si>
  <si>
    <t>SH500417W0</t>
  </si>
  <si>
    <t>Mỹ Loan</t>
  </si>
  <si>
    <t>176E, Trần Quang Diệu, P.An Thới, Q.Bình Thủy, Cần Thơ</t>
  </si>
  <si>
    <t>AL-04A-4005</t>
  </si>
  <si>
    <t>Lê Thị Mỹ Phượng</t>
  </si>
  <si>
    <t>10.0584850311, 105.7642974854</t>
  </si>
  <si>
    <t>10.0584268570, 105.7643508911</t>
  </si>
  <si>
    <t>XM5001115U</t>
  </si>
  <si>
    <t>3 Nhàn</t>
  </si>
  <si>
    <t>589, Chu Văn An, TT.Phú Mỹ, H.Phú Tân, An Giang</t>
  </si>
  <si>
    <t>AL-08D-4004</t>
  </si>
  <si>
    <t>Nguyễn Thị Kim Ly</t>
  </si>
  <si>
    <t>10.5840482712, 105.3618011475</t>
  </si>
  <si>
    <t>XH4001.39336</t>
  </si>
  <si>
    <t>BHX 146 Đường số 5</t>
  </si>
  <si>
    <t xml:space="preserve">146 Đường số 5, KP 8, Phường Bình Hưng Hòa, Quận Bình Tân, TP  HCM</t>
  </si>
  <si>
    <t>10.8203239441, 106.5984802246</t>
  </si>
  <si>
    <t>10.8060913086, 106.6042938232</t>
  </si>
  <si>
    <t>KG5007.6064</t>
  </si>
  <si>
    <t>COOP RẠCH SỎI</t>
  </si>
  <si>
    <t>1332 NguyễnTrungTrực,P An Bình,TP Rạch Giá,Tỉnh Kiên Giang</t>
  </si>
  <si>
    <t>ST-09F-4004</t>
  </si>
  <si>
    <t>Lăng Khánh Hiền</t>
  </si>
  <si>
    <t>9.9592628479, 105.1182098389</t>
  </si>
  <si>
    <t>9.9592685699, 105.1181945801</t>
  </si>
  <si>
    <t>VI4001.60053</t>
  </si>
  <si>
    <t>VMP_HCM_1E_THANH_DA</t>
  </si>
  <si>
    <t>1E Thanh Đa, Phường 27, Quận Bình Thạnh, TPHCM</t>
  </si>
  <si>
    <t>10.8142824173, 106.7214660645</t>
  </si>
  <si>
    <t>10.8142919540, 106.7214660645</t>
  </si>
  <si>
    <t>Dien Bien</t>
  </si>
  <si>
    <t>CL10021048</t>
  </si>
  <si>
    <t>Nguyễn Chí Ba</t>
  </si>
  <si>
    <t>Nam Thanh, Điện Biên Phủ, Điện Biên</t>
  </si>
  <si>
    <t>AL-10F-1011</t>
  </si>
  <si>
    <t>Nguyễn Thị Thanh Bình</t>
  </si>
  <si>
    <t>21.3786354065, 103.0158996582</t>
  </si>
  <si>
    <t>21.3785343170, 103.0159454346</t>
  </si>
  <si>
    <t>MP400218JP</t>
  </si>
  <si>
    <t>100, Lộ Tẻ, Tân Tạo, Bình Tân, HCM</t>
  </si>
  <si>
    <t>AL-10D-3022</t>
  </si>
  <si>
    <t>Lê Thị Mỹ Dung</t>
  </si>
  <si>
    <t>10.7531318665, 106.5907135010</t>
  </si>
  <si>
    <t>EB4001.13934</t>
  </si>
  <si>
    <t>BigC DONG NAI</t>
  </si>
  <si>
    <t xml:space="preserve">Khu Phố 1, P  Long Bình Tân, Biên Hòa, Đồng Nai</t>
  </si>
  <si>
    <t>ST-04A-3180</t>
  </si>
  <si>
    <t>Nguyễn Thị Kim Tuyền</t>
  </si>
  <si>
    <t>ST-03E-3032</t>
  </si>
  <si>
    <t>Đặng Xuân Hồng Ngân</t>
  </si>
  <si>
    <t>10.9053554535, 106.8507003784</t>
  </si>
  <si>
    <t>10.9054460526, 106.8506774902</t>
  </si>
  <si>
    <t>HD501413I1</t>
  </si>
  <si>
    <t>Kem Thịnh Phát</t>
  </si>
  <si>
    <t>881/15, Tổ 7, Khóm 3, Ngô Quyền, TT.Cái Vồn, H.Bình Minh, Vĩnh Long</t>
  </si>
  <si>
    <t>AL-02E-4005</t>
  </si>
  <si>
    <t>Bùi Thị Xuân Hòa</t>
  </si>
  <si>
    <t>10.0699262619, 105.8185348511</t>
  </si>
  <si>
    <t>HH200210N7</t>
  </si>
  <si>
    <t>Thiên Xanh</t>
  </si>
  <si>
    <t>Chợ Ea Tóh, Ea Tóh, Krông Năng, Đăk Lăk</t>
  </si>
  <si>
    <t>AL-01E-2003</t>
  </si>
  <si>
    <t>Nguyễn Thị Hồng Lý</t>
  </si>
  <si>
    <t>13.0347414017, 108.3243179321</t>
  </si>
  <si>
    <t>13.0347356796, 108.3243331909</t>
  </si>
  <si>
    <t>VI4001.65478</t>
  </si>
  <si>
    <t>VMP_HCM_186_DUONG_SO_1</t>
  </si>
  <si>
    <t>186 đường số 1, phường 16, Quận Gò Vấp, Tp Hồ Chí Minh</t>
  </si>
  <si>
    <t>10.8474807739, 106.6577301025</t>
  </si>
  <si>
    <t>10.8454198837, 106.6571197510</t>
  </si>
  <si>
    <t>KA5002104T</t>
  </si>
  <si>
    <t>Chị Tuyền</t>
  </si>
  <si>
    <t>Số 18, Khu phố 3, TT.Tân Thạnh, H.Tân Thạnh, Long An</t>
  </si>
  <si>
    <t>AL-12F-4005</t>
  </si>
  <si>
    <t>Phan Thị Kim Nhi</t>
  </si>
  <si>
    <t>10.6115036011, 106.0444259644</t>
  </si>
  <si>
    <t>10.6125478745, 106.0469360352</t>
  </si>
  <si>
    <t>CO4016.5065</t>
  </si>
  <si>
    <t>CM HOA BINH</t>
  </si>
  <si>
    <t>Số 175 Hòa Bình, P Hiệp Tân, Q Tân Phú, TP HCM</t>
  </si>
  <si>
    <t>ST-12F-3003</t>
  </si>
  <si>
    <t>Huỳnh Hồng Cẩm</t>
  </si>
  <si>
    <t>10.7713241577, 106.6293029785</t>
  </si>
  <si>
    <t>10.7701978683, 106.6292495728</t>
  </si>
  <si>
    <t>ST-04E-1002</t>
  </si>
  <si>
    <t>Trần Thị Thu</t>
  </si>
  <si>
    <t>21.0266628265, 105.9011383057</t>
  </si>
  <si>
    <t>21.0280876160, 105.8986434937</t>
  </si>
  <si>
    <t>NV200210LY</t>
  </si>
  <si>
    <t>Cao Thị Mến</t>
  </si>
  <si>
    <t>Km 62, Ea Knop, Ea Kar , Đăk Lăk</t>
  </si>
  <si>
    <t>AL-04A-2105</t>
  </si>
  <si>
    <t>Phan Thị Thu Hợp</t>
  </si>
  <si>
    <t>12.8060293198, 108.5410232544</t>
  </si>
  <si>
    <t>12.8060522079, 108.5410537720</t>
  </si>
  <si>
    <t>CO4051.17682</t>
  </si>
  <si>
    <t>CM FOODCOSA</t>
  </si>
  <si>
    <t>304A Quang Trung,Phường 11,Quận Gò Vấp,Tp HCM</t>
  </si>
  <si>
    <t>ST-06F-3007</t>
  </si>
  <si>
    <t>Huỳnh Văn Tiền</t>
  </si>
  <si>
    <t>10.8354148865, 106.6623077393</t>
  </si>
  <si>
    <t>10.8352746964, 106.6623382568</t>
  </si>
  <si>
    <t>TC40021CJP</t>
  </si>
  <si>
    <t>Anh Khoa</t>
  </si>
  <si>
    <t>27/2B, Nguyễn Ảnh Thủ, X Trung Chánh, Hóc Môn, Ho Chi Minh City</t>
  </si>
  <si>
    <t>AL-04A-3013</t>
  </si>
  <si>
    <t>Nguyễn Thị Bạch Liên Hoa</t>
  </si>
  <si>
    <t>08h20 - 16h20</t>
  </si>
  <si>
    <t>10.8654289246, 106.6140441895</t>
  </si>
  <si>
    <t>10.8654451370, 106.6140823364</t>
  </si>
  <si>
    <t>Tường Vy</t>
  </si>
  <si>
    <t>TV200811YQ</t>
  </si>
  <si>
    <t>CH Minh Thùy</t>
  </si>
  <si>
    <t>194, Lê Lợi, Đamri, Đạ Huoai, Lâm Đồng</t>
  </si>
  <si>
    <t>AL-07F-2014</t>
  </si>
  <si>
    <t>11.4103631973, 107.6563034058</t>
  </si>
  <si>
    <t>11.4103660583, 107.6562881470</t>
  </si>
  <si>
    <t>NC40171KE4</t>
  </si>
  <si>
    <t>Tiến Phát 2</t>
  </si>
  <si>
    <t>59G, Hà Huy Giáp, Thạnh Lộc, 12, HCM</t>
  </si>
  <si>
    <t>KH-07C-3001</t>
  </si>
  <si>
    <t>Hà Kiến An</t>
  </si>
  <si>
    <t>16h30 - 21h30</t>
  </si>
  <si>
    <t>10.8654069901, 106.6803054810</t>
  </si>
  <si>
    <t>HTX TM DV P.1 - Trung An</t>
  </si>
  <si>
    <t>MT500114KC</t>
  </si>
  <si>
    <t>Phạm Thị Vũ Quyên</t>
  </si>
  <si>
    <t>Quốc Lộ 1A, Ấp Tân Hòa, Tân Hương, Châu Thành, Tiền Giang</t>
  </si>
  <si>
    <t>AL-05C-4007</t>
  </si>
  <si>
    <t>Nguyễn Thị Như Phương</t>
  </si>
  <si>
    <t>10.4430074692, 106.3380966187</t>
  </si>
  <si>
    <t>10.4430007935, 106.3380813599</t>
  </si>
  <si>
    <t>CO3003.62513</t>
  </si>
  <si>
    <t>CO_OPMART_PHUOC_DONG</t>
  </si>
  <si>
    <t>Khu Công Nghiệp Phước Đông, Xã Phước Đông, Huyện Gò Dầu, Tỉnh Tây Ninh</t>
  </si>
  <si>
    <t>ST-04G-3014</t>
  </si>
  <si>
    <t>Nguyễn Thị Quỳnh Như</t>
  </si>
  <si>
    <t>11.1354026794, 106.3142318726</t>
  </si>
  <si>
    <t>11.1354007721, 106.3142166138</t>
  </si>
  <si>
    <t>MK40021CY8</t>
  </si>
  <si>
    <t>Chị Chi</t>
  </si>
  <si>
    <t>89 B, Hòa Hưng, 7, 10, HCM</t>
  </si>
  <si>
    <t>AL-03E-3002</t>
  </si>
  <si>
    <t>Lê Phước Anh</t>
  </si>
  <si>
    <t>08h30 - 20h30</t>
  </si>
  <si>
    <t>10.7792148590, 106.6745452881</t>
  </si>
  <si>
    <t>10.7792062759, 106.6745147705</t>
  </si>
  <si>
    <t>ST5001110C</t>
  </si>
  <si>
    <t>Mai Loan</t>
  </si>
  <si>
    <t>Khu 1, Đường 868, P.1, TX.Cai Lậy, Tiền Giang</t>
  </si>
  <si>
    <t>AL-11F-4006</t>
  </si>
  <si>
    <t>Lê Thị Kim Chi</t>
  </si>
  <si>
    <t>10.4098939896, 106.1206970215</t>
  </si>
  <si>
    <t>10.4099082947, 106.1207046509</t>
  </si>
  <si>
    <t>LC1009.37057</t>
  </si>
  <si>
    <t>Lan chi Số 01/01, Đường Bắc Kạn</t>
  </si>
  <si>
    <t xml:space="preserve">Số 01/01, Đường Bắc Kạn, Tổ 2, P  Hoàng Văn Thụ, TP  Thái Nguyên</t>
  </si>
  <si>
    <t>ST-09D-1004</t>
  </si>
  <si>
    <t>Trần Thị Duyên</t>
  </si>
  <si>
    <t>21.6013240814, 105.8255844116</t>
  </si>
  <si>
    <t>21.6012973785, 105.8255691528</t>
  </si>
  <si>
    <t>XH4001.105776</t>
  </si>
  <si>
    <t xml:space="preserve">BHX 151 Y Moan Ênuôl, P  Tân Lợi</t>
  </si>
  <si>
    <t xml:space="preserve">151 Y Moan Ênuôl, P  Tân Lợi, TP  Buôn Ma Thuột, Tỉnh Đắk Lắk</t>
  </si>
  <si>
    <t>ST-07F-2003</t>
  </si>
  <si>
    <t>Trần Nguyên Thế Vinh</t>
  </si>
  <si>
    <t>12.7042093277, 108.0540390015</t>
  </si>
  <si>
    <t>12.7041864395, 108.0540008545</t>
  </si>
  <si>
    <t>ST-12A-3002</t>
  </si>
  <si>
    <t>Phạm Thị Hồng Nghĩa</t>
  </si>
  <si>
    <t>10.7601270676, 106.6614990234</t>
  </si>
  <si>
    <t>10.7599239349, 106.6613235474</t>
  </si>
  <si>
    <t>MP40021IVF</t>
  </si>
  <si>
    <t>Thế Giới Sữa</t>
  </si>
  <si>
    <t>6, Bình Thành, Bình Hưng Hòa B, Bình Tân, HCM</t>
  </si>
  <si>
    <t>AL-07F-3004</t>
  </si>
  <si>
    <t>Trần Thị Hồng Nhi</t>
  </si>
  <si>
    <t>10.7999496460, 106.5868911743</t>
  </si>
  <si>
    <t>ST-03G-3008</t>
  </si>
  <si>
    <t>Bùi Ngọc Ánh</t>
  </si>
  <si>
    <t>10.8349647522, 106.6623382568</t>
  </si>
  <si>
    <t>10.8349981308, 106.6623229980</t>
  </si>
  <si>
    <t>ST-07B-3002</t>
  </si>
  <si>
    <t>Vũ Trần Thị Thanh Thúy</t>
  </si>
  <si>
    <t>10.7672624588, 106.6860809326</t>
  </si>
  <si>
    <t>10.7675323486, 106.6862335205</t>
  </si>
  <si>
    <t>ST-03F-3002</t>
  </si>
  <si>
    <t>Huỳnh Thiện Lưu</t>
  </si>
  <si>
    <t>10.8483943939, 106.7747573853</t>
  </si>
  <si>
    <t>10.8484373093, 106.7744216919</t>
  </si>
  <si>
    <t>TA100611CS</t>
  </si>
  <si>
    <t>Lâm Nga</t>
  </si>
  <si>
    <t>Cổng chợ Nỷ, Trung Giã, Hà Nội</t>
  </si>
  <si>
    <t>AL-10F-1007</t>
  </si>
  <si>
    <t>Lê Thị Thu</t>
  </si>
  <si>
    <t>07h15 - 16h30</t>
  </si>
  <si>
    <t>21.3113059998, 105.8690109253</t>
  </si>
  <si>
    <t>21.3112926483, 105.8690185547</t>
  </si>
  <si>
    <t>MP400218FK</t>
  </si>
  <si>
    <t>Quốc Kiến T</t>
  </si>
  <si>
    <t>1368, Tỉnh Lộ 10, Tân Tạo, Bình Tân, HCM</t>
  </si>
  <si>
    <t>AL-03B-3019</t>
  </si>
  <si>
    <t>Lê Bảo Yến</t>
  </si>
  <si>
    <t>10.7567501068, 106.5901184082</t>
  </si>
  <si>
    <t>SG2006.61219</t>
  </si>
  <si>
    <t>COOP QUANG NGAI</t>
  </si>
  <si>
    <t>Hẻm 242 Nguyễn Nghiêm ,P Nguyễn Nghiêm, TP Quảng Ngãi, T Quảng Ngãi</t>
  </si>
  <si>
    <t>ST-04A-2022</t>
  </si>
  <si>
    <t>15.1210746765, 108.8064956665</t>
  </si>
  <si>
    <t>Gia Ngân</t>
  </si>
  <si>
    <t>GN2001100W</t>
  </si>
  <si>
    <t>252, Bùi Thị Xuân, TP Huế, Huế</t>
  </si>
  <si>
    <t>AL-03B-2013</t>
  </si>
  <si>
    <t>Phan Thị Ngọc Uyên</t>
  </si>
  <si>
    <t>16.4527244568, 107.5618667603</t>
  </si>
  <si>
    <t>16.4527950287, 107.5619506836</t>
  </si>
  <si>
    <t>ST-11E-3004</t>
  </si>
  <si>
    <t>Vũ Hoài Phương</t>
  </si>
  <si>
    <t>10.7864770889, 106.6753768921</t>
  </si>
  <si>
    <t>10.7864341736, 106.6755142212</t>
  </si>
  <si>
    <t>NC40171IXF</t>
  </si>
  <si>
    <t>Ti Ti</t>
  </si>
  <si>
    <t>955, Nguyễn Ảnh Thủ, Tân Chánh Hiệp, 12, HCM</t>
  </si>
  <si>
    <t>AL-03B-3023</t>
  </si>
  <si>
    <t>Nguyễn Thị Thùy Trang</t>
  </si>
  <si>
    <t>10.8724384308, 106.6206283569</t>
  </si>
  <si>
    <t>SA5001.6767</t>
  </si>
  <si>
    <t>COOP LONG XUYEN</t>
  </si>
  <si>
    <t>12 Nguyễn Huệ, P Mỹ Long, TP Long Xuyên, T An Giang</t>
  </si>
  <si>
    <t>ST-03D-4001</t>
  </si>
  <si>
    <t>Ngô Minh Nhựt</t>
  </si>
  <si>
    <t>10.3811817169, 105.4389877319</t>
  </si>
  <si>
    <t>10.3817672729, 105.4402923584</t>
  </si>
  <si>
    <t>NT40541A7S</t>
  </si>
  <si>
    <t>Phan Thị Hường</t>
  </si>
  <si>
    <t>56, Phan Văn Hân, 19, Bình Thạnh, HCM</t>
  </si>
  <si>
    <t>AL-10F-3004</t>
  </si>
  <si>
    <t>Nguyễn Thương Bảo Ngọc</t>
  </si>
  <si>
    <t>10.7925968170, 106.7077941895</t>
  </si>
  <si>
    <t>10.7925748825, 106.7077941895</t>
  </si>
  <si>
    <t>DT1001.54709</t>
  </si>
  <si>
    <t xml:space="preserve">DUC THANH -_x0009_Tầng 1, Tòa nhà Sapphire</t>
  </si>
  <si>
    <t xml:space="preserve">-_x0009_Tầng 1, Tòa nhà Sapphire, Số 4, Phố Chính Kính, P  Thượng Đình, Q  Thanh Xuân, TP  Hà Nội</t>
  </si>
  <si>
    <t>20.9986915588, 105.8118286133</t>
  </si>
  <si>
    <t>20.9987754822, 105.8117980957</t>
  </si>
  <si>
    <t>DD300810FK</t>
  </si>
  <si>
    <t>Đông Anh</t>
  </si>
  <si>
    <t>1, Lê Quý Đôn, Thác Mơ, Phước Long, Bình Phước</t>
  </si>
  <si>
    <t>AL-05G-3006</t>
  </si>
  <si>
    <t>11.8397979736, 106.9966888428</t>
  </si>
  <si>
    <t>11.8397903442, 106.9966812134</t>
  </si>
  <si>
    <t>SH500418YM</t>
  </si>
  <si>
    <t>Mẹ Và Bé (Mẫu Nhi)</t>
  </si>
  <si>
    <t>85A, Lý Tự Trọng, P.An Phú, Q.Ninh Kiều, Cần Thơ</t>
  </si>
  <si>
    <t>AL-05A-4001</t>
  </si>
  <si>
    <t>Huỳnh Thị Thu</t>
  </si>
  <si>
    <t>10.0359735489, 105.7780532837</t>
  </si>
  <si>
    <t>10.0359706879, 105.7780532837</t>
  </si>
  <si>
    <t>MK20021WE1</t>
  </si>
  <si>
    <t>Hồng Thẩm</t>
  </si>
  <si>
    <t>Khánh Hòa</t>
  </si>
  <si>
    <t>AL-08F-2001</t>
  </si>
  <si>
    <t>Tsèn Thị Ly</t>
  </si>
  <si>
    <t>12.0525493622, 109.1591796875</t>
  </si>
  <si>
    <t>12.0527496338, 109.1591567993</t>
  </si>
  <si>
    <t>HD501411UX</t>
  </si>
  <si>
    <t>Anh Trí</t>
  </si>
  <si>
    <t>0, Tổ 11, Khóm 3, TT.Cái Vồn, H.Bình Minh, Vĩnh Long</t>
  </si>
  <si>
    <t>AL-04F-4011</t>
  </si>
  <si>
    <t>Nguyễn Văn Kính</t>
  </si>
  <si>
    <t>10.0664863586, 105.8222732544</t>
  </si>
  <si>
    <t>10.0664081573, 105.8222961426</t>
  </si>
  <si>
    <t>EB4001.20731</t>
  </si>
  <si>
    <t>BIGC HO GUOM</t>
  </si>
  <si>
    <t>Tầng 1 và 2,TTTM,VP và nhà ở CC Hồ Gươm Plaza,KĐT mới Mỗ Lao,P.Mỗ Lao,Q.Hà Đông,TP.HN</t>
  </si>
  <si>
    <t>ST-04A-1011</t>
  </si>
  <si>
    <t>Trần Thùy Giang</t>
  </si>
  <si>
    <t>ST-06E-1002</t>
  </si>
  <si>
    <t>20.9789524078, 105.7849121094</t>
  </si>
  <si>
    <t>20.9794349670, 105.7851562500</t>
  </si>
  <si>
    <t>LH300713JC</t>
  </si>
  <si>
    <t>Chợ Thạnh Mỹ, Thạnh Mỹ, Đơn Dương, Lâm Đồng</t>
  </si>
  <si>
    <t>AL-09C-2004</t>
  </si>
  <si>
    <t>Trần Thị Mỹ Duyên</t>
  </si>
  <si>
    <t>11.7613067627, 108.4838714600</t>
  </si>
  <si>
    <t>11.7614402771, 108.4839553833</t>
  </si>
  <si>
    <t>CO4044.5093</t>
  </si>
  <si>
    <t>CM MY THO</t>
  </si>
  <si>
    <t>Số 35 Ấp Bắc, P 5, TP Mỹ Tho, Tỉnh Tiền Giang</t>
  </si>
  <si>
    <t>ST-05C-4002</t>
  </si>
  <si>
    <t>Phạm Ngọc Cẩm</t>
  </si>
  <si>
    <t>10.3727416992, 106.3473434448</t>
  </si>
  <si>
    <t>10.3730192184, 106.3477172852</t>
  </si>
  <si>
    <t>LT3007.6214</t>
  </si>
  <si>
    <t>LOTTE BINH DUONG</t>
  </si>
  <si>
    <t>Khu Đô Thị The Seasons Bình Dương, Phường Lái Thiêu, TP ThuậnAn, Tỉnh Bình Dương</t>
  </si>
  <si>
    <t>ST-08C-3012</t>
  </si>
  <si>
    <t>Nguyễn Thị Huyền</t>
  </si>
  <si>
    <t>ST-08E-3011</t>
  </si>
  <si>
    <t>Nguyễn Thị Ngọc Trinh</t>
  </si>
  <si>
    <t>10.9057350159, 106.7109146118</t>
  </si>
  <si>
    <t>10.9054193497, 106.7109832764</t>
  </si>
  <si>
    <t>QL5001102P</t>
  </si>
  <si>
    <t>Đức Phát</t>
  </si>
  <si>
    <t>43/4, Chợ Long Phú, Ấp 4, X.Song Phụng, H.Long Phú, Sóc Trăng</t>
  </si>
  <si>
    <t>AL-04A-4015</t>
  </si>
  <si>
    <t>Nguyễn Ngô Thanh Hồng</t>
  </si>
  <si>
    <t>9.6066246033, 106.1259994507</t>
  </si>
  <si>
    <t>9.6066169739, 106.1260223389</t>
  </si>
  <si>
    <t>ST-01G-3003</t>
  </si>
  <si>
    <t>Nguyễn Thị Ngọc Giàu</t>
  </si>
  <si>
    <t>10.7415723801, 106.7021255493</t>
  </si>
  <si>
    <t>10.7416744232, 106.7020034790</t>
  </si>
  <si>
    <t>CF3002.126383</t>
  </si>
  <si>
    <t>CF_BD_KDC_VIET_SING_DA6</t>
  </si>
  <si>
    <t>Ô 25 - Ô 27, Lô DC 79, KDC Việt-Sing, phường Thuận Giao, thị xã Thuận An, Bình Dương</t>
  </si>
  <si>
    <t>10.9405975342, 106.7186508179</t>
  </si>
  <si>
    <t>10.9405775070, 106.7186508179</t>
  </si>
  <si>
    <t>TA300614DH</t>
  </si>
  <si>
    <t>Trần An</t>
  </si>
  <si>
    <t>255A, Hùng Vương, An Điền, Bến Cát, Bình Dương</t>
  </si>
  <si>
    <t>AL-01G-3003</t>
  </si>
  <si>
    <t>Nguyễn Thị Chung</t>
  </si>
  <si>
    <t>16h30 - 21h00</t>
  </si>
  <si>
    <t>11.1399755478, 106.5618743896</t>
  </si>
  <si>
    <t>QL5001114U</t>
  </si>
  <si>
    <t>Tuấn Vỹ</t>
  </si>
  <si>
    <t>35, Tỉnh lộ 934, TT.Mỹ Xuyên, H.Mỹ Xuyên, Sóc Trăng</t>
  </si>
  <si>
    <t>AL-08C-4002</t>
  </si>
  <si>
    <t>Lý Thị Ngọc Trang</t>
  </si>
  <si>
    <t>9.5580940247, 105.9786071777</t>
  </si>
  <si>
    <t>9.5580873489, 105.9786071777</t>
  </si>
  <si>
    <t>CO4058.28718</t>
  </si>
  <si>
    <t>CM Bến Lức</t>
  </si>
  <si>
    <t>61 đường Quốc Lộ 1A,Khu phố 4,Thị trấn Bến Lức,H Bến Lức,T Long An</t>
  </si>
  <si>
    <t>ST-07F-4009</t>
  </si>
  <si>
    <t>10.6375913620, 106.4822845459</t>
  </si>
  <si>
    <t>10.6376314163, 106.4824447632</t>
  </si>
  <si>
    <t>CO2011.64212</t>
  </si>
  <si>
    <t>CM_PHAN_RI_CUA</t>
  </si>
  <si>
    <t>Khu phố Minh Tân, Thị Trấn Phan Rí Cửa, Huyện Tuy Phong, Tỉnh Bình Thuận</t>
  </si>
  <si>
    <t>ST-11D-2002</t>
  </si>
  <si>
    <t>Nguyễn Hạ Huyền My</t>
  </si>
  <si>
    <t>11.1803607941, 108.5765457153</t>
  </si>
  <si>
    <t>11.1802110672, 108.5765838623</t>
  </si>
  <si>
    <t>TD500324XJ</t>
  </si>
  <si>
    <t>Lư Quyên</t>
  </si>
  <si>
    <t>0, Ngang Ngã Tư 91B, QL 91B, P.An Khánh, Q.Ninh Kiều, Cần Thơ</t>
  </si>
  <si>
    <t>AL-05E-4001</t>
  </si>
  <si>
    <t>Phan Trần Tố Trinh</t>
  </si>
  <si>
    <t>10.0310716629, 105.7522964478</t>
  </si>
  <si>
    <t>10.0310640335, 105.7522811890</t>
  </si>
  <si>
    <t>AE3001.17154</t>
  </si>
  <si>
    <t>Aeon Bình Dương</t>
  </si>
  <si>
    <t>Số 01,Đại Lộ Bình Dương,khu phố Bình Giao,phường Thuận Giao,TP Thuận An,tỉnh Bình Dương</t>
  </si>
  <si>
    <t>ST-03F-3023</t>
  </si>
  <si>
    <t>Phạm Thị Lệ</t>
  </si>
  <si>
    <t>10.9336977005, 106.7124176025</t>
  </si>
  <si>
    <t>10.9334688187, 106.7122497559</t>
  </si>
  <si>
    <t>MD00LT30061931</t>
  </si>
  <si>
    <t>Lotte Dong Nai</t>
  </si>
  <si>
    <t>LôB03KhuTMAmata,QL1A,P LongBình,Tp BiênHòa,ĐồngNai</t>
  </si>
  <si>
    <t>ST-02E-3004</t>
  </si>
  <si>
    <t>Nguyễn Thị Bảo Phương</t>
  </si>
  <si>
    <t>10.9486780167, 106.8707351685</t>
  </si>
  <si>
    <t>10.9489717484, 106.8712692261</t>
  </si>
  <si>
    <t>EB4001.13952</t>
  </si>
  <si>
    <t>BIGC TAN PHU</t>
  </si>
  <si>
    <t>1/1 Trường Chinh,P Tây Thạnh,Q Tân Phú,Tp HCM</t>
  </si>
  <si>
    <t>ST-08F-3016</t>
  </si>
  <si>
    <t>Hà Đông Anh</t>
  </si>
  <si>
    <t>10.8071136475, 106.6346206665</t>
  </si>
  <si>
    <t>10.8072357178, 106.6343536377</t>
  </si>
  <si>
    <t>ST5001114P</t>
  </si>
  <si>
    <t>ấp Nam, Dưỡng Điềm, X.Dưỡng Điềm, H.Châu Thành, Tiền Giang</t>
  </si>
  <si>
    <t>AL-08A-4002</t>
  </si>
  <si>
    <t>Phạm Thị Kim Thoa</t>
  </si>
  <si>
    <t>10.4047155380, 106.2113342285</t>
  </si>
  <si>
    <t>10.4047174454, 106.2113342285</t>
  </si>
  <si>
    <t>KC1001101V</t>
  </si>
  <si>
    <t>Kmart 102</t>
  </si>
  <si>
    <t xml:space="preserve">102, Tòa nhà  A Kengnam,X.Mễ Trì,H.Từ Liêm,Hà Nội</t>
  </si>
  <si>
    <t>21.0182819366, 105.7841262817</t>
  </si>
  <si>
    <t>21.0183067322, 105.7841262817</t>
  </si>
  <si>
    <t>CO4061.31524</t>
  </si>
  <si>
    <t>CM LONG AN</t>
  </si>
  <si>
    <t>Số 01 Mai Thị Tốt, P 2, TP Tân An, Tỉnh Long An</t>
  </si>
  <si>
    <t>ST-02F-4011</t>
  </si>
  <si>
    <t>Trương Thị Thùy Trang</t>
  </si>
  <si>
    <t>10.5338726044, 106.4112014771</t>
  </si>
  <si>
    <t>10.5341596603, 106.4109954834</t>
  </si>
  <si>
    <t>CO4070.89311</t>
  </si>
  <si>
    <t>CM_HIEP_THANH</t>
  </si>
  <si>
    <t>276 Nguyễn Ảnh Thủ, Phường Hiệp Thành, Quận 12, TP HCM</t>
  </si>
  <si>
    <t>ST-07D-3007</t>
  </si>
  <si>
    <t>Nguyễn Cẩm Duyên</t>
  </si>
  <si>
    <t>10.8777837753, 106.6397323608</t>
  </si>
  <si>
    <t>10.8777847290, 106.6397476196</t>
  </si>
  <si>
    <t>LD5004103M</t>
  </si>
  <si>
    <t>Việt Đào</t>
  </si>
  <si>
    <t>193, Đường 30/4, TT.Long Mỹ, H.Long Mỹ, Hậu Giang</t>
  </si>
  <si>
    <t>AL-08C-4021</t>
  </si>
  <si>
    <t>Phan Thị Nương</t>
  </si>
  <si>
    <t>9.6791496277, 105.5692443848</t>
  </si>
  <si>
    <t>9.6791315079, 105.5692291260</t>
  </si>
  <si>
    <t>XH4001.85225</t>
  </si>
  <si>
    <t>BHX Thửa đất số 62 và 63, tờ bản đồ số 1-20A</t>
  </si>
  <si>
    <t>Thửa đất số 62 và 63, tờ bản đồ số 1-20A, phường 3, thành phố Tân An, Tỉnh Long An</t>
  </si>
  <si>
    <t>ST-02G-4001</t>
  </si>
  <si>
    <t>Hồ Văn Tuấn</t>
  </si>
  <si>
    <t>10.5309305191, 106.4171524048</t>
  </si>
  <si>
    <t>CV10051VZ0</t>
  </si>
  <si>
    <t>Liên Đạt</t>
  </si>
  <si>
    <t>284, Bạch Mai, Hai Bà Trưng, Hai Bà Trưng, Hà Nội</t>
  </si>
  <si>
    <t>AL-04G-1003</t>
  </si>
  <si>
    <t>Lê Thị Hồng</t>
  </si>
  <si>
    <t>21.0022697449, 105.8507995605</t>
  </si>
  <si>
    <t>21.0022563934, 105.8508682251</t>
  </si>
  <si>
    <t>CO5014.51327</t>
  </si>
  <si>
    <t>CCOP MART HONG NGU</t>
  </si>
  <si>
    <t>Khu nhà cao ốc KII, Phường An Thạnh, Thành Phố Hồng Ngự, Tỉnh Đồng Tháp</t>
  </si>
  <si>
    <t>ST-12C-4003</t>
  </si>
  <si>
    <t>Lê Thị Kiều Oanh</t>
  </si>
  <si>
    <t>10.8100547791, 105.3491210938</t>
  </si>
  <si>
    <t>10.8100986481, 105.3490982056</t>
  </si>
  <si>
    <t>QP10011ERG</t>
  </si>
  <si>
    <t>Chị Huệ</t>
  </si>
  <si>
    <t xml:space="preserve">12,  Ngõ 139, Mỹ Đình, Từ Liêm, Hà Nội</t>
  </si>
  <si>
    <t>AL-04D-1001</t>
  </si>
  <si>
    <t>21.0214691162, 105.7754592896</t>
  </si>
  <si>
    <t>20.5338287354, 106.0562286377</t>
  </si>
  <si>
    <t>NC40171865</t>
  </si>
  <si>
    <t>Mai Lan</t>
  </si>
  <si>
    <t>68/462, Quang Trung, 8, Gò Vấp, HCM</t>
  </si>
  <si>
    <t>AL-03B-3020</t>
  </si>
  <si>
    <t>10.8354377747, 106.6436157227</t>
  </si>
  <si>
    <t>ST50011088</t>
  </si>
  <si>
    <t>Dì 5 Xê</t>
  </si>
  <si>
    <t>ấp 9, Cầu Thầy Cai, X.Long Tiên, H.Cai Lậy, Tiền Giang</t>
  </si>
  <si>
    <t>AL-04A-4085</t>
  </si>
  <si>
    <t>Chung Thị Thanh Tuyền</t>
  </si>
  <si>
    <t>10.3329343796, 106.1266326904</t>
  </si>
  <si>
    <t>10.3329639435, 106.1266632080</t>
  </si>
  <si>
    <t>CF4001.45854</t>
  </si>
  <si>
    <t>CF DINH BO LINH</t>
  </si>
  <si>
    <t>81 Đinh Bộ Lĩnh, Phường 26, Quận Bình Thạnh, TPHCM</t>
  </si>
  <si>
    <t>ST-08E-3005</t>
  </si>
  <si>
    <t>Nguyễn Như Đăng Huy</t>
  </si>
  <si>
    <t>10.8220376968, 106.7297058105</t>
  </si>
  <si>
    <t>ST-10C-1008</t>
  </si>
  <si>
    <t>Đậu Thị Yến</t>
  </si>
  <si>
    <t>18.0765914917, 106.2890930176</t>
  </si>
  <si>
    <t>18.0754604340, 106.2877044678</t>
  </si>
  <si>
    <t>TD300113BS</t>
  </si>
  <si>
    <t>Tuyết Phượng</t>
  </si>
  <si>
    <t>B25, Chợ Đại Phước, Ấp Phước Lý, Đại Phước, Nhơn Trạch, Đồng Nai</t>
  </si>
  <si>
    <t>AL-05A-3002</t>
  </si>
  <si>
    <t>Nguyễn Thị Quyên</t>
  </si>
  <si>
    <t>10.7228288651, 106.7988967896</t>
  </si>
  <si>
    <t>10.7228460312, 106.7988815308</t>
  </si>
  <si>
    <t>Khánh Thư</t>
  </si>
  <si>
    <t>KT201010HL</t>
  </si>
  <si>
    <t>TH Hùng Phát</t>
  </si>
  <si>
    <t>Thôn 4, Quảng Khê, Đăk Glong, Đăk Nông</t>
  </si>
  <si>
    <t>AL-11F-2002</t>
  </si>
  <si>
    <t>Trịnh Thị Phương Thanh</t>
  </si>
  <si>
    <t>11.8934497833, 107.8159637451</t>
  </si>
  <si>
    <t>DT5012117R</t>
  </si>
  <si>
    <t>Ngọc Giàu</t>
  </si>
  <si>
    <t>lô A2, Thủ Khoa Nghĩa, P.Mỹ Bình, TP.Long Xuyên, An Giang</t>
  </si>
  <si>
    <t>AL-04F-4008</t>
  </si>
  <si>
    <t>Phan Ngọc Diệp</t>
  </si>
  <si>
    <t>10.3876247406, 105.4349441528</t>
  </si>
  <si>
    <t>10.3875999451, 105.4349746704</t>
  </si>
  <si>
    <t>Food Ban Mê</t>
  </si>
  <si>
    <t>FM2002187Q</t>
  </si>
  <si>
    <t>Shop Thứ</t>
  </si>
  <si>
    <t>Duy Hòa, Khánh Xuân, Buôn Ma Thuột, Đăk Lăk</t>
  </si>
  <si>
    <t>AL-09E-2007</t>
  </si>
  <si>
    <t>Lê Thị Hồng Ly</t>
  </si>
  <si>
    <t>12.6425848007, 108.0013198853</t>
  </si>
  <si>
    <t>12.6426248550, 108.0013580322</t>
  </si>
  <si>
    <t>KG40031BUD</t>
  </si>
  <si>
    <t>Circle K 13, Ton Dan</t>
  </si>
  <si>
    <t>13, Ton Dan, P.13, Q.4, Hồ Chí Minh</t>
  </si>
  <si>
    <t>10.7615995407, 106.7078094482</t>
  </si>
  <si>
    <t>10.7616605759, 106.7078094482</t>
  </si>
  <si>
    <t>LD50021363</t>
  </si>
  <si>
    <t>Hải Anh</t>
  </si>
  <si>
    <t>0, Nhà lồng chợ, TTTM An Phú, TT.An Phú, H.An Phú, An Giang</t>
  </si>
  <si>
    <t>AL-12E-4001</t>
  </si>
  <si>
    <t>Nguyễn Thị Kim Yến</t>
  </si>
  <si>
    <t>10.8145914078, 105.0893707275</t>
  </si>
  <si>
    <t>10.8145713806, 105.0893478394</t>
  </si>
  <si>
    <t>CT300215NX</t>
  </si>
  <si>
    <t>259, Thanh Bình, Thanh Bình, Đức Trọng, Lâm Đồng</t>
  </si>
  <si>
    <t>AL-02B-2003</t>
  </si>
  <si>
    <t>Phạm Thị Hậu</t>
  </si>
  <si>
    <t>12h30 - 16h30</t>
  </si>
  <si>
    <t>11.7759914398, 108.2894821167</t>
  </si>
  <si>
    <t>11.7759943008, 108.2895126343</t>
  </si>
  <si>
    <t>CO4037.19685</t>
  </si>
  <si>
    <t>CM XTRA TAN PHONG</t>
  </si>
  <si>
    <t>TTTM-DV-GTNamSG,KhuChứcNăngsố2,ĐôthịmớiNam Tp HCM,P Tân Phong,Q 7,Tp HCM</t>
  </si>
  <si>
    <t>ST-07F-3014</t>
  </si>
  <si>
    <t>Phạm Hoàng Nhật Thành</t>
  </si>
  <si>
    <t>10.7304496765, 106.7020721436</t>
  </si>
  <si>
    <t>10.7297611237, 106.7028961182</t>
  </si>
  <si>
    <t>EB4001.24254</t>
  </si>
  <si>
    <t>BIGC NEW CITY</t>
  </si>
  <si>
    <t>Lô A,Khu dân cư CityLand,số 99 Nguyễn Thị Thập,P Tân Phú,Q 7,Tp HCM</t>
  </si>
  <si>
    <t>ST-07F-3013</t>
  </si>
  <si>
    <t>Lý Gia Hân</t>
  </si>
  <si>
    <t>10.7373132706, 106.7258529663</t>
  </si>
  <si>
    <t>10.7371912003, 106.7254028320</t>
  </si>
  <si>
    <t>HN50021059</t>
  </si>
  <si>
    <t>ấp Tràm Lạc, Mỹ Hạnh Bắc, X.Mỹ Hạnh Bắc, H.Đức Hòa, Long An</t>
  </si>
  <si>
    <t>AL-04A-4101</t>
  </si>
  <si>
    <t>Phan Thị Như Yến</t>
  </si>
  <si>
    <t>10.8792753220, 106.4898834229</t>
  </si>
  <si>
    <t>10.8792648315, 106.4898605347</t>
  </si>
  <si>
    <t>BR1001.85408</t>
  </si>
  <si>
    <t>BRG 15-17 Ngọc Khánh, Ba Đình</t>
  </si>
  <si>
    <t>15-17 Ngọc Khánh, Ba Đình, Hà Nội</t>
  </si>
  <si>
    <t>21.0295677185, 105.8174362183</t>
  </si>
  <si>
    <t>21.0294284821, 105.8174438477</t>
  </si>
  <si>
    <t>HP2002122R</t>
  </si>
  <si>
    <t>Phương Hòa</t>
  </si>
  <si>
    <t>89C, Lê Thành Phương, 8, Tuy Hòa, Phú Yên</t>
  </si>
  <si>
    <t>AL-04D-2008</t>
  </si>
  <si>
    <t>Nguyễn Thị Thúy Văn</t>
  </si>
  <si>
    <t>13.0937547684, 109.2972259521</t>
  </si>
  <si>
    <t>13.0937700272, 109.2972183228</t>
  </si>
  <si>
    <t>LC1009.24963</t>
  </si>
  <si>
    <t>Lan chi Phố Phùng Khắc Khoan, P Quang Trung</t>
  </si>
  <si>
    <t xml:space="preserve">Phố Phùng Khắc Khoan, P Quang Trung, TX Sơn Tây,  TP  Hà Nội</t>
  </si>
  <si>
    <t>ST-11A-1004</t>
  </si>
  <si>
    <t>Phan Thị Quyên</t>
  </si>
  <si>
    <t>21.1378078461, 105.5068893433</t>
  </si>
  <si>
    <t>21.1376018524, 105.5063781738</t>
  </si>
  <si>
    <t>MK400213Q0</t>
  </si>
  <si>
    <t>Chú Hổ</t>
  </si>
  <si>
    <t>243, Bình Tiên, 8, 6, HCM</t>
  </si>
  <si>
    <t>AL-07E-3019</t>
  </si>
  <si>
    <t>Lâm Thị Thanh Hà</t>
  </si>
  <si>
    <t>10.7452898026, 106.6429367065</t>
  </si>
  <si>
    <t>MP40021GUQ</t>
  </si>
  <si>
    <t>Thúy Hằng</t>
  </si>
  <si>
    <t>46, Đường 26/3, P Bình Hưng Hòa, Bình Tân, HCM</t>
  </si>
  <si>
    <t>AL-03G-3009</t>
  </si>
  <si>
    <t>Hoàng Thị Thu Huyên</t>
  </si>
  <si>
    <t>10.8023262024, 106.6089782715</t>
  </si>
  <si>
    <t>XH4001.113635</t>
  </si>
  <si>
    <t>BHX 20-30-32 Lê Văn Phấn, Khu Phố 7</t>
  </si>
  <si>
    <t xml:space="preserve">20-30-32 Lê Văn Phấn, Khu Phố 7, Phường Phú Thuỷ, TP  Phan Thiết, Tỉnh Bình Thuận</t>
  </si>
  <si>
    <t>10.9348392487, 108.1124267578</t>
  </si>
  <si>
    <t>10.9348220825, 108.1124267578</t>
  </si>
  <si>
    <t>NL301010NV</t>
  </si>
  <si>
    <t>Vũ Phượng</t>
  </si>
  <si>
    <t>116/3A, Trần Quốc Toản, An Bình, Biên Hòa, Đồng Nai</t>
  </si>
  <si>
    <t>AL-04A-3158</t>
  </si>
  <si>
    <t>Đặng Thị Tường Vi</t>
  </si>
  <si>
    <t>10.9370689392, 106.8524703979</t>
  </si>
  <si>
    <t>MT1003.11075</t>
  </si>
  <si>
    <t>KĐT mới Sở Dầu, Q.Hồng Bàng, TP.Hải Phòng</t>
  </si>
  <si>
    <t>ST-03F-1010</t>
  </si>
  <si>
    <t>Nguyễn Hữu Trung</t>
  </si>
  <si>
    <t>06h00 - 15h00</t>
  </si>
  <si>
    <t>20.8640270233, 106.6541442871</t>
  </si>
  <si>
    <t>20.8637981415, 106.6545028687</t>
  </si>
  <si>
    <t>EB4001.13948</t>
  </si>
  <si>
    <t>BIGC GO VAP</t>
  </si>
  <si>
    <t>792 Nguyễn Kiệm, P 3, Q Gò Vấp, TPHCM</t>
  </si>
  <si>
    <t>ST-04A-3082</t>
  </si>
  <si>
    <t>Trần Vĩnh Phú</t>
  </si>
  <si>
    <t>ST-04G-3005</t>
  </si>
  <si>
    <t>Trần Ngọc Phúc</t>
  </si>
  <si>
    <t>10.8258562088, 106.6804580688</t>
  </si>
  <si>
    <t>10.8259668350, 106.6804885864</t>
  </si>
  <si>
    <t>ST-06D-3004</t>
  </si>
  <si>
    <t>Phạm Đình Nghĩa</t>
  </si>
  <si>
    <t>10.8258333206, 106.6799850464</t>
  </si>
  <si>
    <t>10.8257856369, 106.6801681519</t>
  </si>
  <si>
    <t>MT2009.6356</t>
  </si>
  <si>
    <t>MEGA VINH</t>
  </si>
  <si>
    <t>Đường Ven Sông Lam, Phường Bến Thủy, thành phố Vinh, tỉnh Nghệ An</t>
  </si>
  <si>
    <t>ST-04A-1058</t>
  </si>
  <si>
    <t>Lê Thị Hà Phương</t>
  </si>
  <si>
    <t>18.6611003876, 105.7077178955</t>
  </si>
  <si>
    <t>18.6611061096, 105.7076644897</t>
  </si>
  <si>
    <t>XH4001.115009</t>
  </si>
  <si>
    <t>BHX 334-336-338 Tỉnh Lộ 10</t>
  </si>
  <si>
    <t>334-336-338 Tỉnh Lộ 10, Khu phố 14, Phường Bình Trị Đông, Quận Bình Tân, TP HCM</t>
  </si>
  <si>
    <t>10.7563257217, 106.6236038208</t>
  </si>
  <si>
    <t>10.7563896179, 106.6235733032</t>
  </si>
  <si>
    <t>VM1009.51119</t>
  </si>
  <si>
    <t>VMP_671_HOANG_HOA_THAM</t>
  </si>
  <si>
    <t>Tầng 1, Công trình dịch vụ và nhà ở cao tầng tại số 671 Hoàng Hoa Thám, phường Vĩnh Phúc, quận Ba Đình, Hà Nội</t>
  </si>
  <si>
    <t>ST-06E-1004</t>
  </si>
  <si>
    <t>Lê Thị Tuyết Lan</t>
  </si>
  <si>
    <t>21.0469207764, 105.8076629639</t>
  </si>
  <si>
    <t>VM1012.29635</t>
  </si>
  <si>
    <t>VM 231 TR NGUYEN HAN</t>
  </si>
  <si>
    <t>So 231B Trần Nguyên Hãn, P.Niệm Nghĩa, Q.Lê Chân, TP.Hải Phòng</t>
  </si>
  <si>
    <t>ST-04A-1070</t>
  </si>
  <si>
    <t>Nguyễn Thị Thanh Huyền</t>
  </si>
  <si>
    <t>20.8447074890, 106.6702117920</t>
  </si>
  <si>
    <t>VI4001.73616</t>
  </si>
  <si>
    <t>VMP_HCM_121_LE_NIEM</t>
  </si>
  <si>
    <t>121 Lê Niệm, phường Phú Thạnh, quận Tân Phú, TP HCM</t>
  </si>
  <si>
    <t>10.7799291611, 106.6255111694</t>
  </si>
  <si>
    <t>10.7799034119, 106.6255187988</t>
  </si>
  <si>
    <t>XH4001.124129</t>
  </si>
  <si>
    <t>BHX Ấp Hiệp Bình, Xã Mỹ Hiệp Sơn</t>
  </si>
  <si>
    <t>Ấp Hiệp Bình, Xã Mỹ Hiệp Sơn, Huyện Hòn Đất,Tỉnh Kiên Giang</t>
  </si>
  <si>
    <t>10.2169637680, 105.0962371826</t>
  </si>
  <si>
    <t>10.2169599533, 105.0962295532</t>
  </si>
  <si>
    <t>VI4001.87447</t>
  </si>
  <si>
    <t>VMP_THUA_332_D_H_THUAN</t>
  </si>
  <si>
    <t>Thửa 332, 333, TBĐ số 24, Phường Đông Hưng Thuận, Quận 12, TP HCM (đường DN5)</t>
  </si>
  <si>
    <t>10.8433361053, 106.6223602295</t>
  </si>
  <si>
    <t>10.8435087204, 106.6219940186</t>
  </si>
  <si>
    <t>EB4001.13946</t>
  </si>
  <si>
    <t>BIGC PHU THANH</t>
  </si>
  <si>
    <t>53 Nguyễn Sơn, P Phú Thạnh, Q Tân Phú, TP HCM</t>
  </si>
  <si>
    <t>ST-10D-3004</t>
  </si>
  <si>
    <t>Sỳ Hải Châu</t>
  </si>
  <si>
    <t>10.7792749405, 106.6312026978</t>
  </si>
  <si>
    <t>10.7798337936, 106.6311798096</t>
  </si>
  <si>
    <t>VI1002.56533</t>
  </si>
  <si>
    <t>VMP_PTO_KHU_6B_NONG_TRANG</t>
  </si>
  <si>
    <t>Khu 6B,phường Nông Trang, (56 Vũ Duệ), TP Việt Trì, tỉnh Phú Thọ</t>
  </si>
  <si>
    <t>21.3312320709, 105.3793258667</t>
  </si>
  <si>
    <t>21.3316230774, 105.3790588379</t>
  </si>
  <si>
    <t>LC1009.44066</t>
  </si>
  <si>
    <t>Thôn Lục Bình Thượng, Xã Hồng Phong, Thị xã Đông Triều, T.Quảng Ninh</t>
  </si>
  <si>
    <t>ST-11C-1001</t>
  </si>
  <si>
    <t>Nguyễn Thị Thu Vân</t>
  </si>
  <si>
    <t>21.0855617523, 106.5051116943</t>
  </si>
  <si>
    <t>21.0855560303, 106.5050048828</t>
  </si>
  <si>
    <t>KA5003206X</t>
  </si>
  <si>
    <t>TÚ LIÊN</t>
  </si>
  <si>
    <t>0, Chợ Nhỏ, Khóm 7, TT.Sông Đốc, H.Trần Văn Thời, Cà Mau</t>
  </si>
  <si>
    <t>AL-11F-4002</t>
  </si>
  <si>
    <t>Nguyễn Thị Yến Nghi</t>
  </si>
  <si>
    <t>9.0416488647, 104.8314895630</t>
  </si>
  <si>
    <t>9.0416069031, 104.8312606812</t>
  </si>
  <si>
    <t>TD50051318</t>
  </si>
  <si>
    <t>Huỳnh Thiếu Hùng</t>
  </si>
  <si>
    <t>Chợ TTrấn Tiểu Cần, TT Tiểu Cần, H Tiểu Cần, Trà Vinh</t>
  </si>
  <si>
    <t>AL-07F-4005</t>
  </si>
  <si>
    <t>Phạm Như Thuần</t>
  </si>
  <si>
    <t>9.8102521896, 106.1895828247</t>
  </si>
  <si>
    <t>9.8102512360, 106.1895828247</t>
  </si>
  <si>
    <t>VM1009.65660</t>
  </si>
  <si>
    <t>VMP_LK09_NGO_38_XUAN_LA</t>
  </si>
  <si>
    <t>LK09 Khu nhà ở thấp tầng ngõ 38 phường Xuân La, quận Tây Hồ, thành phố Hà Nội</t>
  </si>
  <si>
    <t>21.0691452026, 105.8051528931</t>
  </si>
  <si>
    <t>21.0691394806, 105.8051223755</t>
  </si>
  <si>
    <t>VI2003.29831</t>
  </si>
  <si>
    <t>VMP 55 CAO THANG</t>
  </si>
  <si>
    <t>55 Cao Thắng ,P Thanh Bình,Q Hải Châu,Tp Đà Nẵng</t>
  </si>
  <si>
    <t>16.0761032104, 108.2143783569</t>
  </si>
  <si>
    <t>16.0764904022, 108.2138290405</t>
  </si>
  <si>
    <t>Sĩ Trang</t>
  </si>
  <si>
    <t>ST500113FZ</t>
  </si>
  <si>
    <t>Chị Trinh</t>
  </si>
  <si>
    <t>29, Đường 868, P 1, TX Cai Lậy, Tiền Giang</t>
  </si>
  <si>
    <t>AL-04F-4006</t>
  </si>
  <si>
    <t>Nguyễn Thị Diễm Tuyết</t>
  </si>
  <si>
    <t>10.4099082947, 106.1208038330</t>
  </si>
  <si>
    <t>10.4098834991, 106.1208267212</t>
  </si>
  <si>
    <t>TQ50011011</t>
  </si>
  <si>
    <t>Anh Quân</t>
  </si>
  <si>
    <t>131, Thiên Hộ Dương, TT.Cái Bè, H.Cái Bè, Tiền Giang</t>
  </si>
  <si>
    <t>AL-08C-4052</t>
  </si>
  <si>
    <t>Phạm Ngọc Diễm</t>
  </si>
  <si>
    <t>10.3346271515, 106.0345382690</t>
  </si>
  <si>
    <t>10.3596630096, 105.9664611816</t>
  </si>
  <si>
    <t>NT500111C1</t>
  </si>
  <si>
    <t>chị Dung</t>
  </si>
  <si>
    <t>chợ Hương Mỹ, ấp Thị Hương Mỹ, X.Hương Mỹ, H.Mỏ Cày Nam, Bến Tre</t>
  </si>
  <si>
    <t>AL-05F-4008</t>
  </si>
  <si>
    <t>Nguyễn Hữu Lộc</t>
  </si>
  <si>
    <t>06h00 - 10h00</t>
  </si>
  <si>
    <t>10.0164308548, 106.4000854492</t>
  </si>
  <si>
    <t>10.0164403915, 106.4000701904</t>
  </si>
  <si>
    <t>PT40351EMX</t>
  </si>
  <si>
    <t>Chị Yến</t>
  </si>
  <si>
    <t>35, Phạm Vấn, Phú Thọ Hòa, Tân Phú, HCM</t>
  </si>
  <si>
    <t>AL-06F-3003</t>
  </si>
  <si>
    <t>Tô Dương Tuyết Nhung</t>
  </si>
  <si>
    <t>10.7861166000, 106.6258621216</t>
  </si>
  <si>
    <t>MK20021UFH</t>
  </si>
  <si>
    <t>TH 37</t>
  </si>
  <si>
    <t>37, Trường Sa, Phước Long, Nha Trang, Khánh Hòa</t>
  </si>
  <si>
    <t>AL-06C-2006</t>
  </si>
  <si>
    <t>Đỗ Thị Thanh Thủy</t>
  </si>
  <si>
    <t>12h00 - 16h00</t>
  </si>
  <si>
    <t>12.2449398041, 109.1922760010</t>
  </si>
  <si>
    <t>12.2132825851, 109.1959686279</t>
  </si>
  <si>
    <t>LT4021.29127</t>
  </si>
  <si>
    <t>LOTTE GO VAP</t>
  </si>
  <si>
    <t>Số 18 đường Phan Văn Trị,Phường 10,Quận Gò Vấp,Tp HCM</t>
  </si>
  <si>
    <t>10.8001098633, 106.7427062988</t>
  </si>
  <si>
    <t>HD4023.5712</t>
  </si>
  <si>
    <t>SAI GON HD Khu P1 12,TTTM Vista Wakl</t>
  </si>
  <si>
    <t xml:space="preserve">Khu P1 12,TTTM Vista Wakl,628 C XL Hà Nội,P An Phú,TP  Thủ Đức,TP  Hồ Chí Minh</t>
  </si>
  <si>
    <t>ST-09C-3016</t>
  </si>
  <si>
    <t>Nguyễn Thị Phương Linh</t>
  </si>
  <si>
    <t>10.8045387268, 106.7517395020</t>
  </si>
  <si>
    <t>SG4040.58326</t>
  </si>
  <si>
    <t>SF_281_NGUYEN_THI_BUP</t>
  </si>
  <si>
    <t>Số 281 đường Nguyễn Thị Búp, Khu phố 11, Phường Tân Chánh Hiệp, Quận 12, Tp HCM</t>
  </si>
  <si>
    <t>10.8747873306, 106.6272430420</t>
  </si>
  <si>
    <t>10.8747854233, 106.6272506714</t>
  </si>
  <si>
    <t>CO2007.20951</t>
  </si>
  <si>
    <t>COOP AN NHON</t>
  </si>
  <si>
    <t>Trung tâm Thương mại Hoàng Vũ Plaza, Quốc lộ 1A, Thị xã An Nhơn, Tỉnh Bình Định</t>
  </si>
  <si>
    <t>ST-04E-2001</t>
  </si>
  <si>
    <t>13.8903570175, 109.1161499023</t>
  </si>
  <si>
    <t>13.8903741837, 109.1158065796</t>
  </si>
  <si>
    <t>KC100110EM</t>
  </si>
  <si>
    <t>Circle K 98 Mã Mây</t>
  </si>
  <si>
    <t xml:space="preserve">98 Mã Mây, Hoàn Kiếm, Hà Nội </t>
  </si>
  <si>
    <t>21.0358047485, 105.8528976440</t>
  </si>
  <si>
    <t>21.0089569092, 105.8610382080</t>
  </si>
  <si>
    <t>XH4001.39597</t>
  </si>
  <si>
    <t>BHX 03 Phạm Quý Thích</t>
  </si>
  <si>
    <t>03 Phạm Quý Thích, P Tân Quý, Q Tân Phú,TP HCM</t>
  </si>
  <si>
    <t>10.7897319794, 106.6181259155</t>
  </si>
  <si>
    <t>10.7900485992, 106.6279144287</t>
  </si>
  <si>
    <t>TQ500110J8</t>
  </si>
  <si>
    <t>10, Chợ Thiên Hộ, X.Hậu Mỹ Bắc A, H.Cái Bè, Tiền Giang</t>
  </si>
  <si>
    <t>AL-04A-4095</t>
  </si>
  <si>
    <t>10.5075807571, 105.9683456421</t>
  </si>
  <si>
    <t>10.5075941086, 105.9683151245</t>
  </si>
  <si>
    <t>MP40021HG3</t>
  </si>
  <si>
    <t>Anh Hoài</t>
  </si>
  <si>
    <t>52,Phạm Đăng Giảng,Bình Hưng Hòa,Bình Tân,HCM</t>
  </si>
  <si>
    <t>AL-08C-3032</t>
  </si>
  <si>
    <t>Lê Thị Ngọc Phúc</t>
  </si>
  <si>
    <t>10.8194189072, 106.6052474976</t>
  </si>
  <si>
    <t>XH4001.76495</t>
  </si>
  <si>
    <t>BHX 292 Cách Mạng Tháng Tám, Phường Bùi Hữu Nghĩa</t>
  </si>
  <si>
    <t>292 Cách Mạng Tháng Tám, Phường Bùi Hữu Nghĩa, Quận Bình Thủy, Thành phố Cần Thơ</t>
  </si>
  <si>
    <t>10.0605983734, 105.7650451660</t>
  </si>
  <si>
    <t>CF4001.4939</t>
  </si>
  <si>
    <t>CF DONG THANH</t>
  </si>
  <si>
    <t>CoopFood 247 Đặng Thúc Vịnh, X Đông Thạnh, H Hóc Môn, TPHCM</t>
  </si>
  <si>
    <t>ST-08F-3019</t>
  </si>
  <si>
    <t>Đoàn Trung Hiếu</t>
  </si>
  <si>
    <t>10.9041509628, 106.6366729736</t>
  </si>
  <si>
    <t>TT102611E4</t>
  </si>
  <si>
    <t>Thế giới sữa</t>
  </si>
  <si>
    <t>171, Biên Hòa, P.Lương Khánh Thiện, TP.Phủ Lý, Hà Nam</t>
  </si>
  <si>
    <t>AL-04G-1001</t>
  </si>
  <si>
    <t>Ninh Thị Phương Liên</t>
  </si>
  <si>
    <t>20.5432472229, 105.9191894531</t>
  </si>
  <si>
    <t>20.5432510376, 105.9191818237</t>
  </si>
  <si>
    <t>XM50011076</t>
  </si>
  <si>
    <t>Ba Sở</t>
  </si>
  <si>
    <t>153, Trần Hưng Đạo, P.Long Thạnh, TX.Tân Châu, An Giang</t>
  </si>
  <si>
    <t>AL-11F-4004</t>
  </si>
  <si>
    <t>Đinh Thị Tuyết Nhi</t>
  </si>
  <si>
    <t>10.8004226685, 105.2474212646</t>
  </si>
  <si>
    <t>HA300114I3</t>
  </si>
  <si>
    <t>Cho Xanh</t>
  </si>
  <si>
    <t>194, Nguyen Van Cu, Phuoc Tinh, Ba Ria, Ba Ria - Vung Tau</t>
  </si>
  <si>
    <t>AL-04A-3156</t>
  </si>
  <si>
    <t>Thái Thị Hiền</t>
  </si>
  <si>
    <t>13h00 - 16h30</t>
  </si>
  <si>
    <t>10.4070415497, 107.1898345947</t>
  </si>
  <si>
    <t>10.4070997238, 107.1897735596</t>
  </si>
  <si>
    <t>VI4001.54529</t>
  </si>
  <si>
    <t>VMP_HCM_23_24N_NG_THI_TAN</t>
  </si>
  <si>
    <t>23N và 24N Nguyễn Thị Tần, Phường 2, Quận 8, TPHCM</t>
  </si>
  <si>
    <t>10.7213792801, 106.7148666382</t>
  </si>
  <si>
    <t>10.7224035263, 106.7295761108</t>
  </si>
  <si>
    <t>CO4025.5074</t>
  </si>
  <si>
    <t>CM PHU LAM</t>
  </si>
  <si>
    <t>Số 6 Bà Hom, P 13, Q 6, TP HCM</t>
  </si>
  <si>
    <t>10.7544069290, 106.6337432861</t>
  </si>
  <si>
    <t>HT40321P3G</t>
  </si>
  <si>
    <t>Family Mart 362, Võ Văn Ngân</t>
  </si>
  <si>
    <t>362, Võ Văn Ngân, P.Bình Thọ, Q.Thủ Đức, Hồ Chí Minh</t>
  </si>
  <si>
    <t>10.8496894836, 106.7717437744</t>
  </si>
  <si>
    <t>10.8496789932, 106.7718048096</t>
  </si>
  <si>
    <t>PT40351EDP</t>
  </si>
  <si>
    <t>Hồng Loan</t>
  </si>
  <si>
    <t>387, Âu Cơ, Phú Trung, Tân Phú, HCM</t>
  </si>
  <si>
    <t>AL-01E-3003</t>
  </si>
  <si>
    <t>Trần Thị Chót</t>
  </si>
  <si>
    <t>10.7863445282, 106.6478347778</t>
  </si>
  <si>
    <t>VI4001.100827</t>
  </si>
  <si>
    <t>VM_HCM_1_LO_P_DUONG_SO_63</t>
  </si>
  <si>
    <t xml:space="preserve">Căn số 0 01 – tầng trệt – lô B, CC Thủ Thiêm Lô P – Số 01 đường số 63, Phường Bình Trưng Đông, TP  Thủ Đức, TP  Hồ Chí Minh</t>
  </si>
  <si>
    <t>10.7898740768, 106.7768554688</t>
  </si>
  <si>
    <t>10.7899351120, 106.7708511353</t>
  </si>
  <si>
    <t>XH4001.91236</t>
  </si>
  <si>
    <t>BHX Thửa số 27, tờ bản đồ số 9</t>
  </si>
  <si>
    <t xml:space="preserve">Thửa số 27, tờ bản đồ số 9, Ấp Thị 2, TT  Mỹ Luông, H  Chợ Mới, Tỉnh An Giang</t>
  </si>
  <si>
    <t>ST-07F-4001</t>
  </si>
  <si>
    <t>Lê Đình Chiến</t>
  </si>
  <si>
    <t>10.3698654175, 105.4783935547</t>
  </si>
  <si>
    <t>NC40171867</t>
  </si>
  <si>
    <t>Cô Điệp</t>
  </si>
  <si>
    <t>65/444, Quang Trung, 8, Gò Vấp, HCM</t>
  </si>
  <si>
    <t>AL-05F-3006</t>
  </si>
  <si>
    <t>Nguyễn Thị Kim Thu</t>
  </si>
  <si>
    <t>10.8350667953, 106.6430892944</t>
  </si>
  <si>
    <t>NC40171J3O</t>
  </si>
  <si>
    <t>Ba Học</t>
  </si>
  <si>
    <t>118, Ấp Bắc, Tân Chánh Hiệp, 12, HCM</t>
  </si>
  <si>
    <t>AL-02F-3004</t>
  </si>
  <si>
    <t>Trịnh Hoàng Thanh Lan</t>
  </si>
  <si>
    <t>10.8575468063, 106.6267089844</t>
  </si>
  <si>
    <t>NC4017101D</t>
  </si>
  <si>
    <t>THẢO NGUYÊN</t>
  </si>
  <si>
    <t>1A, Nguyễn Ảnh Thủ, Hiệp Thành, 12, HCM</t>
  </si>
  <si>
    <t>AL-06C-3005</t>
  </si>
  <si>
    <t>Nguyễn Thị Thanh Thúy</t>
  </si>
  <si>
    <t>10.8760461807, 106.6488037109</t>
  </si>
  <si>
    <t>ST-07C-4006</t>
  </si>
  <si>
    <t>Dương Kiều Nương</t>
  </si>
  <si>
    <t>10.0345678329, 105.7862014771</t>
  </si>
  <si>
    <t>10.0342454910, 105.7860794067</t>
  </si>
  <si>
    <t>ST500111FY</t>
  </si>
  <si>
    <t>Cô Mai</t>
  </si>
  <si>
    <t>ấp 6, Chợ Ngã 5, X.Mỹ Thành Nam, H.Cai Lậy, Tiền Giang</t>
  </si>
  <si>
    <t>AL-09E-4004</t>
  </si>
  <si>
    <t>Bùi Thị Trang Đài</t>
  </si>
  <si>
    <t>10.4423933029, 106.0530548096</t>
  </si>
  <si>
    <t>10.4423570633, 106.0530548096</t>
  </si>
  <si>
    <t>VI5013.87464</t>
  </si>
  <si>
    <t>VMP_AGG_244_245_HAM_NGHI</t>
  </si>
  <si>
    <t xml:space="preserve">244-245 đường Hàm Nghi, Phường Bình Khánh, TP  Long Xuyên, Tỉnh An Giang</t>
  </si>
  <si>
    <t>10.3931999207, 105.4202804565</t>
  </si>
  <si>
    <t>10.3932294846, 105.4203186035</t>
  </si>
  <si>
    <t>XH4001.39927</t>
  </si>
  <si>
    <t xml:space="preserve">BHX 574/26 SINCO, P  Bình Trị Đông B</t>
  </si>
  <si>
    <t xml:space="preserve">574/26 SINCO,  P  Bình Trị Đông B, Quận Bình Tân, TP  HCM</t>
  </si>
  <si>
    <t>10.7339992523, 106.6084136963</t>
  </si>
  <si>
    <t>10.7756958008, 106.5854339600</t>
  </si>
  <si>
    <t>ST-02G-3001</t>
  </si>
  <si>
    <t>Lê Hoàng Nam</t>
  </si>
  <si>
    <t>10.7788438797, 106.6651535034</t>
  </si>
  <si>
    <t>10.7788105011, 106.6651611328</t>
  </si>
  <si>
    <t>MT5007.11084</t>
  </si>
  <si>
    <t>METRO LONG XUYÊN</t>
  </si>
  <si>
    <t>Số 1566 đường Trần Hưng Đạo,Tổ 71,Khóm Đông Thịnh 5,P Mỹ Phước,Tp Long Xuyên,T An Giang</t>
  </si>
  <si>
    <t>ST-03D-4006</t>
  </si>
  <si>
    <t>Đào Tấn Đức</t>
  </si>
  <si>
    <t>10.3726539612, 105.4439392090</t>
  </si>
  <si>
    <t>10.3718852997, 105.4428329468</t>
  </si>
  <si>
    <t>KC100110GC</t>
  </si>
  <si>
    <t>Circle K 33 Chùa Láng</t>
  </si>
  <si>
    <t>33 Chùa Láng, P.Láng Thượng, Q.Đống Đa</t>
  </si>
  <si>
    <t>21.0232067108, 105.8075714111</t>
  </si>
  <si>
    <t>21.0232028961, 105.8075561523</t>
  </si>
  <si>
    <t>MP40021GVR</t>
  </si>
  <si>
    <t>Hỷ Khang-AS</t>
  </si>
  <si>
    <t>51, Liên Khu 5-6, Bình Hưng Hòa B, Bình Tân, HCM</t>
  </si>
  <si>
    <t>AL-03B-3015</t>
  </si>
  <si>
    <t>Đỗ Thị Mai Thi</t>
  </si>
  <si>
    <t>10.8451261520, 106.6123809814</t>
  </si>
  <si>
    <t>LA500110EJ</t>
  </si>
  <si>
    <t xml:space="preserve">Phong Liêm </t>
  </si>
  <si>
    <t>278, QL 62, P.2, TP.Tân An, Long An</t>
  </si>
  <si>
    <t>AL-04A-4096</t>
  </si>
  <si>
    <t>Võ Thị Trúc Linh</t>
  </si>
  <si>
    <t>10.5427618027, 106.4009323120</t>
  </si>
  <si>
    <t>10.5426454544, 106.4008865356</t>
  </si>
  <si>
    <t>NC40171002</t>
  </si>
  <si>
    <t>Chị Nguyệt</t>
  </si>
  <si>
    <t>1489/1D, Vườn Lài, An Phú Đông, 12, HCM</t>
  </si>
  <si>
    <t>AL-06F-3011</t>
  </si>
  <si>
    <t>Trần Thị Bích Liên</t>
  </si>
  <si>
    <t>10.8603830338, 106.6919174194</t>
  </si>
  <si>
    <t>VI4001.99769</t>
  </si>
  <si>
    <t>VMP_HCM_TA2_HOPE_GARDEN</t>
  </si>
  <si>
    <t>Lô thương mại TA2, Tầng trệt và lửng, chung cư Hope Garden, 102 Phan Huy Ích, Phường 15, Q Tân Bình, TP HCM</t>
  </si>
  <si>
    <t>10.8282899857, 106.6340026855</t>
  </si>
  <si>
    <t>10.8282718658, 106.6339950562</t>
  </si>
  <si>
    <t>VI3002.61125</t>
  </si>
  <si>
    <t>VMP_DNI_53_HOANG_BA_BICH</t>
  </si>
  <si>
    <t>53 Đường 88, Hoàng Bá Bích, KP 5A, Phường Long Bình, TP Biên Hoà, Tình Đồng Nai</t>
  </si>
  <si>
    <t>10.9385986328, 106.8768997192</t>
  </si>
  <si>
    <t>10.9385957718, 106.8769073486</t>
  </si>
  <si>
    <t>XH4001.60729</t>
  </si>
  <si>
    <t>BHX 946 Lê Văn Lương</t>
  </si>
  <si>
    <t>946 Lê Văn Lương , Xã Phước Kiển , Huyện Nhà Bè , TP HCM</t>
  </si>
  <si>
    <t>10.7154254913, 106.7006301880</t>
  </si>
  <si>
    <t>10.7412281036, 106.7157516479</t>
  </si>
  <si>
    <t>EB4001.13980</t>
  </si>
  <si>
    <t>BigC QUY NHON</t>
  </si>
  <si>
    <t>Khu đô thị xanh Vũng Chua,Phường Ghềnh Ráng,Tp Quy Nhơn,Tỉnh Bình Định</t>
  </si>
  <si>
    <t>ST-10E-2001</t>
  </si>
  <si>
    <t>Nguyễn Văn Sáng</t>
  </si>
  <si>
    <t>13.7730360031, 109.2239608765</t>
  </si>
  <si>
    <t>13.7747821808, 109.2260360718</t>
  </si>
  <si>
    <t>LA5001127J</t>
  </si>
  <si>
    <t>Chị Đào</t>
  </si>
  <si>
    <t>60, Huỳnh Việt Thanh, P.2, TP.Tân An, Long An</t>
  </si>
  <si>
    <t>AL-09C-4021</t>
  </si>
  <si>
    <t>Phan Đỗ Thùy Vân</t>
  </si>
  <si>
    <t>10.5425844193, 106.4076919556</t>
  </si>
  <si>
    <t>10.5425834656, 106.4076766968</t>
  </si>
  <si>
    <t>HT300511WF</t>
  </si>
  <si>
    <t>Kim Phượng</t>
  </si>
  <si>
    <t xml:space="preserve">7,  Nguyễn Chí Thanh, Suối Đá, Dương Minh Châu, Tây Ninh</t>
  </si>
  <si>
    <t>AL-08E-3007</t>
  </si>
  <si>
    <t>Lê Thị Thu Hiền</t>
  </si>
  <si>
    <t>11.3800630569, 106.2232284546</t>
  </si>
  <si>
    <t>11.3800477982, 106.2232437134</t>
  </si>
  <si>
    <t>TL40041ALE</t>
  </si>
  <si>
    <t>Chị Thúy</t>
  </si>
  <si>
    <t>56, Huỳnh Tấn Phát, Tân Thuận Tây, 7, HCM</t>
  </si>
  <si>
    <t>AL-05D-3003</t>
  </si>
  <si>
    <t>Hồ Thị Kim Phụng</t>
  </si>
  <si>
    <t>10.7555465698, 106.7226638794</t>
  </si>
  <si>
    <t>10.7555532455, 106.7226715088</t>
  </si>
  <si>
    <t>NT405419PP</t>
  </si>
  <si>
    <t>Chị Tiên</t>
  </si>
  <si>
    <t>125, Bui Dinh Tuy, 24, Bình Thạnh, HCM</t>
  </si>
  <si>
    <t>AL-04G-3008</t>
  </si>
  <si>
    <t>Dương Quốc Hưng</t>
  </si>
  <si>
    <t>10.8078308105, 106.7053833008</t>
  </si>
  <si>
    <t>ST-04E-3001</t>
  </si>
  <si>
    <t>Hoàng Nguyễn Ngọc Minh Mẫn</t>
  </si>
  <si>
    <t>13h00 - 21h30</t>
  </si>
  <si>
    <t>10.7788810730, 106.6651611328</t>
  </si>
  <si>
    <t>10.7785825729, 106.6655273438</t>
  </si>
  <si>
    <t>TD500521EV</t>
  </si>
  <si>
    <t>Cô út Tí</t>
  </si>
  <si>
    <t>Trường tiểu học Tập Sơn, ấp chợ, X.Tập Sơn, H.Trà Cú, Trà Vinh</t>
  </si>
  <si>
    <t>AL-09F-4009</t>
  </si>
  <si>
    <t>Nguyễn Thị Kim Huệ</t>
  </si>
  <si>
    <t>9.7385654449, 106.2622070313</t>
  </si>
  <si>
    <t>9.7385368347, 106.2621841431</t>
  </si>
  <si>
    <t>VM1009.23046</t>
  </si>
  <si>
    <t>VM VINH PHUC</t>
  </si>
  <si>
    <t>Nhà K2, Khu TT 7, 2ha, Phường Vĩnh Phúc, Quận Ba Đình, Hà Nội</t>
  </si>
  <si>
    <t>21.0428390503, 105.8082275391</t>
  </si>
  <si>
    <t>21.0428276062, 105.8081741333</t>
  </si>
  <si>
    <t>HM200511QW</t>
  </si>
  <si>
    <t>Thơ Hải</t>
  </si>
  <si>
    <t>33, Âu Cơ, Hòa Khánh Bắc, Liên Chiểu, Đà Nẵng</t>
  </si>
  <si>
    <t>AL-08C-2014</t>
  </si>
  <si>
    <t>Võ Thị Huệ</t>
  </si>
  <si>
    <t>16.0706081390, 108.1480560303</t>
  </si>
  <si>
    <t>VM1012.44941</t>
  </si>
  <si>
    <t>VMP HPG328TRAN NGUYEN HAN</t>
  </si>
  <si>
    <t>328 Trần Nguyên Hãn, phường Niệm Nghĩa, quận Lê Chân, Hải Phòng</t>
  </si>
  <si>
    <t>20.8395004272, 106.6691207886</t>
  </si>
  <si>
    <t>20.8418292999, 106.6676101685</t>
  </si>
  <si>
    <t>Phú Trâm Anh</t>
  </si>
  <si>
    <t>TA300614CB</t>
  </si>
  <si>
    <t>Minh Quang</t>
  </si>
  <si>
    <t>35A, Chợ Bến Cát, Mỹ Phước , Bến Cát, Bình Dương</t>
  </si>
  <si>
    <t>AL-04E-3002</t>
  </si>
  <si>
    <t>Hồ Thị Thuyết</t>
  </si>
  <si>
    <t>11.1523113251, 106.5898971558</t>
  </si>
  <si>
    <t>PT40351ES1</t>
  </si>
  <si>
    <t>THAO HIEN</t>
  </si>
  <si>
    <t>238, Gò Dầu, Tân Quý, Tân Phú, HCM</t>
  </si>
  <si>
    <t>AL-01G-3005</t>
  </si>
  <si>
    <t>Phạm Thị Thùy Dương</t>
  </si>
  <si>
    <t>10.7958278656, 106.6187973022</t>
  </si>
  <si>
    <t>GN2001100D</t>
  </si>
  <si>
    <t>Dì Lê</t>
  </si>
  <si>
    <t>319, Điện Biên Phủ, P Trường An, TP Huế, Huế</t>
  </si>
  <si>
    <t>AL-04A-2027</t>
  </si>
  <si>
    <t>Đặng Thị Thu Trang</t>
  </si>
  <si>
    <t>16.4428482056, 107.5819778442</t>
  </si>
  <si>
    <t>16.4428653717, 107.5819473267</t>
  </si>
  <si>
    <t>VI4001.65570</t>
  </si>
  <si>
    <t>VMP_LO_2_0_03_THE_TRESOR</t>
  </si>
  <si>
    <t>Lô TS 2 0 03 tầng trệt cc The Tresor 39 -39B Bến Vân Đồn phường 12 quận 4</t>
  </si>
  <si>
    <t>10.7662649155, 106.7036819458</t>
  </si>
  <si>
    <t>10.7663755417, 106.7044601440</t>
  </si>
  <si>
    <t>ST500113XM</t>
  </si>
  <si>
    <t>Thái Vy</t>
  </si>
  <si>
    <t xml:space="preserve">Đường Chánh, ấp Hòa Trí, X Long Khánh, H Cai Lậy , Tiền Giang </t>
  </si>
  <si>
    <t>AL-12D-4002</t>
  </si>
  <si>
    <t>Trương Thị Bích Ngọc</t>
  </si>
  <si>
    <t>10.3882951736, 106.1108322144</t>
  </si>
  <si>
    <t>10.3882951736, 106.1108398438</t>
  </si>
  <si>
    <t>EMART</t>
  </si>
  <si>
    <t>EM4002.24493</t>
  </si>
  <si>
    <t>Emart</t>
  </si>
  <si>
    <t>366 Phan Văn Trị,Phường 5,Quận Gò Vấp,Tp HCM</t>
  </si>
  <si>
    <t>ST-03G-3016</t>
  </si>
  <si>
    <t>Nguyễn Ngọc Như</t>
  </si>
  <si>
    <t>10.8239231110, 106.6941528320</t>
  </si>
  <si>
    <t>10.8231859207, 106.6944046021</t>
  </si>
  <si>
    <t>CO4062.31815</t>
  </si>
  <si>
    <t>CM Gò Công</t>
  </si>
  <si>
    <t>Đường Trần Công Tường,Khu Phố 2,Phường 5,Thị Xã Gò Công,Tỉnh Tiền Giang</t>
  </si>
  <si>
    <t>ST-08B-4001</t>
  </si>
  <si>
    <t>Phạm Thị Kim Yến</t>
  </si>
  <si>
    <t>10.3547096252, 106.6729202271</t>
  </si>
  <si>
    <t>10.3548965454, 106.6733016968</t>
  </si>
  <si>
    <t>XH4001.108271</t>
  </si>
  <si>
    <t>BHX Ấp Hoà Quới A, Xã Hoà An</t>
  </si>
  <si>
    <t>Ấp Hoà Quới A, Xã Hoà An, Huyện Phụng Hiệp, Tỉnh Hậu Giang</t>
  </si>
  <si>
    <t>9.7687568665, 105.6154785156</t>
  </si>
  <si>
    <t>9.7685232162, 105.6154327393</t>
  </si>
  <si>
    <t>MP400213ML</t>
  </si>
  <si>
    <t>Dì Ba</t>
  </si>
  <si>
    <t>B2/20, Quốc Lộ 50, X Phong Phú, Bình Chánh, HCM</t>
  </si>
  <si>
    <t>KH-06C-3011</t>
  </si>
  <si>
    <t>Bùi Bé Thảo</t>
  </si>
  <si>
    <t>10.6675748825, 106.5896072388</t>
  </si>
  <si>
    <t>10.7205467224, 106.6557540894</t>
  </si>
  <si>
    <t>HT403216EZ</t>
  </si>
  <si>
    <t>Chị Nhài</t>
  </si>
  <si>
    <t>204,Hiệp Bình,Hiệp Bình Chánh,Thủ Đức,HCM</t>
  </si>
  <si>
    <t>AL-08B-3008</t>
  </si>
  <si>
    <t>Vũ Quỳnh Trang</t>
  </si>
  <si>
    <t>10.8451576233, 106.7276687622</t>
  </si>
  <si>
    <t>KT300610F8</t>
  </si>
  <si>
    <t>Thuận Linh</t>
  </si>
  <si>
    <t>Chợ Bửu Hòa, Tân Vạn, Biên Hòa, Đồng Nai</t>
  </si>
  <si>
    <t>AL-06D-3009</t>
  </si>
  <si>
    <t>Vương Thụy An Bình</t>
  </si>
  <si>
    <t>10.9293699265, 106.8207397461</t>
  </si>
  <si>
    <t>10.9292745590, 106.8207015991</t>
  </si>
  <si>
    <t>NT5001102W</t>
  </si>
  <si>
    <t>Chị Quyên</t>
  </si>
  <si>
    <t>121, Lê Lai, TT.Mỏ Cày, H.Mỏ Cày Nam, Bến Tre</t>
  </si>
  <si>
    <t>AL-04A-4093</t>
  </si>
  <si>
    <t>Võ Bé Thi</t>
  </si>
  <si>
    <t>10.1299352646, 106.3342971802</t>
  </si>
  <si>
    <t>10.1299285889, 106.3343124390</t>
  </si>
  <si>
    <t>VM1009.64642</t>
  </si>
  <si>
    <t>VMP_153_155_DE_LA_THANH</t>
  </si>
  <si>
    <t>Số 153-155 Đê La Thành, phường Nam Đồng, Đống Đa, Hà Nội</t>
  </si>
  <si>
    <t>21.0175285339, 105.8313751221</t>
  </si>
  <si>
    <t>21.0175437927, 105.8313980103</t>
  </si>
  <si>
    <t>MB00KC100110M2</t>
  </si>
  <si>
    <t>Kmart TM 01-10-Vin Home West Point Mễ Trì ,Nam Từ Liêm</t>
  </si>
  <si>
    <t>TM 01-10-Vin Home West Point Mễ Trì ,Nam Từ Liêm,Hà Nội</t>
  </si>
  <si>
    <t>21.0114498138, 105.7851486206</t>
  </si>
  <si>
    <t>21.0115013123, 105.7852172852</t>
  </si>
  <si>
    <t>HG5004.5730</t>
  </si>
  <si>
    <t>COOP VI THANH</t>
  </si>
  <si>
    <t>319 Trần Hưng Đạo,Phường I,Thành Phố Vị Thanh,Tỉnh Hậu Giang</t>
  </si>
  <si>
    <t>ST-12B-4002</t>
  </si>
  <si>
    <t>Phan Thị Mỹ Xuyên</t>
  </si>
  <si>
    <t>9.7823581696, 105.4667663574</t>
  </si>
  <si>
    <t>9.7822265625, 105.4668960571</t>
  </si>
  <si>
    <t>EB4001.13970</t>
  </si>
  <si>
    <t>BIGC VINH</t>
  </si>
  <si>
    <t>Số 2, đường Quang Trung, TP.Vinh, Tỉnh Nghệ An</t>
  </si>
  <si>
    <t>ST-02E-1001</t>
  </si>
  <si>
    <t>Trân Nam Anh</t>
  </si>
  <si>
    <t>18.6665458679, 105.6744995117</t>
  </si>
  <si>
    <t>18.6662712097, 105.6741409302</t>
  </si>
  <si>
    <t>CF4001.83760</t>
  </si>
  <si>
    <t>CF_LE_VAN_LUONG_1187</t>
  </si>
  <si>
    <t>1187 Lê Văn Lương, Ấp 3, Xã Phước Kiển, Huyện Nhà Bè, Tp HCM</t>
  </si>
  <si>
    <t>10.7561073303, 106.7045059204</t>
  </si>
  <si>
    <t>10.7450761795, 106.7158889771</t>
  </si>
  <si>
    <t>Lam Phương</t>
  </si>
  <si>
    <t>LP200113DV</t>
  </si>
  <si>
    <t>Việt An</t>
  </si>
  <si>
    <t xml:space="preserve">320,  Trần Hưng Đạo, Quang Trung, TP KonTum, Kon Tum</t>
  </si>
  <si>
    <t>AL-08C-2024</t>
  </si>
  <si>
    <t>Võ Thị Thanh Kim Huệ</t>
  </si>
  <si>
    <t>14.4070129395, 107.7980880737</t>
  </si>
  <si>
    <t>14.4070119858, 107.7980499268</t>
  </si>
  <si>
    <t>GH5001100D</t>
  </si>
  <si>
    <t>Lý Mãnh</t>
  </si>
  <si>
    <t>Thiện Chí, Thien CHi _Vinh binh _GCT, TT.Vĩnh Bình, H.Gò Công Tây, Tiền Giang</t>
  </si>
  <si>
    <t>AL-04A-4113</t>
  </si>
  <si>
    <t>Lý Thị Thúy An</t>
  </si>
  <si>
    <t>10.3428001404, 106.5803375244</t>
  </si>
  <si>
    <t>10.3428287506, 106.5802459717</t>
  </si>
  <si>
    <t>TD50051256</t>
  </si>
  <si>
    <t>Lê Phương Trầm</t>
  </si>
  <si>
    <t>Phường 3 TX TV, Phường 3 TX TV, P.3, TP.Trà Vinh, Trà Vinh</t>
  </si>
  <si>
    <t>AL-04E-4009</t>
  </si>
  <si>
    <t>Võ Thị Kim Biên</t>
  </si>
  <si>
    <t>06h30 - 15h30</t>
  </si>
  <si>
    <t>9.9363212585, 106.3417816162</t>
  </si>
  <si>
    <t>9.9363336563, 106.3417892456</t>
  </si>
  <si>
    <t>SH50043003</t>
  </si>
  <si>
    <t>Hải Yến</t>
  </si>
  <si>
    <t>117, Ấp chợ_Chợ Bến Bạ, X.An Thạnh 1, H.Cù Lao Dung, Sóc Trăng</t>
  </si>
  <si>
    <t>AL-04A-4025</t>
  </si>
  <si>
    <t>Nguyễn Thị Kim Ngọc</t>
  </si>
  <si>
    <t>9.6363649368, 106.1469573975</t>
  </si>
  <si>
    <t>9.6699895859, 106.1568908691</t>
  </si>
  <si>
    <t>XH4001.119601</t>
  </si>
  <si>
    <t>BHX Thửa đất số 36, Tờ bản đồ số 35</t>
  </si>
  <si>
    <t>Thửa đất số 36, Tờ bản đồ số 35, Ấp Phố Dưới B, Thị Trấn Lịch Hội Thượng, Huyện Trần Đề, Tỉnh Sóc Trăng</t>
  </si>
  <si>
    <t>ST-01G-4002</t>
  </si>
  <si>
    <t>Châu Hoàng Mẫn</t>
  </si>
  <si>
    <t>9.4746856689, 106.1482772827</t>
  </si>
  <si>
    <t>MK40021IKL</t>
  </si>
  <si>
    <t>BS Mart 118A, VĂN THÂN</t>
  </si>
  <si>
    <t>118A, VĂN THÂN, P.8, Q.6, Hồ Chí Minh</t>
  </si>
  <si>
    <t>10.7416639328, 106.6390228271</t>
  </si>
  <si>
    <t>10.7417974472, 106.6390762329</t>
  </si>
  <si>
    <t>ST-06B-4003</t>
  </si>
  <si>
    <t>Lâm Thị Ánh Tuyết</t>
  </si>
  <si>
    <t>10.2548799515, 105.9710083008</t>
  </si>
  <si>
    <t>10.2550640106, 105.9710769653</t>
  </si>
  <si>
    <t>XH4001.112753</t>
  </si>
  <si>
    <t>BHX Khu phố Hiệp Nghĩa</t>
  </si>
  <si>
    <t xml:space="preserve">Khu phố Hiệp Nghĩa, P  Hiệp Ninh, TP  Tây Ninh, Tỉnh Tây Ninh</t>
  </si>
  <si>
    <t>11.3077087402, 106.1291732788</t>
  </si>
  <si>
    <t>VI4001.52664</t>
  </si>
  <si>
    <t>VMP_60_DUONG_SO_9</t>
  </si>
  <si>
    <t xml:space="preserve">60 Đường số 9, Khu phố 1, P  Linh Tây, TP  Thủ Đức, TP  Hồ Chí Minh</t>
  </si>
  <si>
    <t>10.8600959778, 106.7575836182</t>
  </si>
  <si>
    <t>10.8601369858, 106.7575454712</t>
  </si>
  <si>
    <t>G74003.47439</t>
  </si>
  <si>
    <t>G7 MINISTOP Cửa hàng tiện lợi Ministop số 103 :79 Nguyễn Cửu Vân, Phường 17</t>
  </si>
  <si>
    <t>Cửa hàng tiện lợi Ministop số 103 :79 Nguyễn Cửu Vân, Phường 17, Quận Bình Thạnh, Tp HCM</t>
  </si>
  <si>
    <t>10.7957277298, 106.7072601318</t>
  </si>
  <si>
    <t>10.7957544327, 106.7073211670</t>
  </si>
  <si>
    <t>VM1009.26264</t>
  </si>
  <si>
    <t>VM 345 BUI XUONG TRACH</t>
  </si>
  <si>
    <t>345 Bùi Xương Trạch, P Định Công, Q Hoàng Mai,Hà Nội</t>
  </si>
  <si>
    <t>20.9833087921, 105.8208541870</t>
  </si>
  <si>
    <t>20.9833583832, 105.8208618164</t>
  </si>
  <si>
    <t>DNTN Đồng Phát</t>
  </si>
  <si>
    <t>DP5002109H</t>
  </si>
  <si>
    <t>Chí Linh</t>
  </si>
  <si>
    <t>0, Qua Cầu Định Thành, Ấp Định Thành, X.Định Thành A, H.Đông Hải, Bạc Liêu</t>
  </si>
  <si>
    <t>AL-03G-4004</t>
  </si>
  <si>
    <t>Nguyễn Nhật Thanh</t>
  </si>
  <si>
    <t>9.1352882385, 105.2842254639</t>
  </si>
  <si>
    <t>9.1333980560, 105.2843093872</t>
  </si>
  <si>
    <t>NT4054146Q</t>
  </si>
  <si>
    <t>Trà My</t>
  </si>
  <si>
    <t>71, Nguyễn Thượng Hiền , 5, 3, HCM</t>
  </si>
  <si>
    <t>AL-05D-3027</t>
  </si>
  <si>
    <t>Mã Thị Thường</t>
  </si>
  <si>
    <t>10.7717638016, 106.6855316162</t>
  </si>
  <si>
    <t>10.7718286514, 106.6854858398</t>
  </si>
  <si>
    <t>ST-06D-1001</t>
  </si>
  <si>
    <t>Vũ Thị Linh</t>
  </si>
  <si>
    <t>20.9822597504, 105.7900314331</t>
  </si>
  <si>
    <t>20.9824180603, 105.7901382446</t>
  </si>
  <si>
    <t>EB4001.13976</t>
  </si>
  <si>
    <t>BIGC CAN THO</t>
  </si>
  <si>
    <t>Lô1,KhudâncưHưngPhú1,P HưngPhú,Q CáiRăng,Tp CầnThơ</t>
  </si>
  <si>
    <t>ST-04A-4008</t>
  </si>
  <si>
    <t>Nguyễn Thị Thanh Nghiêm</t>
  </si>
  <si>
    <t>10.0144481659, 105.7841491699</t>
  </si>
  <si>
    <t>10.0142660141, 105.7839126587</t>
  </si>
  <si>
    <t>Toàn Thành</t>
  </si>
  <si>
    <t>TT201411PR</t>
  </si>
  <si>
    <t>Thủy</t>
  </si>
  <si>
    <t>1, Khúc Hạo, Mân Thái, Sơn Trà, Đà Nẵng</t>
  </si>
  <si>
    <t>AL-08C-2019</t>
  </si>
  <si>
    <t>Nguyễn Thị Ánh Tuyết</t>
  </si>
  <si>
    <t>16.0863723755, 108.2396926880</t>
  </si>
  <si>
    <t>VI4001.63664</t>
  </si>
  <si>
    <t>VMP_HCM_102_KHU_PHO_2</t>
  </si>
  <si>
    <t>102 Khu phố 2, Đường số 29, Phường Bình Trị Đông, Quận Bình Tân, TPHCM</t>
  </si>
  <si>
    <t>10.7738332748, 106.6057128906</t>
  </si>
  <si>
    <t>10.7547578812, 106.6996231079</t>
  </si>
  <si>
    <t>VM1009.46137</t>
  </si>
  <si>
    <t>VMP HNI IMPERIA GARDEN</t>
  </si>
  <si>
    <t>Lô C3, Tầng 01, Tòa C, Khối nhà B, Dự án Tổ hợp văn phòng, nhà ở cao cấp kết hợp dịch vụ thương mại HBI, số 203 Nguyễn Huy Tưởng, p Thanh Xuân Trung, q Thanh Xuân, Hà Nội</t>
  </si>
  <si>
    <t>ST-03G-1005</t>
  </si>
  <si>
    <t>Vương Minh Huy</t>
  </si>
  <si>
    <t>20.9986820221, 105.8203582764</t>
  </si>
  <si>
    <t>NC401718CF</t>
  </si>
  <si>
    <t>Thanh Trúc</t>
  </si>
  <si>
    <t>712, Thống Nhất, 15, Gò Vấp, HCM</t>
  </si>
  <si>
    <t>AL-03D-3028</t>
  </si>
  <si>
    <t>Nguyễn Đào Mỹ Nương</t>
  </si>
  <si>
    <t>10.8517408371, 106.6652755737</t>
  </si>
  <si>
    <t>CV10051XMB</t>
  </si>
  <si>
    <t>Anh Cường</t>
  </si>
  <si>
    <t>Chung cư HH Linh Đàm, Hoàng Mai, Hà Nội</t>
  </si>
  <si>
    <t>AL-12F-1008</t>
  </si>
  <si>
    <t>Doãn Thị Hòa</t>
  </si>
  <si>
    <t>20.9638824463, 105.8270187378</t>
  </si>
  <si>
    <t>ST-05F-3006</t>
  </si>
  <si>
    <t>Phạm Hoàng Ân</t>
  </si>
  <si>
    <t>10.9585676193, 106.8343582153</t>
  </si>
  <si>
    <t>10.9585943222, 106.8342819214</t>
  </si>
  <si>
    <t>EB4001.113786</t>
  </si>
  <si>
    <t>BIGC BEN TRE</t>
  </si>
  <si>
    <t>Tầng Trệt, Trung Tâm Thương Mại GO! Bến Tre, Ấp 1, Đường Võ Nguyên giáp (Quốc Lộ 60), Xã Sơn Đông, Tp Bến Tre, Tỉnh Bến Tre</t>
  </si>
  <si>
    <t>ST-09C-4003</t>
  </si>
  <si>
    <t>Đặng Thị Linh Phương</t>
  </si>
  <si>
    <t>10.2547473907, 106.3597259521</t>
  </si>
  <si>
    <t>10.2540254593, 106.3598403931</t>
  </si>
  <si>
    <t>XH4001.109146</t>
  </si>
  <si>
    <t>BHX 79 Trần Hưng Đạo, Phường An Lạc</t>
  </si>
  <si>
    <t>79 Trần Hưng Đạo, Phường An Lạc, Thị Xã Buôn Hồ, Tỉnh Đắk Lắk</t>
  </si>
  <si>
    <t>ST-12F-2004</t>
  </si>
  <si>
    <t>Đoàn Thị Ngọc Duyên</t>
  </si>
  <si>
    <t>12.9176988602, 108.2673187256</t>
  </si>
  <si>
    <t>Kim Diệu Thành</t>
  </si>
  <si>
    <t>KT300611WH</t>
  </si>
  <si>
    <t>Thuận Linh 2</t>
  </si>
  <si>
    <t>Gần chợ Tân Hiệp, Tân Hiệp, Biên Hòa, Đồng Nai</t>
  </si>
  <si>
    <t>AL-10B-3002</t>
  </si>
  <si>
    <t>Đồng Thảo Vy</t>
  </si>
  <si>
    <t>10.9403820038, 106.8248367310</t>
  </si>
  <si>
    <t>10.9404268265, 106.8248443604</t>
  </si>
  <si>
    <t>VM1009.26210</t>
  </si>
  <si>
    <t>VM 19 LUONG DINH CUA</t>
  </si>
  <si>
    <t>19 Lương Đình Của, quận Đống Đa-Hà Nội</t>
  </si>
  <si>
    <t>20.9988899231, 105.8202896118</t>
  </si>
  <si>
    <t>10.7533817291, 106.6134414673</t>
  </si>
  <si>
    <t>10.7534532547, 106.6133575439</t>
  </si>
  <si>
    <t>AE4003.4706</t>
  </si>
  <si>
    <t>Aeon Tan Phu</t>
  </si>
  <si>
    <t>Số 30,Đường Bờ Bao Tân Thắng,P Sơn Kỳ,Q Tân Phú,Tp HCM</t>
  </si>
  <si>
    <t>ST-03F-3020</t>
  </si>
  <si>
    <t>Huỳnh Hạ Huyền</t>
  </si>
  <si>
    <t>10.8020391464, 106.6175231934</t>
  </si>
  <si>
    <t>10.8021659851, 106.6186294556</t>
  </si>
  <si>
    <t>TL4004103W</t>
  </si>
  <si>
    <t>Hoàng Ngọc Thu</t>
  </si>
  <si>
    <t>4/1A, Chánh Hưng, 4, 8, HCM</t>
  </si>
  <si>
    <t>AL-04A-3083</t>
  </si>
  <si>
    <t>Huỳnh Mỹ Chánh</t>
  </si>
  <si>
    <t>10.7366600037, 106.6714401245</t>
  </si>
  <si>
    <t>SH500419DX</t>
  </si>
  <si>
    <t>Phương Thảo</t>
  </si>
  <si>
    <t>262, Ấp Thới Thuận A, TT.Thới Lai, H.Thới Lai, Cần Thơ</t>
  </si>
  <si>
    <t>AL-04A-4014</t>
  </si>
  <si>
    <t>Trần Thị Bích Chăm</t>
  </si>
  <si>
    <t>10.0665779114, 105.5609054565</t>
  </si>
  <si>
    <t>10.0665769577, 105.5609130859</t>
  </si>
  <si>
    <t>VI4001.90117</t>
  </si>
  <si>
    <t>VM_163/25/1_TO_HIEN_THANH</t>
  </si>
  <si>
    <t>163/25/1 Tô Hiến Thành, Phường 13, Quận 10, TP HCM</t>
  </si>
  <si>
    <t>10.7791795731, 106.6696014404</t>
  </si>
  <si>
    <t>10.7757587433, 106.6727142334</t>
  </si>
  <si>
    <t>ST-06B-3005</t>
  </si>
  <si>
    <t>Nguyễn Đặng Sơn Dương</t>
  </si>
  <si>
    <t>10.7895107269, 106.6395950317</t>
  </si>
  <si>
    <t>10.7895193100, 106.6396713257</t>
  </si>
  <si>
    <t>CO5009.31495</t>
  </si>
  <si>
    <t>CO OPMART SA DEC</t>
  </si>
  <si>
    <t>Đường Nguyễn Sinh Sắc, Khóm 2, Phường 2, TP Sa Đéc, Tỉnh Đồng Tháp</t>
  </si>
  <si>
    <t>ST-04A-4023</t>
  </si>
  <si>
    <t>Phan Thị Trà My</t>
  </si>
  <si>
    <t>10.2901687622, 105.7578887939</t>
  </si>
  <si>
    <t>10.2892045975, 105.7588195801</t>
  </si>
  <si>
    <t>Thy Thy</t>
  </si>
  <si>
    <t>TT301211QO</t>
  </si>
  <si>
    <t>Chị Nhi</t>
  </si>
  <si>
    <t>Ninh Thuận</t>
  </si>
  <si>
    <t>AL-02G-2003</t>
  </si>
  <si>
    <t>Lê Thị Thanh An</t>
  </si>
  <si>
    <t>11.5986537933, 109.0367736816</t>
  </si>
  <si>
    <t>MP400218DO</t>
  </si>
  <si>
    <t>Thảo Ngân_T</t>
  </si>
  <si>
    <t>174, Đường 7A, Bình Trị Đông, Bình Tân, HCM</t>
  </si>
  <si>
    <t>AL-02C-3012</t>
  </si>
  <si>
    <t>Trần Thị Thúy Vi</t>
  </si>
  <si>
    <t>10.7511062622, 106.6129760742</t>
  </si>
  <si>
    <t>10.7511405945, 106.6129531860</t>
  </si>
  <si>
    <t>DD2009.12528</t>
  </si>
  <si>
    <t>Vinmart Số nhà 848,Đường Trần Hưng Đạo</t>
  </si>
  <si>
    <t>Số nhà 848,Đường Trần Hưng Đạo,P.Tân Thành,Tp.Ninh Bình,Tỉnh Ninh Bình</t>
  </si>
  <si>
    <t>20.2591876984, 105.9701538086</t>
  </si>
  <si>
    <t>20.2592163086, 105.9702606201</t>
  </si>
  <si>
    <t>HP2002106X</t>
  </si>
  <si>
    <t>Lý An Đông</t>
  </si>
  <si>
    <t>QL25, Hòa An, Phú Hòa, Phú Yên</t>
  </si>
  <si>
    <t>AL-05A-2003</t>
  </si>
  <si>
    <t>Phan Thị Đào Vương</t>
  </si>
  <si>
    <t>17h00 - 20h00</t>
  </si>
  <si>
    <t>13.0790033340, 109.2883911133</t>
  </si>
  <si>
    <t>EB4001.14032</t>
  </si>
  <si>
    <t>BIG C VIET TRI</t>
  </si>
  <si>
    <t>Đường Nguyễn Tất Thành,P Thanh Miếu,Tp Việt Trì,T Phú Thọ</t>
  </si>
  <si>
    <t>ST-10D-1003</t>
  </si>
  <si>
    <t>Nguyễn Việt Vương</t>
  </si>
  <si>
    <t>21.3071918488, 105.4321823120</t>
  </si>
  <si>
    <t>21.3068847656, 105.4319992065</t>
  </si>
  <si>
    <t>NT405415M8</t>
  </si>
  <si>
    <t>Quỳnh Chi</t>
  </si>
  <si>
    <t>15A, Đặng Văn Ngữ, 10, Phú Nhuận, HCM</t>
  </si>
  <si>
    <t>AL-09C-3019</t>
  </si>
  <si>
    <t>Đỗ Thị Thuỳ Trang</t>
  </si>
  <si>
    <t>10.8362350464, 106.7046737671</t>
  </si>
  <si>
    <t>VI4001.53042</t>
  </si>
  <si>
    <t>VMP_860_80_22_XO_V_N_TINH</t>
  </si>
  <si>
    <t>HCM 860/80/22 Xô Viết Nghệ Tĩnh, Phường 25, Quận Bình Thạnh, TPHCM</t>
  </si>
  <si>
    <t>10.8111867905, 106.7180633545</t>
  </si>
  <si>
    <t>10.8112945557, 106.7181930542</t>
  </si>
  <si>
    <t>LT1006.15745</t>
  </si>
  <si>
    <t>LOTTE BA DINH</t>
  </si>
  <si>
    <t>Tầng hầm 1(B1),Trung Tâm Lotte Hà Nội,Số 54 đường Liễu Giai,Phường Cống Vị,Quận Ba Đình,Hà Nội</t>
  </si>
  <si>
    <t>ST-09C-1005</t>
  </si>
  <si>
    <t>Đoàn Thị Dung</t>
  </si>
  <si>
    <t>21.0320663452, 105.8123168945</t>
  </si>
  <si>
    <t>21.0323657990, 105.8125534058</t>
  </si>
  <si>
    <t>TH5029113U</t>
  </si>
  <si>
    <t>Thuận Lợi</t>
  </si>
  <si>
    <t>B32, Hòa Bình, P.3, TP.Bạc Liêu, Bạc Liêu</t>
  </si>
  <si>
    <t>AL-04A-4065</t>
  </si>
  <si>
    <t>Hồ Như Quỳnh</t>
  </si>
  <si>
    <t>9.2875852585, 105.7211608887</t>
  </si>
  <si>
    <t>9.2876577377, 105.7212677002</t>
  </si>
  <si>
    <t>VI1014.54611</t>
  </si>
  <si>
    <t>Vinmart Số 27 đường Trần Phú, Phường Điện Biên</t>
  </si>
  <si>
    <t>Số 27 đường Trần Phú, Phường Điện Biên, Thành phố Thanh Hóa, Tỉnh Thanh Hóa</t>
  </si>
  <si>
    <t>ST-05E-1007</t>
  </si>
  <si>
    <t>Đặng Thị Liên</t>
  </si>
  <si>
    <t>19.8099117279, 105.7773056030</t>
  </si>
  <si>
    <t>19.8098831177, 105.7772979736</t>
  </si>
  <si>
    <t>HN500112U3</t>
  </si>
  <si>
    <t>Mỹ Trang</t>
  </si>
  <si>
    <t>388, Cho Hoa Long, TT.Lai Vung, X.Lai Vung, Đồng Tháp</t>
  </si>
  <si>
    <t>AL-04A-4010</t>
  </si>
  <si>
    <t>Trần Thị Mỹ Nhân</t>
  </si>
  <si>
    <t>10.2886762619, 105.6585006714</t>
  </si>
  <si>
    <t>10.2886180878, 105.6585693359</t>
  </si>
  <si>
    <t>SH500420CD</t>
  </si>
  <si>
    <t>Hải Hưng</t>
  </si>
  <si>
    <t>102, QL 1A, X.Long Thạnh, H.Phụng Hiệp, Hậu Giang</t>
  </si>
  <si>
    <t>AL-02F-4007</t>
  </si>
  <si>
    <t>Tạ Thị Thanh Giang</t>
  </si>
  <si>
    <t>9.9438905716, 105.7297973633</t>
  </si>
  <si>
    <t>9.9089822769, 105.7519149780</t>
  </si>
  <si>
    <t>XH4001.106763</t>
  </si>
  <si>
    <t>BHX 111-113 Nguyễn Văn Nghi</t>
  </si>
  <si>
    <t>111-113 Nguyễn Văn Nghi, Phường 7, Quận Gò VẤp, TP HCM</t>
  </si>
  <si>
    <t>10.8256959915, 106.6841125488</t>
  </si>
  <si>
    <t>10.8257627487, 106.6840591431</t>
  </si>
  <si>
    <t>Minh Huy</t>
  </si>
  <si>
    <t>MH3004106H</t>
  </si>
  <si>
    <t>Hạnh Chánh</t>
  </si>
  <si>
    <t>285, Trần Hưng Đạo, Phan Rí, Tuy Phong, Bình Thuận</t>
  </si>
  <si>
    <t>AL-03G-2003</t>
  </si>
  <si>
    <t>Nguyễn Thị Thanh Hoa</t>
  </si>
  <si>
    <t>11.1713008881, 108.5652389526</t>
  </si>
  <si>
    <t>SH500431WZ</t>
  </si>
  <si>
    <t>35, Hoàng Diệu, P.1, TP.Sóc Trăng, Sóc Trăng</t>
  </si>
  <si>
    <t>AL-05E-4003</t>
  </si>
  <si>
    <t>Đoàn Thị Như Thảo</t>
  </si>
  <si>
    <t>9.6033582687, 105.9749984741</t>
  </si>
  <si>
    <t>9.6033506393, 105.9750061035</t>
  </si>
  <si>
    <t>MK400213FQ</t>
  </si>
  <si>
    <t>Nhất Phương</t>
  </si>
  <si>
    <t>142, Phạm Văn Hai, 3, Tân Bình, HCM</t>
  </si>
  <si>
    <t>AL-02B-3001</t>
  </si>
  <si>
    <t>Dương Thị Kim Xuyến</t>
  </si>
  <si>
    <t>10.7930536270, 106.6625442505</t>
  </si>
  <si>
    <t>EB4001.14016</t>
  </si>
  <si>
    <t>BIGC LONG BIEN</t>
  </si>
  <si>
    <t>Tầng Hầm,TTTM GiaThụy, PGia Thụy,Q LongBiên,TPHàNội</t>
  </si>
  <si>
    <t>ST-04A-1031</t>
  </si>
  <si>
    <t>Trần Thị Bích Hạnh</t>
  </si>
  <si>
    <t>ST-04E-1004</t>
  </si>
  <si>
    <t>Phạm Thị Hảo</t>
  </si>
  <si>
    <t>21.0511894226, 105.8936386108</t>
  </si>
  <si>
    <t>21.0505924225, 105.8940811157</t>
  </si>
  <si>
    <t>MK400213LI</t>
  </si>
  <si>
    <t>Anh Dũng</t>
  </si>
  <si>
    <t>33-35, KP Chợ Phú Lâm, 10, 6, HCM</t>
  </si>
  <si>
    <t>AL-03E-3016</t>
  </si>
  <si>
    <t>Trần Thị Hiếu</t>
  </si>
  <si>
    <t>10.7553491592, 106.6316909790</t>
  </si>
  <si>
    <t>10.7553462982, 106.6316986084</t>
  </si>
  <si>
    <t>HN3002104T</t>
  </si>
  <si>
    <t>Shop Châu</t>
  </si>
  <si>
    <t>117, Đoàn Trần Nghiệp, Phú Cường, Thủ Dầu Một, Bình Dương</t>
  </si>
  <si>
    <t>AL-04A-3191</t>
  </si>
  <si>
    <t>Lý Hoàng Dung</t>
  </si>
  <si>
    <t>10.9783382416, 106.6528930664</t>
  </si>
  <si>
    <t>10.9773283005, 106.6515274048</t>
  </si>
  <si>
    <t>AP4002.28726</t>
  </si>
  <si>
    <t>Sieu thi An Phu</t>
  </si>
  <si>
    <t xml:space="preserve">43 Thảo Điền,Phường Thảo Điền,TP  Thủ Đức,TP  Hồ Chí Minh</t>
  </si>
  <si>
    <t>10.8051023483, 106.7364730835</t>
  </si>
  <si>
    <t>10.8049812317, 106.7364883423</t>
  </si>
  <si>
    <t>MK4002110B</t>
  </si>
  <si>
    <t>Đông Giang</t>
  </si>
  <si>
    <t>55, Trần Quý, 4, 11, HCM</t>
  </si>
  <si>
    <t>AL-04A-3034</t>
  </si>
  <si>
    <t>Nguyễn Thị Phương</t>
  </si>
  <si>
    <t>10.7594347000, 106.6574859619</t>
  </si>
  <si>
    <t>TL4004102V</t>
  </si>
  <si>
    <t>Kim Phúc</t>
  </si>
  <si>
    <t>19, Âu Dương Lân, 3, 8, HCM</t>
  </si>
  <si>
    <t>AL-02C-3011</t>
  </si>
  <si>
    <t>Trần Huỳnh Giang</t>
  </si>
  <si>
    <t>10.7478332520, 106.6819305420</t>
  </si>
  <si>
    <t>KT3006102K</t>
  </si>
  <si>
    <t>Anh Tuấn Tú</t>
  </si>
  <si>
    <t>Tôổ 12, KP 5, Trảng Dài, Biên Hòa, Đồng Nai</t>
  </si>
  <si>
    <t>AL-10F-3006</t>
  </si>
  <si>
    <t>10.9734401703, 106.8670196533</t>
  </si>
  <si>
    <t>PT200116BS</t>
  </si>
  <si>
    <t>Thanh</t>
  </si>
  <si>
    <t>48, Quang Trung, Thạch Tháng, Hải Châu, Đà Nẵng</t>
  </si>
  <si>
    <t>AL-01C-2002</t>
  </si>
  <si>
    <t>Trần Thị Yến Anh</t>
  </si>
  <si>
    <t>16.0749301910, 108.2208251953</t>
  </si>
  <si>
    <t>Đại Đông</t>
  </si>
  <si>
    <t>DD3001128E</t>
  </si>
  <si>
    <t>Thanh Văn</t>
  </si>
  <si>
    <t>541, QL 14, Tân Bình, Đồng Xoài, Bình Phước</t>
  </si>
  <si>
    <t>AL-04D-3008</t>
  </si>
  <si>
    <t>Tôn Thị Huyền</t>
  </si>
  <si>
    <t>11.5346107483, 106.8980484009</t>
  </si>
  <si>
    <t>11.5371866226, 106.8950958252</t>
  </si>
  <si>
    <t>TL400411NY</t>
  </si>
  <si>
    <t>Hồng Linh</t>
  </si>
  <si>
    <t>80, Liên Tỉnh 5, 6, 8, HCM</t>
  </si>
  <si>
    <t>AL-12F-3002</t>
  </si>
  <si>
    <t>Nguyễn Thị Diễm</t>
  </si>
  <si>
    <t>10.7390661240, 106.6561889648</t>
  </si>
  <si>
    <t>10.7390537262, 106.6561889648</t>
  </si>
  <si>
    <t>Cty TNHH MTV TMDV Quách Liêm</t>
  </si>
  <si>
    <t>QL500110IY</t>
  </si>
  <si>
    <t>Lan Trinh</t>
  </si>
  <si>
    <t>34, Trưng Vương, TT.Mỹ Xuyên, H.Mỹ Xuyên, Sóc Trăng</t>
  </si>
  <si>
    <t>AL-04A-4006</t>
  </si>
  <si>
    <t>Phan Thị Bích Thơ</t>
  </si>
  <si>
    <t>9.5598611832, 105.9892349243</t>
  </si>
  <si>
    <t>9.5600318909, 105.9892654419</t>
  </si>
  <si>
    <t>HM200511XH</t>
  </si>
  <si>
    <t>Bảo Trọng</t>
  </si>
  <si>
    <t>327, Nguyễn Lương Bằng, Hòa Khánh Bắc, Liên Chiểu, Đà Nẵng</t>
  </si>
  <si>
    <t>AL-12A-2002</t>
  </si>
  <si>
    <t>Hồ Thị Hoa</t>
  </si>
  <si>
    <t>16.0826854706, 108.1459808350</t>
  </si>
  <si>
    <t>CF4001.113968</t>
  </si>
  <si>
    <t>CF_NGUYEN_THI_BUP_101M</t>
  </si>
  <si>
    <t>101M Nguyễn Thị Búp, Khu Phố 3, Phường Hiệp Thành, Quận 12, TP HCM</t>
  </si>
  <si>
    <t>ST-03D-3016</t>
  </si>
  <si>
    <t>Võ Văn Thôi</t>
  </si>
  <si>
    <t>10.8731775284, 106.6324615479</t>
  </si>
  <si>
    <t>VT3002100Q</t>
  </si>
  <si>
    <t>22, Trần Phú, TT Lộc Thắng, Bảo Lâm, Lâm Đồng</t>
  </si>
  <si>
    <t>AL-10F-2001</t>
  </si>
  <si>
    <t>Bùi Lê Thùy Tâm</t>
  </si>
  <si>
    <t>11.6270895004, 107.8396835327</t>
  </si>
  <si>
    <t>11.6271009445, 107.8396759033</t>
  </si>
  <si>
    <t>ST-03G-3028</t>
  </si>
  <si>
    <t>Phạm Quốc Hậu</t>
  </si>
  <si>
    <t>10.8383626938, 106.6712493896</t>
  </si>
  <si>
    <t>10.8377933502, 106.6710510254</t>
  </si>
  <si>
    <t>NT40541A2A</t>
  </si>
  <si>
    <t>59, NƠ TRANG LONG, 11, Bình Thạnh, HCM</t>
  </si>
  <si>
    <t>AL-11C-3011</t>
  </si>
  <si>
    <t>Lê Thị Kim Nga</t>
  </si>
  <si>
    <t>10.8085927963, 106.6951141357</t>
  </si>
  <si>
    <t>HT4032166O</t>
  </si>
  <si>
    <t>Cẩm Loan</t>
  </si>
  <si>
    <t>421/8, Đường 48 , Hiệp Bình Chánh, Thủ Đức, HCM</t>
  </si>
  <si>
    <t>AL-12B-3004</t>
  </si>
  <si>
    <t>Nguyễn Thị Thơm</t>
  </si>
  <si>
    <t>10.8357543945, 106.7278671265</t>
  </si>
  <si>
    <t>MK400213NU</t>
  </si>
  <si>
    <t>Anh Bền</t>
  </si>
  <si>
    <t>571, Hậu Giang, 11, 6, HCM</t>
  </si>
  <si>
    <t>AL-04A-3022</t>
  </si>
  <si>
    <t>Lạc Kiết Ngọc</t>
  </si>
  <si>
    <t>10.7479705811, 106.6347732544</t>
  </si>
  <si>
    <t>TC4002110S</t>
  </si>
  <si>
    <t>Xuân Mai (Tiên tiến)</t>
  </si>
  <si>
    <t>Nguyễn Văn Ni, KP 6, TT Củ Chi, Củ Chi, HCM</t>
  </si>
  <si>
    <t>AL-04D-3004</t>
  </si>
  <si>
    <t>Mai Thị Tiểu Lang</t>
  </si>
  <si>
    <t>10.9696950912, 106.4972534180</t>
  </si>
  <si>
    <t>DP500210DH</t>
  </si>
  <si>
    <t>Siêu Thị Chị &amp; Em</t>
  </si>
  <si>
    <t>100, QL 1A, Khóm 1, P.Hộ Phòng, TX.Giá Rai, Bạc Liêu</t>
  </si>
  <si>
    <t>AL-07A-4001</t>
  </si>
  <si>
    <t>Đặng Thị Mai Anh</t>
  </si>
  <si>
    <t>9.2284154892, 105.4211349487</t>
  </si>
  <si>
    <t>9.2286691666, 105.4209213257</t>
  </si>
  <si>
    <t>CF4001.39028</t>
  </si>
  <si>
    <t>CF NO TRANG LONG</t>
  </si>
  <si>
    <t>372 Nơ Trang Long , Phường 13 , Quận Bình Thạnh, TP HCM</t>
  </si>
  <si>
    <t>10.7961435318, 106.6415481567</t>
  </si>
  <si>
    <t>10.7961616516, 106.6415328979</t>
  </si>
  <si>
    <t>CO3001.47174</t>
  </si>
  <si>
    <t>CM TAN CHAU</t>
  </si>
  <si>
    <t>Đường Lê Duẩn, Khu phố 2, Thị Trấn Tân Châu, Huyện Tân Châu, Tỉnh Tây Ninh</t>
  </si>
  <si>
    <t>ST-12E-3016</t>
  </si>
  <si>
    <t>Huỳnh Trung Hải</t>
  </si>
  <si>
    <t>11.5536537170, 106.1628723145</t>
  </si>
  <si>
    <t>11.5538053513, 106.1626815796</t>
  </si>
  <si>
    <t>MT2010.11078</t>
  </si>
  <si>
    <t>Mega Nha Trang</t>
  </si>
  <si>
    <t>Đường 23/10,thôn Võ Cạnh,xã Vĩnh Trung,thành phố Nha Trang,tỉnh Khánh Hòa</t>
  </si>
  <si>
    <t>ST-03F-2007</t>
  </si>
  <si>
    <t>Trần Thị Xị</t>
  </si>
  <si>
    <t>12.2575521469, 109.1341629028</t>
  </si>
  <si>
    <t>12.2575263977, 109.1341476440</t>
  </si>
  <si>
    <t>HH200210K8</t>
  </si>
  <si>
    <t>Lê Năm</t>
  </si>
  <si>
    <t>Tam Giang, Krông Năng, Đăk Lăk</t>
  </si>
  <si>
    <t>AL-12E-2010</t>
  </si>
  <si>
    <t>Nguyễn Thị Hương</t>
  </si>
  <si>
    <t>12.9176807404, 108.2635040283</t>
  </si>
  <si>
    <t>12.9627923965, 108.4161224365</t>
  </si>
  <si>
    <t>VC4001.39750</t>
  </si>
  <si>
    <t>VM VINCOM NAM LONG</t>
  </si>
  <si>
    <t>KĐT Nam Long,Số 71,Trần Trọng Cung,Phường Tân Thuận Đông,Quận 7,Tp HCM</t>
  </si>
  <si>
    <t>ST-06D-3008</t>
  </si>
  <si>
    <t>Nguyễn Quốc Thịnh</t>
  </si>
  <si>
    <t>10.7440299988, 106.7327880859</t>
  </si>
  <si>
    <t>MC1007.12670</t>
  </si>
  <si>
    <t>MINH CAU Số 1,Minh Cầu</t>
  </si>
  <si>
    <t>Số 1,Minh Cầu,P Phan Đình Phùng,Tp Thái Nguyên,Tỉnh Thái Nguyên</t>
  </si>
  <si>
    <t>ST-07C-1003</t>
  </si>
  <si>
    <t>Vũ Thị Bích Thùy</t>
  </si>
  <si>
    <t>21.5916004181, 105.8348999023</t>
  </si>
  <si>
    <t>21.5916500092, 105.8348617554</t>
  </si>
  <si>
    <t>DP5002101U</t>
  </si>
  <si>
    <t>Trần Hùng Thắng</t>
  </si>
  <si>
    <t>57, Chợ Giá Rai, Ấp 5, TT.Giá Rai, TX.Giá Rai, Bạc Liêu</t>
  </si>
  <si>
    <t>AL-04G-4006</t>
  </si>
  <si>
    <t>Trịnh Thị Vui</t>
  </si>
  <si>
    <t>9.2360982895, 105.4574813843</t>
  </si>
  <si>
    <t>9.2361040115, 105.4574737549</t>
  </si>
  <si>
    <t>PT40351EZL</t>
  </si>
  <si>
    <t>Shop Sữa Bảo Vy</t>
  </si>
  <si>
    <t>450, Tân Kỳ Tân Quý, 15, Tân Bình, HCM</t>
  </si>
  <si>
    <t>AL-03D-3034</t>
  </si>
  <si>
    <t>Vạn Thị Hoàng Mi</t>
  </si>
  <si>
    <t>10.7983446121, 106.6164093018</t>
  </si>
  <si>
    <t>KT201010OZ</t>
  </si>
  <si>
    <t>Chung Xuân</t>
  </si>
  <si>
    <t>Thôn 6, Nâm N Jang, Đắk Song, Đăk Nông</t>
  </si>
  <si>
    <t>AL-07F-2008</t>
  </si>
  <si>
    <t>Trần Thị Tâm</t>
  </si>
  <si>
    <t>12.1977739334, 107.5764083862</t>
  </si>
  <si>
    <t>12.1977748871, 107.5764007568</t>
  </si>
  <si>
    <t>LA5001109U</t>
  </si>
  <si>
    <t>Chị Thoa (Phi Long)</t>
  </si>
  <si>
    <t>1A, SƯƠNG NGUYệT áNH, P.2, TP.Tân An, Long An</t>
  </si>
  <si>
    <t>AL-05C-4005</t>
  </si>
  <si>
    <t>Võ Đặng Hoài Trang</t>
  </si>
  <si>
    <t>10.5425910950, 106.4008712769</t>
  </si>
  <si>
    <t>10.5426263809, 106.4008560181</t>
  </si>
  <si>
    <t>AE4004.30692</t>
  </si>
  <si>
    <t>AEON BINH TAN</t>
  </si>
  <si>
    <t>Số 1 đường số 17A,Khu Phố 11,P Bình Trị Đông B,Q Bình Tân,Tp HCM</t>
  </si>
  <si>
    <t>ST-06E-3002</t>
  </si>
  <si>
    <t>Hồng Nhật Hào</t>
  </si>
  <si>
    <t>10.7419729233, 106.6110839844</t>
  </si>
  <si>
    <t>10.7424268723, 106.6119995117</t>
  </si>
  <si>
    <t>LT4019.17297</t>
  </si>
  <si>
    <t>LOTTE TAN BINH</t>
  </si>
  <si>
    <t>Số 20 đường Cộng Hòa,Phường 12,Quận Tân Bình,Tp HCM</t>
  </si>
  <si>
    <t>ST-08D-3014</t>
  </si>
  <si>
    <t>Dương Minh Nhi</t>
  </si>
  <si>
    <t>10.8003883362, 106.6536788940</t>
  </si>
  <si>
    <t>10.8011026382, 106.6530075073</t>
  </si>
  <si>
    <t>NC4017182P</t>
  </si>
  <si>
    <t>Bảo Nam</t>
  </si>
  <si>
    <t>609, Phạm Văn Chiêu, 13, Gò Vấp, HCM</t>
  </si>
  <si>
    <t>AL-02G-3003</t>
  </si>
  <si>
    <t>Nguyễn Thị Hoa</t>
  </si>
  <si>
    <t>10.8534317017, 106.6631240845</t>
  </si>
  <si>
    <t>MP400213VR</t>
  </si>
  <si>
    <t>Hồng Anh</t>
  </si>
  <si>
    <t>D1/8, Quốc Lộ 1A, X Bình Chánh, Bình Chánh, HCM</t>
  </si>
  <si>
    <t>AL-07E-3017</t>
  </si>
  <si>
    <t>Hồng Kiều My</t>
  </si>
  <si>
    <t>10.6650505066, 106.5702896118</t>
  </si>
  <si>
    <t>10.6651144028, 106.5702896118</t>
  </si>
  <si>
    <t>HM2005118M</t>
  </si>
  <si>
    <t>Diện</t>
  </si>
  <si>
    <t>4 Đồng Kè, Hòa Khánh Bắc, Liên Chiểu, Đà Nẵng</t>
  </si>
  <si>
    <t>AL-05D-2001</t>
  </si>
  <si>
    <t>Dương Thị Thùy Vy</t>
  </si>
  <si>
    <t>16.0723304749, 108.1486129761</t>
  </si>
  <si>
    <t>Cty AA</t>
  </si>
  <si>
    <t>AA40031JF2</t>
  </si>
  <si>
    <t>Thúy Oanh 2</t>
  </si>
  <si>
    <t>39, Nguyễn Bình, Phú Xuân, Nhà Bè, HCM</t>
  </si>
  <si>
    <t>AL-04C-3007</t>
  </si>
  <si>
    <t>Huỳnh Ngọc Phượng</t>
  </si>
  <si>
    <t>10.6771154404, 106.7492294312</t>
  </si>
  <si>
    <t>CO4022.5071</t>
  </si>
  <si>
    <t>CM NGUYEN ANH THU</t>
  </si>
  <si>
    <t>Số 167/2 Nguyễn Ảnh Thủ, P Trung Mỹ Tây, Q 12, TP HCM</t>
  </si>
  <si>
    <t>ST-07C-3011</t>
  </si>
  <si>
    <t>Đinh Thị Trúc Ly</t>
  </si>
  <si>
    <t>10.8569059372, 106.6088485718</t>
  </si>
  <si>
    <t>10.8574781418, 106.6087951660</t>
  </si>
  <si>
    <t>ST-11F-3022</t>
  </si>
  <si>
    <t>Trần Văn Bảo</t>
  </si>
  <si>
    <t>10.8005352020, 106.7435531616</t>
  </si>
  <si>
    <t>10.8007316589, 106.7432861328</t>
  </si>
  <si>
    <t>Yen Bai</t>
  </si>
  <si>
    <t>VM1015.39508</t>
  </si>
  <si>
    <t>VM YEN BAI</t>
  </si>
  <si>
    <t>Tầng 2 TTTM Yên Bái đường Thành Công,P Nguyễn Thái Học,TP Yên Bái,T Yên Bái</t>
  </si>
  <si>
    <t>ST-08F-4002</t>
  </si>
  <si>
    <t>Lý Thị Huyền My</t>
  </si>
  <si>
    <t>21.7082328796, 104.8821563721</t>
  </si>
  <si>
    <t>21.7082595825, 104.8818511963</t>
  </si>
  <si>
    <t>TT2014114U</t>
  </si>
  <si>
    <t>KIM ANH</t>
  </si>
  <si>
    <t>290, Nguyễn Công Trứ, Phước Mỹ, Sơn Trà, Đà Nẵng</t>
  </si>
  <si>
    <t>AL-02C-2001</t>
  </si>
  <si>
    <t>Nguyễn Thị Mỹ Linh</t>
  </si>
  <si>
    <t>16h00 - 20h30</t>
  </si>
  <si>
    <t>16.0652198792, 108.2408981323</t>
  </si>
  <si>
    <t>KC10011028</t>
  </si>
  <si>
    <t>T-Mart 274</t>
  </si>
  <si>
    <t>274, Khương Đình,P.Khương Đình,Q.Thanh Xuân,Hà Nội</t>
  </si>
  <si>
    <t>20.9695873260, 105.8067092896</t>
  </si>
  <si>
    <t>HM2005105J</t>
  </si>
  <si>
    <t>Hồng</t>
  </si>
  <si>
    <t>51, Tôn Đản, Hòa An, Cẩm Lệ, Đà Nẵng</t>
  </si>
  <si>
    <t>AL-04A-2003</t>
  </si>
  <si>
    <t>Nguyễn Thị Hồng Bích</t>
  </si>
  <si>
    <t>16.0584716797, 108.1774291992</t>
  </si>
  <si>
    <t>CH-04A-4003</t>
  </si>
  <si>
    <t>Trần Thị Bích Trân</t>
  </si>
  <si>
    <t>10.0426139832, 105.7670745850</t>
  </si>
  <si>
    <t>10.0428256989, 105.7659835815</t>
  </si>
  <si>
    <t>HM2005139H</t>
  </si>
  <si>
    <t>Hiếu</t>
  </si>
  <si>
    <t>66, Ông Ích Đường, Hòa Thọ Đông , Cẩm Lệ, Đà Nẵng</t>
  </si>
  <si>
    <t>AL-08D-2001</t>
  </si>
  <si>
    <t>16.0160217285, 108.2049942017</t>
  </si>
  <si>
    <t>PT40351EQT</t>
  </si>
  <si>
    <t>210, Gò Dầu, Tân Sơn Nhì, Tân Phú, HCM</t>
  </si>
  <si>
    <t>AL-04A-3121</t>
  </si>
  <si>
    <t>Phan Thị Quỳnh Giao</t>
  </si>
  <si>
    <t>10.7958774567, 106.6195831299</t>
  </si>
  <si>
    <t>10.7958869934, 106.6195602417</t>
  </si>
  <si>
    <t>DP50021093</t>
  </si>
  <si>
    <t>Tuyền Phố</t>
  </si>
  <si>
    <t>0, Nhà Lồng Chợ Kinh Tư, ấp Diêm Điền, X.Điền Hải, H.Đông Hải, Bạc Liêu</t>
  </si>
  <si>
    <t>AL-06F-4010</t>
  </si>
  <si>
    <t>Lâm Huyền Linh</t>
  </si>
  <si>
    <t>9.1319522858, 105.4898605347</t>
  </si>
  <si>
    <t>9.1318979263, 105.4898757935</t>
  </si>
  <si>
    <t>HN5001114P</t>
  </si>
  <si>
    <t>CH TM Hoàng Ngân</t>
  </si>
  <si>
    <t>427, Hùng Vương_K2, P.1, TX.Sa Đéc, Đồng Tháp</t>
  </si>
  <si>
    <t>AL-08C-4056</t>
  </si>
  <si>
    <t>Đặng Hải My</t>
  </si>
  <si>
    <t>10.2960948944, 105.7650222778</t>
  </si>
  <si>
    <t>DD2008.41777</t>
  </si>
  <si>
    <t>VM HA TINH</t>
  </si>
  <si>
    <t>Tầng 2, TTCM Vincom Hà Tĩnh, Góc Ngã Tư, đường Hà Huy Tập, Phường Hà Huy Tập, Thành phố Hà Tĩnh, TỈnh Hà Tĩnh</t>
  </si>
  <si>
    <t>ST-04A-1066</t>
  </si>
  <si>
    <t>Đặng Thị Hoài</t>
  </si>
  <si>
    <t>18.3369808197, 105.8957901001</t>
  </si>
  <si>
    <t>18.3377685547, 105.8954620361</t>
  </si>
  <si>
    <t>HH200218ZZ</t>
  </si>
  <si>
    <t>Phượng Lân</t>
  </si>
  <si>
    <t>Thôn Giang Hưng, Tam Giang, Krông Năng, Đăk Lăk</t>
  </si>
  <si>
    <t>AL-07E-2006</t>
  </si>
  <si>
    <t>Nguyễn Thị Hồng Sa</t>
  </si>
  <si>
    <t>12.9622793198, 108.4167098999</t>
  </si>
  <si>
    <t>12.9622230530, 108.4166717529</t>
  </si>
  <si>
    <t>PT200116RN</t>
  </si>
  <si>
    <t>Giao Vân</t>
  </si>
  <si>
    <t>74, Thái Thị Bôi, Chính Gián, Thanh Khê, Đà Nẵng</t>
  </si>
  <si>
    <t>AL-12F-2002</t>
  </si>
  <si>
    <t>Hà Thị Ngọc Trinh</t>
  </si>
  <si>
    <t>16.0683975220, 108.1994323730</t>
  </si>
  <si>
    <t>Trúc Nguyên</t>
  </si>
  <si>
    <t>TN3010119K</t>
  </si>
  <si>
    <t>Dung Hà</t>
  </si>
  <si>
    <t>3A , Lê Lợi, Kinh Dinh, Phan Rang - Tháp Chàm, Ninh Thuận</t>
  </si>
  <si>
    <t>AL-12C-2002</t>
  </si>
  <si>
    <t>Nguyễn Thị Tường Vi</t>
  </si>
  <si>
    <t>11.5628623962, 108.9905853271</t>
  </si>
  <si>
    <t>TC40021GIK</t>
  </si>
  <si>
    <t>60/1B,Trần Văn Mười,X Xuân Thới Đông,Hóc Môn,</t>
  </si>
  <si>
    <t>AL-06A-3007</t>
  </si>
  <si>
    <t>Trần Anh Khoa</t>
  </si>
  <si>
    <t>10.8686304092, 106.5898971558</t>
  </si>
  <si>
    <t>KT3006102E</t>
  </si>
  <si>
    <t>Minh Tuấn</t>
  </si>
  <si>
    <t>30A, Đồng Khởi, Trảng Dài, Biên Hòa, Đồng Nai</t>
  </si>
  <si>
    <t>AL-04A-3152</t>
  </si>
  <si>
    <t>Ngô Thị Kim Thơ</t>
  </si>
  <si>
    <t>10.9720859528, 106.8529357910</t>
  </si>
  <si>
    <t>TC40021GKE</t>
  </si>
  <si>
    <t>Thảo Nguyên 2</t>
  </si>
  <si>
    <t>45/1B, Phan Văn Hớn, X.Xuân Thới Thượng, Hóc Môn, HCM</t>
  </si>
  <si>
    <t>AL-03E-3009</t>
  </si>
  <si>
    <t>Nguyễn Văn Việt</t>
  </si>
  <si>
    <t>10.8486375809, 106.5891723633</t>
  </si>
  <si>
    <t>10.8486585617, 106.5891571045</t>
  </si>
  <si>
    <t>CO4047.5096</t>
  </si>
  <si>
    <t>CM TAY NINH</t>
  </si>
  <si>
    <t>Số 576 Cách Mạng Tháng Tám, P 3, Tp Tây Ninh, T Tây Ninh</t>
  </si>
  <si>
    <t>11.3080253601, 106.1086959839</t>
  </si>
  <si>
    <t>11.3079872131, 106.1086578369</t>
  </si>
  <si>
    <t>HU500112DG</t>
  </si>
  <si>
    <t>Minh Phong</t>
  </si>
  <si>
    <t>95, Khóm 2, Trần Hưng Đạo, TT.Tri Tôn, H.Tri Tôn, An Giang</t>
  </si>
  <si>
    <t>AL-06B-4003</t>
  </si>
  <si>
    <t>Trương Thị Thùy Dương</t>
  </si>
  <si>
    <t>10.4222211838, 105.0007934570</t>
  </si>
  <si>
    <t>TD30011005</t>
  </si>
  <si>
    <t>Tuấn Mỹ</t>
  </si>
  <si>
    <t>Tổ 2, Khu Phước Hải, Long Thành, Long Thành, Đồng Nai</t>
  </si>
  <si>
    <t>AL-03G-3005</t>
  </si>
  <si>
    <t>Phạm Bùi Thế Quyền</t>
  </si>
  <si>
    <t>15h30 - 19h30</t>
  </si>
  <si>
    <t>10.7920579910, 106.9475173950</t>
  </si>
  <si>
    <t>EB4001.108680</t>
  </si>
  <si>
    <t>BigC BMT</t>
  </si>
  <si>
    <t xml:space="preserve">TTTM Buôn Ma Thuột, góc đường Nguyễn Thị Định và đường vành đai Phía Tây, P  Thành Nhất, TP  Buôn Ma Thuột, Tỉnh Đắk Lắk</t>
  </si>
  <si>
    <t>10.7880582809, 106.6995010376</t>
  </si>
  <si>
    <t>10.7880535126, 106.6995086670</t>
  </si>
  <si>
    <t>MK20021UST</t>
  </si>
  <si>
    <t>26, Phương Sài, Nha Trang, Khánh Hòa</t>
  </si>
  <si>
    <t>AL-04G-2002</t>
  </si>
  <si>
    <t>Võ Thị Thanh Liêm</t>
  </si>
  <si>
    <t>12.2564325333, 109.1834487915</t>
  </si>
  <si>
    <t>NC40171JA2</t>
  </si>
  <si>
    <t>Thảo Nguyên</t>
  </si>
  <si>
    <t>230, Phan Văn Hớn, Tân Thới Nhất, 12, HCM</t>
  </si>
  <si>
    <t>AL-05D-3022</t>
  </si>
  <si>
    <t>Trịnh Trần Phương Trinh</t>
  </si>
  <si>
    <t>10.8312845230, 106.6122817993</t>
  </si>
  <si>
    <t>TB101211VJ</t>
  </si>
  <si>
    <t>Bình Lý</t>
  </si>
  <si>
    <t>81, Nghĩa Dũng, Phúc Xá, Ba Đình, Hà Nội</t>
  </si>
  <si>
    <t>AL-07C-1004</t>
  </si>
  <si>
    <t>Lê Thanh Huyền</t>
  </si>
  <si>
    <t>21.0472259521, 105.8479080200</t>
  </si>
  <si>
    <t>TD500324SR</t>
  </si>
  <si>
    <t>Phương Phương</t>
  </si>
  <si>
    <t>74/7A, Nguyễn Trải Cái Răng, P.Lê Bình, Q.Cái Răng, Cần Thơ</t>
  </si>
  <si>
    <t>AL-11F-4003</t>
  </si>
  <si>
    <t>Trần Ngọc Khuyên</t>
  </si>
  <si>
    <t>10.0034971237, 105.7515182495</t>
  </si>
  <si>
    <t>10.0034780502, 105.7515335083</t>
  </si>
  <si>
    <t>NC4017108B</t>
  </si>
  <si>
    <t>TH Kim Thoa</t>
  </si>
  <si>
    <t>43H, Nguyễn Ảnh Thủ, Hiệp Thành, 12, HCM</t>
  </si>
  <si>
    <t>AL-12A-3003</t>
  </si>
  <si>
    <t>Trần Thị Mỹ Nhành</t>
  </si>
  <si>
    <t>10.8796606064, 106.6359863281</t>
  </si>
  <si>
    <t>KG40031RKM</t>
  </si>
  <si>
    <t xml:space="preserve">BaBy  Shark</t>
  </si>
  <si>
    <t>264, Lê Văn Thịnh, Cát Lái, 2, HCM</t>
  </si>
  <si>
    <t>AL-04G-3007</t>
  </si>
  <si>
    <t>Trần Quang Trưởng</t>
  </si>
  <si>
    <t>10.7769622803, 106.7660751343</t>
  </si>
  <si>
    <t>SG4040.30985</t>
  </si>
  <si>
    <t>SF PHAM T HIEN</t>
  </si>
  <si>
    <t xml:space="preserve">803-805 Phạm Thế Hiển, Phường 4, Quận 8, Tp  HCM</t>
  </si>
  <si>
    <t>10.7441463470, 106.6739425659</t>
  </si>
  <si>
    <t>10.7441110611, 106.6739654541</t>
  </si>
  <si>
    <t>MP40021IJ4</t>
  </si>
  <si>
    <t>Mẹ và Bé Dễ Thương</t>
  </si>
  <si>
    <t>506/20, Ấp 1 , An Phú Tây, X An Phú Tây, Bình Chánh, HCM</t>
  </si>
  <si>
    <t>AL-09E-3005</t>
  </si>
  <si>
    <t>Huỳnh Thị Thanh Trúc</t>
  </si>
  <si>
    <t>10.6804504395, 106.6139068604</t>
  </si>
  <si>
    <t>Cty CP ĐTXD &amp; TMDV Kim Anh (1)</t>
  </si>
  <si>
    <t>KA500314T5</t>
  </si>
  <si>
    <t>Quách Hôn</t>
  </si>
  <si>
    <t>0, Chợ Nhà Phấn, X.Thạnh Phú, H.Cái Nước, Cà Mau</t>
  </si>
  <si>
    <t>AL-04F-4002</t>
  </si>
  <si>
    <t>Chung Hằng Mơ</t>
  </si>
  <si>
    <t>9.1110315323, 105.1002044678</t>
  </si>
  <si>
    <t>9.1110496521, 105.1002044678</t>
  </si>
  <si>
    <t>TL40041AQ1</t>
  </si>
  <si>
    <t>Tiến Nghi</t>
  </si>
  <si>
    <t>56, Đường 25, Tân Quy, 7, HCM</t>
  </si>
  <si>
    <t>AL-04A-3089</t>
  </si>
  <si>
    <t>Phạm Thị Bích Ngọc</t>
  </si>
  <si>
    <t>10.7435369492, 106.7101821899</t>
  </si>
  <si>
    <t>ST-03D-3004</t>
  </si>
  <si>
    <t>Trương Thị Cẩm Hồng</t>
  </si>
  <si>
    <t>11.3080902100, 106.1087493896</t>
  </si>
  <si>
    <t>11.3080062866, 106.1087493896</t>
  </si>
  <si>
    <t>DP5002108P</t>
  </si>
  <si>
    <t>Như Hải</t>
  </si>
  <si>
    <t>0, Ngang Tin Lành, Quốc Lộ 1A, P.Hộ Phòng, TX.Giá Rai, Bạc Liêu</t>
  </si>
  <si>
    <t>AL-12F-4002</t>
  </si>
  <si>
    <t>Trần Thùy Trang</t>
  </si>
  <si>
    <t>9.2273359299, 105.4154129028</t>
  </si>
  <si>
    <t>PT40351EGO</t>
  </si>
  <si>
    <t>Kim Yến (Gia My)</t>
  </si>
  <si>
    <t>181, Lũy Bán Bích, Hiệp Tân, Tân Phú, HCM</t>
  </si>
  <si>
    <t>AL-04G-3010</t>
  </si>
  <si>
    <t>Huỳnh Bảo Trân</t>
  </si>
  <si>
    <t>10.7688531876, 106.6317749023</t>
  </si>
  <si>
    <t>XH4001.113758</t>
  </si>
  <si>
    <t>BHX E9/11-9E/11A Thới Hòa</t>
  </si>
  <si>
    <t>E9/11-9E/11A Thới Hòa, Ấp 5, Xã Vĩnh Lộc A , Huyện Bình Chánh , TP HCM</t>
  </si>
  <si>
    <t>10.8288993835, 106.5846939087</t>
  </si>
  <si>
    <t>10.8288898468, 106.5847015381</t>
  </si>
  <si>
    <t>SH500417LX</t>
  </si>
  <si>
    <t>Trúc Ly</t>
  </si>
  <si>
    <t>159/1, Đinh Tiên Hoàng, P.Châu Văn Liêm, Q.Ô Môn, Cần Thơ</t>
  </si>
  <si>
    <t>AL-09F-4002</t>
  </si>
  <si>
    <t>Ngô Như Quỳnh</t>
  </si>
  <si>
    <t>10.1154584885, 105.6216735840</t>
  </si>
  <si>
    <t>TT20141017</t>
  </si>
  <si>
    <t>SƠN LỆ</t>
  </si>
  <si>
    <t>11, Nguyễn Duy Hiệu, An Hải Đông, Sơn Trà, Đà Nẵng</t>
  </si>
  <si>
    <t>AL-04F-2006</t>
  </si>
  <si>
    <t>Huỳnh Thị Tú Yên</t>
  </si>
  <si>
    <t>16.0552120209, 108.2373504639</t>
  </si>
  <si>
    <t>VM1009.82313</t>
  </si>
  <si>
    <t>HNI_48_NGO_99_DUC_GIANG</t>
  </si>
  <si>
    <t xml:space="preserve">48 ngõ 99 Đức Giang, P  Thượng Thanh, Q  Long Biên, TP  Hà Nội</t>
  </si>
  <si>
    <t>21.0664901733, 105.8827972412</t>
  </si>
  <si>
    <t>21.0665912628, 105.8831634521</t>
  </si>
  <si>
    <t>Thúy Diệu</t>
  </si>
  <si>
    <t>TD300113RV</t>
  </si>
  <si>
    <t>Vinh Quang</t>
  </si>
  <si>
    <t>406, Đường 25A, Tổ 17, Ấp Bến Sắn, Phước Thiền, Nhơn Trạch, Đồng Nai</t>
  </si>
  <si>
    <t>AL-04A-3155</t>
  </si>
  <si>
    <t>Nguyễn Ngọc Thuận</t>
  </si>
  <si>
    <t>10.7579860687, 106.9285659790</t>
  </si>
  <si>
    <t>VM1009.73651</t>
  </si>
  <si>
    <t>VMP_HNI_109_NGUYEN_TUAN</t>
  </si>
  <si>
    <t xml:space="preserve">Lô 1C, Tầng 1, Tòa nhà The Legend , 109 Phố Nguyễn Tuân, phường Nhân Chính, quận Thanh Xuân, Thành phố Hà Nội </t>
  </si>
  <si>
    <t>20.9923686981, 105.8079071045</t>
  </si>
  <si>
    <t>20.9924449921, 105.8078689575</t>
  </si>
  <si>
    <t>Trường Vân</t>
  </si>
  <si>
    <t>TV2002101M</t>
  </si>
  <si>
    <t>Chị Tậm</t>
  </si>
  <si>
    <t>270, Trần Quý Cáp, Ninh Hòa, Khánh Hòa</t>
  </si>
  <si>
    <t>AL-04A-2092</t>
  </si>
  <si>
    <t>Nguyễn Thị Thanh Thảo</t>
  </si>
  <si>
    <t>12.4932298660, 109.1275405884</t>
  </si>
  <si>
    <t>DP30071091</t>
  </si>
  <si>
    <t>Kim Huyền</t>
  </si>
  <si>
    <t>1A/10, KP Nhị Đồng, Dĩ An, Dĩ An, Bình Dương</t>
  </si>
  <si>
    <t>AL-10A-3005</t>
  </si>
  <si>
    <t>Lê Thị Thái</t>
  </si>
  <si>
    <t>10.9051790237, 106.7568435669</t>
  </si>
  <si>
    <t>XH4001.112755</t>
  </si>
  <si>
    <t>BHX Số 183 ấp 6</t>
  </si>
  <si>
    <t>Số 183 ấp 6, Xã Tân Hiệp, Huyện Long Thành, Tỉnh Đồng Nai</t>
  </si>
  <si>
    <t>10.6886987686, 107.0421142578</t>
  </si>
  <si>
    <t>10.6886692047, 107.0421447754</t>
  </si>
  <si>
    <t>KG40031RKC</t>
  </si>
  <si>
    <t>Siêu thị Khaisan Foods 1, Đường số 104 Khu Thương Mại B2.1H Đảo Kim Cương, Đường số 104 Khu Thương Mại B2.1H Đảo Kim Cương</t>
  </si>
  <si>
    <t>1, Đường số 104 Khu Thương Mại B2.1H Đảo Kim Cương, P.Bình Trưng Tây, Q.2, Hồ Chí Minh</t>
  </si>
  <si>
    <t>10.7780036926, 106.7464904785</t>
  </si>
  <si>
    <t>10.7783670425, 106.7461395264</t>
  </si>
  <si>
    <t>VI2016.90629</t>
  </si>
  <si>
    <t>VMP_QNI_776_QUANG_TRUNG</t>
  </si>
  <si>
    <t xml:space="preserve">776 Quang Trung, Phường Chánh Lộ, TP  Quảng Ngãi, Tỉnh Quảng Ngãi</t>
  </si>
  <si>
    <t>ST-12D-2001</t>
  </si>
  <si>
    <t>Nguyễn Thị Toàn</t>
  </si>
  <si>
    <t>13h30 - 17h30</t>
  </si>
  <si>
    <t>15.1139507294, 108.8082580566</t>
  </si>
  <si>
    <t>CO1006.63079</t>
  </si>
  <si>
    <t>CO_OPMART_VIETTRI</t>
  </si>
  <si>
    <t xml:space="preserve">1606A Đường Hùng Vương, P  Gia Cẩm, TP  Việt Trì  T  Phú Thọ</t>
  </si>
  <si>
    <t>ST-04A-1043</t>
  </si>
  <si>
    <t>Hoàng Thị Ngọc Ánh</t>
  </si>
  <si>
    <t>21.3213367462, 105.3856887817</t>
  </si>
  <si>
    <t>21.3213100433, 105.3857345581</t>
  </si>
  <si>
    <t>TN101117UT</t>
  </si>
  <si>
    <t>Bảo Long</t>
  </si>
  <si>
    <t>Xóm 2, Quỳnh Đô, Vĩnh Quỳnh, Thanh Trì, Hà Nội</t>
  </si>
  <si>
    <t>AL-05G-1009</t>
  </si>
  <si>
    <t>Phạm Thị Hồng Phượng</t>
  </si>
  <si>
    <t>10.7880659103, 106.6994934082</t>
  </si>
  <si>
    <t>NC4017100H</t>
  </si>
  <si>
    <t>Thanh Loan</t>
  </si>
  <si>
    <t>157B, Thạnh Xuân 21, Thạnh Xuân, 12, HCM</t>
  </si>
  <si>
    <t>AL-03D-3027</t>
  </si>
  <si>
    <t>Trần Thị Thu Hương</t>
  </si>
  <si>
    <t>10.8642072678, 106.6678085327</t>
  </si>
  <si>
    <t>TS2002102D</t>
  </si>
  <si>
    <t>Diệp Xuân</t>
  </si>
  <si>
    <t>180, Quang Trung, Phú Phong, Tây Sơn, Bình Định</t>
  </si>
  <si>
    <t>AL-11C-2001</t>
  </si>
  <si>
    <t>Nguyễn Thị Thanh Loan</t>
  </si>
  <si>
    <t>13.9090681076, 108.9158477783</t>
  </si>
  <si>
    <t>MP40021JAN</t>
  </si>
  <si>
    <t>Siêu thị GS-25 Số 53, đường số 9A</t>
  </si>
  <si>
    <t>Số 53, đường số 9A, KDC Trung Sơn, X.Bình Hưng, H.Bình Chánh, Hồ Chí Minh</t>
  </si>
  <si>
    <t>10.7387056351, 106.6895294189</t>
  </si>
  <si>
    <t>VI4001.53680</t>
  </si>
  <si>
    <t>VMP_HCM_64_66_HUYNH_T_LOC</t>
  </si>
  <si>
    <t>64-66 Huỳnh Thiện Lộc, Phường Hòa Thạnh, Quận Tân Phú, TPHCM</t>
  </si>
  <si>
    <t>10.7800483704, 106.6378250122</t>
  </si>
  <si>
    <t>10.7799186707, 106.6378173828</t>
  </si>
  <si>
    <t>DL2004118K</t>
  </si>
  <si>
    <t>Ngọc Khánh 2</t>
  </si>
  <si>
    <t>189A Phan Bội Châu, P.Thống Nhất, TP.Buôn Ma Thuột, Đăk Lăk</t>
  </si>
  <si>
    <t>AL-12F-2010</t>
  </si>
  <si>
    <t>Hoàng Ngọc Mỹ Tiên</t>
  </si>
  <si>
    <t>12.6824579239, 108.0363311768</t>
  </si>
  <si>
    <t>TH5029108N</t>
  </si>
  <si>
    <t>Đào Nguyên</t>
  </si>
  <si>
    <t>19, Võ Thị Sáu, P.3, TP.Bạc Liêu, Bạc Liêu</t>
  </si>
  <si>
    <t>AL-06E-4009</t>
  </si>
  <si>
    <t>Huỳnh Cúc Huỳnh</t>
  </si>
  <si>
    <t>16h00 - 21h00</t>
  </si>
  <si>
    <t>9.2846364975, 105.7214202881</t>
  </si>
  <si>
    <t>VI4001.78555</t>
  </si>
  <si>
    <t>VMP_HCM_002_CC_SUNRISE</t>
  </si>
  <si>
    <t>002 Tầng trệt Block V4, Sunrise City- South, 23 Nguyễn Hữu Thọ, PhườngTân Hưng, Quận 7, TPHCM</t>
  </si>
  <si>
    <t>10.7227392197, 106.7036819458</t>
  </si>
  <si>
    <t>10.7227458954, 106.7036895752</t>
  </si>
  <si>
    <t>VM1009.27929</t>
  </si>
  <si>
    <t>VM 232 KHUONG DINH</t>
  </si>
  <si>
    <t>Số 232 Khương Đình, phường Hạ Đình, quận Thanh Xuân, Hà Nội</t>
  </si>
  <si>
    <t>20.9923133850, 105.8078613281</t>
  </si>
  <si>
    <t>20.9924125671, 105.8077850342</t>
  </si>
  <si>
    <t>XH4001.81236</t>
  </si>
  <si>
    <t>BHX Thửa đất số 43;54</t>
  </si>
  <si>
    <t>Thửa đất số 43;54, tờ bản đồ số 37, đường ĐT741, khu phố 3, phường Thác Mơ, thị xã Phước Long, tỉnh Bình Phước</t>
  </si>
  <si>
    <t>11.8399257660, 106.9972686768</t>
  </si>
  <si>
    <t>11.8399381638, 106.9972457886</t>
  </si>
  <si>
    <t>XH4001.36958</t>
  </si>
  <si>
    <t>BHX 869 Hương Lộ 2</t>
  </si>
  <si>
    <t>869 Hương Lộ 2,Phường Bình Trị Đông A,Quận Bình Tân,Tp HCM</t>
  </si>
  <si>
    <t>ST-08C-3015</t>
  </si>
  <si>
    <t>Đạt Nữ Yến Lê</t>
  </si>
  <si>
    <t>10.7667903900, 106.5994873047</t>
  </si>
  <si>
    <t>PT40351P98</t>
  </si>
  <si>
    <t>Cửa Hàng Sữa</t>
  </si>
  <si>
    <t>255, Tây Thạnh, 3, Tân Phú, HCM</t>
  </si>
  <si>
    <t>AL-12F-3003</t>
  </si>
  <si>
    <t>Nguyễn Thị Hoài Phi</t>
  </si>
  <si>
    <t>10.8120870590, 106.6217880249</t>
  </si>
  <si>
    <t>10.7898693085, 106.7765884399</t>
  </si>
  <si>
    <t>10.7898483276, 106.7766342163</t>
  </si>
  <si>
    <t>KA500314GX</t>
  </si>
  <si>
    <t>CH BH Tự chọn Tuyết Như 2</t>
  </si>
  <si>
    <t>0, Nguyễn Trãi (Cặp KS Best), P.9, TP.Cà Mau, Cà Mau</t>
  </si>
  <si>
    <t>AL-04A-4028</t>
  </si>
  <si>
    <t>Phạm Thị Trẻ</t>
  </si>
  <si>
    <t>9.2017354965, 105.1614227295</t>
  </si>
  <si>
    <t>TC40021GFS</t>
  </si>
  <si>
    <t>Anh Dung</t>
  </si>
  <si>
    <t>18A1, Nguyen Van Bua, ap 2, X Xuan Thoi Son, Hoc Mon, HCM</t>
  </si>
  <si>
    <t>AL-07D-3005</t>
  </si>
  <si>
    <t>Hà Thủy Phụng</t>
  </si>
  <si>
    <t>10.8792381287, 106.5815277100</t>
  </si>
  <si>
    <t>10.8792161942, 106.5815200806</t>
  </si>
  <si>
    <t>MT2008.6354</t>
  </si>
  <si>
    <t>Mega QUY NHON</t>
  </si>
  <si>
    <t>Quốc lộ 1D,Tổ 24,Khu vực 5,Phường Ghềnh Ráng,TP Quy Nhơn,Tỉnh Bình Định</t>
  </si>
  <si>
    <t>13.7531948090, 109.2070770264</t>
  </si>
  <si>
    <t>13.7530069351, 109.2068557739</t>
  </si>
  <si>
    <t>MK40021QUP</t>
  </si>
  <si>
    <t>Thanh Hiền</t>
  </si>
  <si>
    <t>66, Trần Văn Quang, 10, Tân Bình, HCM</t>
  </si>
  <si>
    <t>AL-04A-3018</t>
  </si>
  <si>
    <t>Nguyễn Đào Thanh Thủy</t>
  </si>
  <si>
    <t>10.7796716690, 106.6478729248</t>
  </si>
  <si>
    <t>MK20021V60</t>
  </si>
  <si>
    <t>165, Hoàng Văn Thụ, Nha Trang, Khánh Hòa</t>
  </si>
  <si>
    <t>AL-04E-2009</t>
  </si>
  <si>
    <t>Ngô Thị Xuân Hồng</t>
  </si>
  <si>
    <t>12.2505674362, 109.1875228882</t>
  </si>
  <si>
    <t>SG4040.31053</t>
  </si>
  <si>
    <t>SF DUONG 1</t>
  </si>
  <si>
    <t xml:space="preserve">101A-103 Đường số 1, phường Bình Hưng Hòa A, Quận Bình Tân , Tp  HCM</t>
  </si>
  <si>
    <t>10.7802886963, 106.6165466309</t>
  </si>
  <si>
    <t>10.7802848816, 106.6165466309</t>
  </si>
  <si>
    <t>DP3007109V</t>
  </si>
  <si>
    <t>Hồ Anh</t>
  </si>
  <si>
    <t>106C/23, Trần Hưng Đạo, Đông Hòa, Dĩ An, Bình Dương</t>
  </si>
  <si>
    <t>AL-07E-3003</t>
  </si>
  <si>
    <t>Nguyễn Trung Thông</t>
  </si>
  <si>
    <t>10.8912172318, 106.7847671509</t>
  </si>
  <si>
    <t>21.0031185150, 105.8166275024</t>
  </si>
  <si>
    <t>21.0030269623, 105.8166503906</t>
  </si>
  <si>
    <t>LO5001139I</t>
  </si>
  <si>
    <t>Shop 62</t>
  </si>
  <si>
    <t>62, Nguyễn Trung Trực, P.Vĩnh Bảo, TP.Rạch Giá, Kiên Giang</t>
  </si>
  <si>
    <t>AL-09C-4004</t>
  </si>
  <si>
    <t>Danh Thị Kiều Loan</t>
  </si>
  <si>
    <t>10.0057964325, 105.0859680176</t>
  </si>
  <si>
    <t>MP40021GUX</t>
  </si>
  <si>
    <t>Nguyễn Thị Ái (Cô Tâm)</t>
  </si>
  <si>
    <t>22, Đường số 3, Bình Hưng Hòa A, Bình Tân, HCM</t>
  </si>
  <si>
    <t>AL-04F-3009</t>
  </si>
  <si>
    <t>Nguyễn Đỗ Kiều Oanh</t>
  </si>
  <si>
    <t>10.7835111618, 106.6180725098</t>
  </si>
  <si>
    <t>NC401717QS</t>
  </si>
  <si>
    <t>Quốc Toàn</t>
  </si>
  <si>
    <t>9, Lê Thị Hồng, 17, Gò Vấp, HCM</t>
  </si>
  <si>
    <t>AL-04D-3012</t>
  </si>
  <si>
    <t>Nguyễn Đào Quỳnh Như</t>
  </si>
  <si>
    <t>10.8320703506, 106.6776275635</t>
  </si>
  <si>
    <t>TC40021GCD</t>
  </si>
  <si>
    <t>Khánh Linh</t>
  </si>
  <si>
    <t xml:space="preserve">24/10, Nguyễn  Ảnh Thủ, X Bà Điểm, Hóc Môn, HCM</t>
  </si>
  <si>
    <t>AL-03G-3006</t>
  </si>
  <si>
    <t>Huỳnh Nguyễn Phúc Thiện</t>
  </si>
  <si>
    <t>10.8441810608, 106.5999145508</t>
  </si>
  <si>
    <t>KC10011072</t>
  </si>
  <si>
    <t>Circle K 73</t>
  </si>
  <si>
    <t>73, Phố Chùa Láng,P.Láng Thượng,Q.Đống Đa,Hà Nội</t>
  </si>
  <si>
    <t>21.0235080719, 105.8061370850</t>
  </si>
  <si>
    <t>21.0235137939, 105.8061599731</t>
  </si>
  <si>
    <t>HD30011491</t>
  </si>
  <si>
    <t>Khánh Ngân</t>
  </si>
  <si>
    <t>Ngã 4 quốc tế Trương Quyền, 1, Tp.Tây Ninh, Tây Ninh</t>
  </si>
  <si>
    <t>AL-05G-3001</t>
  </si>
  <si>
    <t>11.3100709915, 106.0864028931</t>
  </si>
  <si>
    <t>XH4001.87736</t>
  </si>
  <si>
    <t>BHX Thửa đất số 136-137-138-139-140, Tờ bản đồ số 24</t>
  </si>
  <si>
    <t xml:space="preserve">Thửa đất số 136-137-138-139-140, Tờ bản đồ số 24, Đường QL60, Ấp Hội Yên, TT  Mỏ Cày, H  Mỏ Cày Nam, T  Bến Tre</t>
  </si>
  <si>
    <t>ST-04A-4024</t>
  </si>
  <si>
    <t>Lê Văn Đạt</t>
  </si>
  <si>
    <t>10.0395803452, 106.3797988892</t>
  </si>
  <si>
    <t>10.0395698547, 106.3797531128</t>
  </si>
  <si>
    <t>PT403513BF</t>
  </si>
  <si>
    <t>Ngọc Tuyết</t>
  </si>
  <si>
    <t>24/3A, Trần Thái Tông, 15, Tân Bình, HCM</t>
  </si>
  <si>
    <t>AL-09C-3016</t>
  </si>
  <si>
    <t>Nguyễn Huỳnh Phương Duyên</t>
  </si>
  <si>
    <t>10.8197460175, 106.6309890747</t>
  </si>
  <si>
    <t>VI2009.50999</t>
  </si>
  <si>
    <t>Vinmart Plus 184 Dã Tượng, Phường Vĩnh Nguyên</t>
  </si>
  <si>
    <t>184 Dã Tượng, Phường Vĩnh Nguyên, TP Nha Trang</t>
  </si>
  <si>
    <t>ST-03F-2009</t>
  </si>
  <si>
    <t>Đinh Thị Ngọc Thảo</t>
  </si>
  <si>
    <t>12.2127590179, 109.1955184937</t>
  </si>
  <si>
    <t>VI3002.31132</t>
  </si>
  <si>
    <t>VM 42 VU HONG PHO</t>
  </si>
  <si>
    <t>42 Vũ Hồng Phô, Phường Bình Đa, TP Biên Hoà, Tỉnh Đồng Nai</t>
  </si>
  <si>
    <t>10.9325551987, 106.8646926880</t>
  </si>
  <si>
    <t>10.9324827194, 106.8647460938</t>
  </si>
  <si>
    <t>EB4001.14026</t>
  </si>
  <si>
    <t>BIG C VINH PHUC</t>
  </si>
  <si>
    <t>TTTM Vĩnh Phúc,P Khai Quang , TP VĩnhYên, T VĩnhPhúc</t>
  </si>
  <si>
    <t>ST-04A-1040</t>
  </si>
  <si>
    <t>Hoàng Thị Hương</t>
  </si>
  <si>
    <t>21.2945442200, 105.6288681030</t>
  </si>
  <si>
    <t>21.2943744659, 105.6304397583</t>
  </si>
  <si>
    <t>EB4001.13972</t>
  </si>
  <si>
    <t>BIG C THANH HOÁ</t>
  </si>
  <si>
    <t>Xã Đông Hải, Tp Thanh Hóa, Tỉnh Thanh Hóa</t>
  </si>
  <si>
    <t>CH-04A-1043</t>
  </si>
  <si>
    <t>Lê Thị Yến</t>
  </si>
  <si>
    <t>19.8062286377, 105.8030395508</t>
  </si>
  <si>
    <t>19.8055477142, 105.8031158447</t>
  </si>
  <si>
    <t>DL50021015</t>
  </si>
  <si>
    <t>Thành Phương</t>
  </si>
  <si>
    <t>0, Chợ Năm Căn, TT.Năm Căn, H.Năm Căn, Cà Mau</t>
  </si>
  <si>
    <t>AL-06A-4004</t>
  </si>
  <si>
    <t>Nguyễn Thị Phương Anh</t>
  </si>
  <si>
    <t>8.7595777512, 104.9919967651</t>
  </si>
  <si>
    <t>DT5012152T</t>
  </si>
  <si>
    <t>Kim Ánh</t>
  </si>
  <si>
    <t>553/15, Hà Hoàng Hổ, P.Đông Xuyên, TP.Long Xuyên, An Giang</t>
  </si>
  <si>
    <t>AL-05G-4004</t>
  </si>
  <si>
    <t>Nguyễn Thị Kim Sang</t>
  </si>
  <si>
    <t>10.3777885437, 105.4289245605</t>
  </si>
  <si>
    <t>VM1009.38215</t>
  </si>
  <si>
    <t>VM 464 H C CHAT</t>
  </si>
  <si>
    <t>464 Hoàng Công Chất, Phường Phú Diễn, Quận Bắc Từ Liêm, Hà Nội</t>
  </si>
  <si>
    <t>21.0484867096, 105.7693634033</t>
  </si>
  <si>
    <t>21.0485076904, 105.7692642212</t>
  </si>
  <si>
    <t>DP300710BG</t>
  </si>
  <si>
    <t>Ngọc Hiếu</t>
  </si>
  <si>
    <t>206/7A, Chiêu Liêu, Tân Đông Hiệp, Dĩ An, Bình Dương</t>
  </si>
  <si>
    <t>AL-03F-3013</t>
  </si>
  <si>
    <t>Đoàn Thị Chúc Mai</t>
  </si>
  <si>
    <t>10.9247922897, 106.7570037842</t>
  </si>
  <si>
    <t>VI2009.64589</t>
  </si>
  <si>
    <t>Vinmart Plus 69 Trường Sa, Phường Phước Long</t>
  </si>
  <si>
    <t>69 Trường Sa, Phường Phước Long, TP Nha Trang, Tỉnh Khánh Hoà</t>
  </si>
  <si>
    <t>12.2127399445, 109.1955490112</t>
  </si>
  <si>
    <t>12.2127742767, 109.1954879761</t>
  </si>
  <si>
    <t>SG4040.36257</t>
  </si>
  <si>
    <t>SF HOANG BAT DAT</t>
  </si>
  <si>
    <t>Số 03 Hoàng Bật Đạt,Phường 15,Quận Tân Bình,TP HCM</t>
  </si>
  <si>
    <t>10.8233585358, 106.6356277466</t>
  </si>
  <si>
    <t>10.8233785629, 106.6356353760</t>
  </si>
  <si>
    <t>PH5002126O</t>
  </si>
  <si>
    <t>Anh Tuấn</t>
  </si>
  <si>
    <t>159, Tôn Đức Thắng, P.1, TP.Cao Lãnh, Đồng Tháp</t>
  </si>
  <si>
    <t>AL-05B-4008</t>
  </si>
  <si>
    <t>Nguyễn Thanh Phương</t>
  </si>
  <si>
    <t>10.4661455154, 105.6356048584</t>
  </si>
  <si>
    <t>10.4661312103, 105.6356048584</t>
  </si>
  <si>
    <t>TL40041C28</t>
  </si>
  <si>
    <t>Circle K 172, Nguyen Thi Tan</t>
  </si>
  <si>
    <t>172, Nguyen Thi Tan, P.2, Q.8, Hồ Chí Minh</t>
  </si>
  <si>
    <t>10.7454786301, 106.6865158081</t>
  </si>
  <si>
    <t>10.7454910278, 106.6865234375</t>
  </si>
  <si>
    <t>EB4001.14014</t>
  </si>
  <si>
    <t>BIGC THANG LONG</t>
  </si>
  <si>
    <t>222 Trần Duy Hưng,Trung Hòa,Q.Cầu Giấy,TP Hà Nội</t>
  </si>
  <si>
    <t>ST-12B-1001</t>
  </si>
  <si>
    <t>Lê Thị Quyên</t>
  </si>
  <si>
    <t>21.0070285797, 105.7939300537</t>
  </si>
  <si>
    <t>21.0071964264, 105.7942810059</t>
  </si>
  <si>
    <t>Thu Đại Lộc</t>
  </si>
  <si>
    <t>TL201410SG</t>
  </si>
  <si>
    <t>U Mart</t>
  </si>
  <si>
    <t>54, Hùng Vương, Ái Nghĩa, Đại Lộc, Quảng Nam</t>
  </si>
  <si>
    <t>AL-12E-2011</t>
  </si>
  <si>
    <t>Lê Thị Nhi</t>
  </si>
  <si>
    <t>15.8824577332, 108.1170883179</t>
  </si>
  <si>
    <t>MH30041057</t>
  </si>
  <si>
    <t>Hậu Thọ</t>
  </si>
  <si>
    <t>Kios 12, Hải Thượng Lãn Ông, Liên Hương, Tuy Phong, Bình Thuận</t>
  </si>
  <si>
    <t>AL-08C-2066</t>
  </si>
  <si>
    <t>Nguyễn Thị Xuân Thoa</t>
  </si>
  <si>
    <t>11.2241506577, 108.7300109863</t>
  </si>
  <si>
    <t>VM1009.84901</t>
  </si>
  <si>
    <t>VMP_HNI_48/467_LINH_NAM</t>
  </si>
  <si>
    <t>Số 48 ngõ 467 Lĩnh Nam, phường Lĩnh Nam, quận Hoàng Mai, thành phố Hà Nội</t>
  </si>
  <si>
    <t>20.9827022552, 105.8818893433</t>
  </si>
  <si>
    <t>20.9826164246, 105.8818588257</t>
  </si>
  <si>
    <t>RV3001105K</t>
  </si>
  <si>
    <t>Huỳnh Hảo</t>
  </si>
  <si>
    <t>4, Trần Đồng, 3, Vũng Tàu, Bà Rịa - Vũng Tàu</t>
  </si>
  <si>
    <t>AL-04A-3144</t>
  </si>
  <si>
    <t>Trần Thị Hồng Nhung</t>
  </si>
  <si>
    <t>10.3441915512, 107.0813064575</t>
  </si>
  <si>
    <t>CF4001.15766</t>
  </si>
  <si>
    <t>CF LE VAN KHUONG</t>
  </si>
  <si>
    <t>402 Lê Văn Khương, phường Thới An, quận 12, TP HCM</t>
  </si>
  <si>
    <t>10.8791627884, 106.6492233276</t>
  </si>
  <si>
    <t>CN Cà Mau-Công ty CP Đầu Tư Xây Dựng và TM DV Kim Anh</t>
  </si>
  <si>
    <t>KA50032069</t>
  </si>
  <si>
    <t>Nam Diệu</t>
  </si>
  <si>
    <t>Chợ Rạch Ráng, Khóm 4, 0, TT.Trần Văn Thời, H.Trần Văn Thời, Cà Mau</t>
  </si>
  <si>
    <t>AL-05G-4008</t>
  </si>
  <si>
    <t>Hồ Thị Châm</t>
  </si>
  <si>
    <t>9.0723190308, 104.9724502563</t>
  </si>
  <si>
    <t>9.0723066330, 104.9723892212</t>
  </si>
  <si>
    <t>MP4002102V</t>
  </si>
  <si>
    <t>Cô Thu</t>
  </si>
  <si>
    <t>B1/11, Chợ Bà Lát, X Phạm Văn Hai, Bình Chánh, HCM</t>
  </si>
  <si>
    <t>AL-04A-3125</t>
  </si>
  <si>
    <t>Nguyễn Thị Thúy Vân</t>
  </si>
  <si>
    <t>10.7599163055, 106.5786132813</t>
  </si>
  <si>
    <t>SH5004304D</t>
  </si>
  <si>
    <t>59, Xô viết Nghệ Tỉnh, P.1, TP.Sóc Trăng, Sóc Trăng</t>
  </si>
  <si>
    <t>AL-06F-4003</t>
  </si>
  <si>
    <t>9.6050386429, 105.9723815918</t>
  </si>
  <si>
    <t>10.8455123901, 106.6000442505</t>
  </si>
  <si>
    <t>10.8316469193, 106.5961608887</t>
  </si>
  <si>
    <t>DP300711M8</t>
  </si>
  <si>
    <t>Đoan Thắng</t>
  </si>
  <si>
    <t>KDC Minh Tuấn, Bình Hòa, Thuận An, Bình Dương</t>
  </si>
  <si>
    <t>AL-06D-3008</t>
  </si>
  <si>
    <t>10.9207468033, 106.7312622070</t>
  </si>
  <si>
    <t>NC40171J5F</t>
  </si>
  <si>
    <t>14, Chợ Tạm, Trung Mỹ Tây, 12, HCM</t>
  </si>
  <si>
    <t>AL-05G-3010</t>
  </si>
  <si>
    <t>Tạ Mỹ Linh</t>
  </si>
  <si>
    <t>10.8575248718, 106.6167831421</t>
  </si>
  <si>
    <t>CF4001.77721</t>
  </si>
  <si>
    <t>CH_CF_VUON_LAI_192</t>
  </si>
  <si>
    <t>192 Vườn Lài, Phường Tân Thành, Quận Tân Phú, Tp HCM</t>
  </si>
  <si>
    <t>10.7961950302, 106.6414489746</t>
  </si>
  <si>
    <t>10.7962141037, 106.6414260864</t>
  </si>
  <si>
    <t>10.7566213608, 106.6118469238</t>
  </si>
  <si>
    <t>10.7567558289, 106.6117324829</t>
  </si>
  <si>
    <t>HP2002102R</t>
  </si>
  <si>
    <t>Đạt Sương</t>
  </si>
  <si>
    <t>194 Lê Lợi, P.4, TP Tuy Hòa, Tỉnh Phú Yên</t>
  </si>
  <si>
    <t>AL-05G-2001</t>
  </si>
  <si>
    <t>Đặng Hoàng Diệu Thảo</t>
  </si>
  <si>
    <t>13.0896911621, 109.3093795776</t>
  </si>
  <si>
    <t>HN300211EK</t>
  </si>
  <si>
    <t>Phương Nghi</t>
  </si>
  <si>
    <t>Số 4/1, Huỳnh Văn Lũy, Phú Mỹ, Thủ Dầu Một, Bình Dương</t>
  </si>
  <si>
    <t>AL-09B-3001</t>
  </si>
  <si>
    <t>Đặng Lê Phương Thanh</t>
  </si>
  <si>
    <t>11.0096788406, 106.6765365601</t>
  </si>
  <si>
    <t>11.0097064972, 106.6765365601</t>
  </si>
  <si>
    <t>MK400213PX</t>
  </si>
  <si>
    <t>Chấn Nguyên</t>
  </si>
  <si>
    <t>198, Gia Phú, 1, 6, HCM</t>
  </si>
  <si>
    <t>AL-04D-3015</t>
  </si>
  <si>
    <t>Võ Thị Kim Thu</t>
  </si>
  <si>
    <t>10.7460355759, 106.6509780884</t>
  </si>
  <si>
    <t>10.7461004257, 106.6510162354</t>
  </si>
  <si>
    <t>KC100110B9</t>
  </si>
  <si>
    <t>T-Mart Quầy Ecohome2</t>
  </si>
  <si>
    <t>Quầy Ecohome2, Cổ Nhuế,P. Cổ Nhuế 1,Q.Bắc Từ Liêm,Hà Nội</t>
  </si>
  <si>
    <t>21.0840682983, 105.7849426270</t>
  </si>
  <si>
    <t>21.0858516693, 105.7859191895</t>
  </si>
  <si>
    <t>BR1001.106899</t>
  </si>
  <si>
    <t>BRG 41 Thợ Nhuộm, Quận Hoàn Kiếm</t>
  </si>
  <si>
    <t>41 Thợ Nhuộm, Quận Hoàn Kiếm, Hà Nội</t>
  </si>
  <si>
    <t>21.0275096893, 105.8445892334</t>
  </si>
  <si>
    <t>21.0275115967, 105.8445892334</t>
  </si>
  <si>
    <t>XH4001.109339</t>
  </si>
  <si>
    <t>BHX 62 Trần Bình Trọng</t>
  </si>
  <si>
    <t xml:space="preserve">62 Trần Bình Trọng, Phường 1, Quận 5, TP  HCM</t>
  </si>
  <si>
    <t>ST-04G-3006</t>
  </si>
  <si>
    <t>Nguyễn Thiêng Tính</t>
  </si>
  <si>
    <t>10.7454957962, 106.6658859253</t>
  </si>
  <si>
    <t>NT500112J8</t>
  </si>
  <si>
    <t>Cạnh Chị Quyên, Lê lai, TT.Mỏ Cày, H.Mỏ Cày Nam, Bến Tre</t>
  </si>
  <si>
    <t>AL-05D-4006</t>
  </si>
  <si>
    <t>Nguyễn Ngọc Lưu</t>
  </si>
  <si>
    <t>10.1298704147, 106.3342514038</t>
  </si>
  <si>
    <t>10.1299057007, 106.3342971802</t>
  </si>
  <si>
    <t>ST-07F-3008</t>
  </si>
  <si>
    <t>Phạm Quốc Tuấn</t>
  </si>
  <si>
    <t>10.8001565933, 106.7183837891</t>
  </si>
  <si>
    <t>Đồng Thiên Phú</t>
  </si>
  <si>
    <t>DP300711OW</t>
  </si>
  <si>
    <t>Triệu Phương</t>
  </si>
  <si>
    <t>Nguyễn Du, Bình Đáng, Thuận An, Bình Dương</t>
  </si>
  <si>
    <t>AL-12D-3003</t>
  </si>
  <si>
    <t>Nguyễn Thị Vạn</t>
  </si>
  <si>
    <t>10.9207744598, 106.7338714600</t>
  </si>
  <si>
    <t>XH4001.108051</t>
  </si>
  <si>
    <t>BHX Tổ 6 (Thửa đất số 13, tờ bản đồ số 38)</t>
  </si>
  <si>
    <t>Tổ 6 (Thửa đất số 13, tờ bản đồ số 38), ấp Thanh Thủy, Xã An Phước, Huyện Mang Thít, Tỉnh Vĩnh Long</t>
  </si>
  <si>
    <t>10.1729736328, 106.1104431152</t>
  </si>
  <si>
    <t>10.1730356216, 106.1105270386</t>
  </si>
  <si>
    <t>XH4001.96975</t>
  </si>
  <si>
    <t>BHX Ấp Đầu Giồng, Thị Trấn Trần Đề</t>
  </si>
  <si>
    <t>Ấp Đầu Giồng, Thị Trấn Trần Đề, Huyện Trần Đề, Tỉnh Sóc Trăng</t>
  </si>
  <si>
    <t>9.5202054977, 106.1921920776</t>
  </si>
  <si>
    <t>9.5201873779, 106.1922607422</t>
  </si>
  <si>
    <t>ST-03C-1003</t>
  </si>
  <si>
    <t>Nguyễn Ngọc Chính</t>
  </si>
  <si>
    <t>21.0085792542, 105.7932968140</t>
  </si>
  <si>
    <t>21.0076313019, 105.7929153442</t>
  </si>
  <si>
    <t>G74003.24130</t>
  </si>
  <si>
    <t>G7 MINISTOP 37-39 Phạm Viết Chánh,Phường 19</t>
  </si>
  <si>
    <t>37-39 Phạm Viết Chánh,Phường 19,Quận Bình Thạnh,Tp HCM</t>
  </si>
  <si>
    <t>10.7901344299, 106.7095184326</t>
  </si>
  <si>
    <t>10.7900896072, 106.7095260620</t>
  </si>
  <si>
    <t>VI4001.81026</t>
  </si>
  <si>
    <t>VMP_HCM_20H9_21H9_DD11</t>
  </si>
  <si>
    <t>20H9-21H9 đường DD11 (KDC An Sương), KP 4, P Tân Hưng Thuận, Q 12, TP HCM</t>
  </si>
  <si>
    <t>10.8418645859, 106.6262893677</t>
  </si>
  <si>
    <t>10.8418426514, 106.6263809204</t>
  </si>
  <si>
    <t>HA3001120Q</t>
  </si>
  <si>
    <t>Ngọc Bích</t>
  </si>
  <si>
    <t>Ngã 3 Trạm Điện Phú Mỹ, Tổ 5, Ngọc Hà, TT Phú Mỹ, Tân Thành, Bà Rịa - Vũng Tàu</t>
  </si>
  <si>
    <t>AL-04A-3178</t>
  </si>
  <si>
    <t>Võ Thị Thúy Quyên</t>
  </si>
  <si>
    <t>10.6041612625, 107.0537643433</t>
  </si>
  <si>
    <t>MT500115TF</t>
  </si>
  <si>
    <t>Thiên Ý</t>
  </si>
  <si>
    <t>167, Nam Kỳ Khởi Nghĩa, P.4, TP.Mỹ Tho, Tiền Giang</t>
  </si>
  <si>
    <t>AL-11A-4002</t>
  </si>
  <si>
    <t>Võ Thị Mỹ Nhiên</t>
  </si>
  <si>
    <t>10.3604459763, 106.3619308472</t>
  </si>
  <si>
    <t>10.3604536057, 106.3619155884</t>
  </si>
  <si>
    <t>VM1009.22434</t>
  </si>
  <si>
    <t>VM 81 THANH NHAN</t>
  </si>
  <si>
    <t>81 Thanh Nhàn, Quỳnh Lôi, Hai Bà Trưng, Hà Nội</t>
  </si>
  <si>
    <t>21.0296268463, 105.8307266235</t>
  </si>
  <si>
    <t>VI2003.55685</t>
  </si>
  <si>
    <t>VMP_DNG_248_DONG_DA</t>
  </si>
  <si>
    <t>248 Đống Đa, Phường Thuận Phước, Quận Hải Châu, TP Đà Nẵng</t>
  </si>
  <si>
    <t>16.0770874023, 108.2162322998</t>
  </si>
  <si>
    <t>16.0771503448, 108.2161407471</t>
  </si>
  <si>
    <t>CF4001.20502</t>
  </si>
  <si>
    <t>CF HUNG PHU</t>
  </si>
  <si>
    <t>Số 04 Lê Quang Kim, P 9, Q8, Tp HCM</t>
  </si>
  <si>
    <t>10.7482461929, 106.6756973267</t>
  </si>
  <si>
    <t>10.7482624054, 106.6756973267</t>
  </si>
  <si>
    <t>CF4001.54307</t>
  </si>
  <si>
    <t>CF_LA_XUAN_OAI</t>
  </si>
  <si>
    <t>138A Lã Xuân Oai, Phường Tăng Nhơn Phú A, TP. Thủ Đức, TP. Hồ Chí Minh</t>
  </si>
  <si>
    <t>10.8217849731, 106.7715682983</t>
  </si>
  <si>
    <t>10.8530721664, 106.7889709473</t>
  </si>
  <si>
    <t>MP40021KDH</t>
  </si>
  <si>
    <t>Circle K Bến Xe Miền Tây,cổng số 2</t>
  </si>
  <si>
    <t>Bến Xe Miền Tây,cổng số 2,395, Kinh Dương Vương, P.An Lạc, Q.Bình Tân, Hồ Chí Minh</t>
  </si>
  <si>
    <t>ST-06D-3001</t>
  </si>
  <si>
    <t>Trần Ngọc Thủy</t>
  </si>
  <si>
    <t>10.7406921387, 106.6180038452</t>
  </si>
  <si>
    <t>10.7408676147, 106.6181106567</t>
  </si>
  <si>
    <t>XH4001.86171</t>
  </si>
  <si>
    <t>BHX 448 Đường Nguyễn Văn Tăng</t>
  </si>
  <si>
    <t xml:space="preserve">448 Đường Nguyễn Văn Tăng, P  Long Thạnh Mỹ, TP  Thủ Đức, TP  Hồ Chí Minh</t>
  </si>
  <si>
    <t>10.8420410156, 106.8277435303</t>
  </si>
  <si>
    <t>10.8420829773, 106.8278350830</t>
  </si>
  <si>
    <t>CO5003.5101</t>
  </si>
  <si>
    <t>COOP CA MAU</t>
  </si>
  <si>
    <t xml:space="preserve">Số 09 Trần Hưng Đạo, Phường 5,  Tp Cà Mau, Tỉnh Cà Mau</t>
  </si>
  <si>
    <t>ST-04A-4013</t>
  </si>
  <si>
    <t>Huỳnh Ngọc Kỳ</t>
  </si>
  <si>
    <t>9.1783504486, 105.1548919678</t>
  </si>
  <si>
    <t>9.1783771515, 105.1548538208</t>
  </si>
  <si>
    <t>XH4001.58463</t>
  </si>
  <si>
    <t>BHX Thửa đất số 897, tờ bản đồ số 43</t>
  </si>
  <si>
    <t xml:space="preserve">Thửa đất số 897, tờ bản đồ số 43, khu phố Thống Nhất 1, phường Dĩ An, Thị xã Dĩ An, tỉnh Bình Dương </t>
  </si>
  <si>
    <t>10.9092168808, 106.7432174683</t>
  </si>
  <si>
    <t>10.9092168808, 106.7432098389</t>
  </si>
  <si>
    <t>XH4001.58471</t>
  </si>
  <si>
    <t>BHX Tờ bản đồ số 4</t>
  </si>
  <si>
    <t xml:space="preserve">Tờ bản đồ số 4 , Thửa 379-1123, phường Hiệp Bình Chánh, TP  Thủ Đức, TP  Hồ Chí Minh</t>
  </si>
  <si>
    <t>10.8300876617, 106.7295150757</t>
  </si>
  <si>
    <t>10.8300867081, 106.7295455933</t>
  </si>
  <si>
    <t>VI3004.73726</t>
  </si>
  <si>
    <t>VMP_VTU_1481_DUONG_30_4 </t>
  </si>
  <si>
    <t>1481 đường 30/4, P 12, TP Vũng Tàu</t>
  </si>
  <si>
    <t>10.4194154739, 107.1501312256</t>
  </si>
  <si>
    <t>10.4194650650, 107.1501693726</t>
  </si>
  <si>
    <t>10.9092712402, 106.7432327271</t>
  </si>
  <si>
    <t>10.9092826843, 106.7432632446</t>
  </si>
  <si>
    <t>PT200117AL</t>
  </si>
  <si>
    <t>Chị Hương</t>
  </si>
  <si>
    <t>Chợ Tân An, Tân An 8, Thanh Khê Tây, Thanh Khê, Đà Nẵng</t>
  </si>
  <si>
    <t>AL-09F-2001</t>
  </si>
  <si>
    <t>Nguyễn Thị Ánh Ly</t>
  </si>
  <si>
    <t>16.0411586761, 108.1879043579</t>
  </si>
  <si>
    <t>VI4001.61812</t>
  </si>
  <si>
    <t>VMP_RIVERGATE_RESIDENCE</t>
  </si>
  <si>
    <t>151-155 Bến Vân Đồn , Phường 6, Quận 4, TPHCM ( Dự Án Rivergate Residence )</t>
  </si>
  <si>
    <t>10.7623186111, 106.6994628906</t>
  </si>
  <si>
    <t>10.7622804642, 106.6994476318</t>
  </si>
  <si>
    <t>KC100110J7</t>
  </si>
  <si>
    <t>OKONO MART Số 2</t>
  </si>
  <si>
    <t>Số 2,Ngõ 36/30 Miếu Đầm ,Mễ Trì,Nam Từ Liêm ,Hà Nội</t>
  </si>
  <si>
    <t>21.0060558319, 105.7808151245</t>
  </si>
  <si>
    <t>21.0060558319, 105.7808074951</t>
  </si>
  <si>
    <t>VI3002.79210</t>
  </si>
  <si>
    <t>VMP_DNI_869_HOANG_TAM_KY</t>
  </si>
  <si>
    <t>869 Hoàng Tam Kỳ, Tổ 34, KP 5A, P Long Bình, TP Biên Hoà, T Đồng Nai</t>
  </si>
  <si>
    <t>10.9364042282, 106.8811187744</t>
  </si>
  <si>
    <t>10.9364376068, 106.8810958862</t>
  </si>
  <si>
    <t>Quang Tri</t>
  </si>
  <si>
    <t>CO2004.5048</t>
  </si>
  <si>
    <t>COOP ĐÔNG HÀ</t>
  </si>
  <si>
    <t>02 Trần Hưng Đạo, TP Đông Hà,tỉnh Quảng Trị</t>
  </si>
  <si>
    <t>ST-02E-1003</t>
  </si>
  <si>
    <t>Trần Thị Hoài Linh</t>
  </si>
  <si>
    <t>16.8225288391, 107.0990676880</t>
  </si>
  <si>
    <t>16.8226242065, 107.0989303589</t>
  </si>
  <si>
    <t>NT405415YO</t>
  </si>
  <si>
    <t>Chị Tuyết</t>
  </si>
  <si>
    <t>600, Nguyễn Kiệm, 4, Phú Nhuận, HCM</t>
  </si>
  <si>
    <t>AL-10D-3008</t>
  </si>
  <si>
    <t>Nguyễn Trường An</t>
  </si>
  <si>
    <t>10.8057270050, 106.6781692505</t>
  </si>
  <si>
    <t>XH4001.106936</t>
  </si>
  <si>
    <t>BHX Đường 656, Thôn Suối Môn</t>
  </si>
  <si>
    <t xml:space="preserve">Đường 656, Thôn Suối Môn, Xã Cam Phước Đông, TP  Cam Ranh, Tỉnh Khánh Hòa</t>
  </si>
  <si>
    <t>11.9591054916, 109.1029510498</t>
  </si>
  <si>
    <t>11.9590997696, 109.1029739380</t>
  </si>
  <si>
    <t>SH5004316E</t>
  </si>
  <si>
    <t>CHỊ HUYỀN 1</t>
  </si>
  <si>
    <t>9, Cách Mạng Tháng Tám, P.1, TP.Sóc Trăng, Sóc Trăng</t>
  </si>
  <si>
    <t>AL-07F-4002</t>
  </si>
  <si>
    <t>Võ Thị Yến</t>
  </si>
  <si>
    <t>9.6034879684, 105.9737396240</t>
  </si>
  <si>
    <t>9.6034507751, 105.9737777710</t>
  </si>
  <si>
    <t>MQ1001136M</t>
  </si>
  <si>
    <t>Hương</t>
  </si>
  <si>
    <t>54, Yên Phụ, Yên Phụ, Tây Hồ, Hà Nội</t>
  </si>
  <si>
    <t>AL-12B-1002</t>
  </si>
  <si>
    <t>21.0520725250, 105.8380737305</t>
  </si>
  <si>
    <t>21.0520610809, 105.8380813599</t>
  </si>
  <si>
    <t>Vũ Chí Công</t>
  </si>
  <si>
    <t>VC300510PE</t>
  </si>
  <si>
    <t>Khánh Dương - Anh Hoà</t>
  </si>
  <si>
    <t>200/3, Lập Thành Xuân Thạnh, X Xuân Thạnh, H Thống Nhất, Đồng Nai</t>
  </si>
  <si>
    <t>AL-07D-3011</t>
  </si>
  <si>
    <t>Nguyễn Thị Loan</t>
  </si>
  <si>
    <t>10.9403295517, 107.1408386230</t>
  </si>
  <si>
    <t>XH4001.36970</t>
  </si>
  <si>
    <t>BHX 113 Tô Hiệu,P Hiệp Tân</t>
  </si>
  <si>
    <t>113 Tô Hiệu,P Hiệp Tân,Q Tân Phú,Tp HCM</t>
  </si>
  <si>
    <t>10.7734861374, 106.6274871826</t>
  </si>
  <si>
    <t>10.7667961121, 106.5994873047</t>
  </si>
  <si>
    <t>CF4001.53613</t>
  </si>
  <si>
    <t>CF_TAN_THANH_DONG</t>
  </si>
  <si>
    <t>533 Tỉnh Lộ 15, Xã Tân Thạnh Đông, Huyện Củ Chi</t>
  </si>
  <si>
    <t>10.8906135559, 106.5927352905</t>
  </si>
  <si>
    <t>10.8750076294, 106.5986862183</t>
  </si>
  <si>
    <t>XH4001.49539</t>
  </si>
  <si>
    <t>BHX 10A/2 KP02</t>
  </si>
  <si>
    <t xml:space="preserve">10A/2 KP02, P  Trung Mỹ Tây, Quận 12, TP  HCM</t>
  </si>
  <si>
    <t>10.8476333618, 106.6140899658</t>
  </si>
  <si>
    <t>10.8477802277, 106.6139450073</t>
  </si>
  <si>
    <t>MK20021UYQ</t>
  </si>
  <si>
    <t>Quyên</t>
  </si>
  <si>
    <t>Tổ 8, Vĩnh Châu, Vĩnh Hiệp, Nha Trang, Khánh Hòa</t>
  </si>
  <si>
    <t>AL-03E-2003</t>
  </si>
  <si>
    <t>Phạm Ngọc Huyền</t>
  </si>
  <si>
    <t>12.2535285950, 109.1607437134</t>
  </si>
  <si>
    <t>ST-03F-1012</t>
  </si>
  <si>
    <t>Đỗ Quốc Anh</t>
  </si>
  <si>
    <t>21.0070095062, 105.7940063477</t>
  </si>
  <si>
    <t>21.0074577332, 105.7939147949</t>
  </si>
  <si>
    <t>NT40541LGW</t>
  </si>
  <si>
    <t>Farmi Market 121, Nguyễn Bỉnh Khiêm</t>
  </si>
  <si>
    <t>121, Nguyễn Bỉnh Khiêm, P.Đa Kao, Q.1, Hồ Chí Minh</t>
  </si>
  <si>
    <t>10.7906236649, 106.6995620728</t>
  </si>
  <si>
    <t>10.7905883789, 106.6996002197</t>
  </si>
  <si>
    <t>HT403216KC</t>
  </si>
  <si>
    <t>Anh Thơ</t>
  </si>
  <si>
    <t>235, Lê Thị Hoa, Bình Chiểu, Thủ Đức, HCM</t>
  </si>
  <si>
    <t>AL-04A-3011</t>
  </si>
  <si>
    <t>Võ Thị Kim Hảo</t>
  </si>
  <si>
    <t>10.8768053055, 106.7467346191</t>
  </si>
  <si>
    <t>VM1009.74796</t>
  </si>
  <si>
    <t>VMP_50_NGUYEN_HOANG_TON</t>
  </si>
  <si>
    <t>Số 50 đường Nguyễn Hoàng Tôn, phường Xuân La, quận Tây Hồ, thành phố Hà Nội</t>
  </si>
  <si>
    <t>21.0714931488, 105.8064041138</t>
  </si>
  <si>
    <t>21.0716400146, 105.8064651489</t>
  </si>
  <si>
    <t>XH4001.63882</t>
  </si>
  <si>
    <t>BHX Thửa đất số 752- Tờ bản đồ số DC21 4 và Thửa đất số 773- Tờ bản đồ số 214</t>
  </si>
  <si>
    <t xml:space="preserve">Thửa đất số 752- Tờ bản đồ số DC21 4 và Thửa đất số 773- Tờ bản đồ số 214, KDC Vietsing,Phường Thuận Giao, Thị Xã Thuận An, Tỉnh Bình Dương </t>
  </si>
  <si>
    <t>10.9402265549, 106.7186965942</t>
  </si>
  <si>
    <t>10.9401931763, 106.7186660767</t>
  </si>
  <si>
    <t>VI4001.81426</t>
  </si>
  <si>
    <t>VMP_HCM_CC_TOPAZ_CITY</t>
  </si>
  <si>
    <t>195 Cao Lỗ, Phường 8, Quận 8, TP HCM - Topaz City</t>
  </si>
  <si>
    <t>10.7389564514, 106.6688995361</t>
  </si>
  <si>
    <t>10.7389431000, 106.6689071655</t>
  </si>
  <si>
    <t>VI2016.91983</t>
  </si>
  <si>
    <t>VM_QNI_107_PHAN_CHU_TRINH</t>
  </si>
  <si>
    <t xml:space="preserve">107 Phan Chu Trinh, Tổ 12, Phường Nguyễn Nghiêm, TP  Quảng Ngãi, Tỉnh Quảng Ngãi</t>
  </si>
  <si>
    <t>15.1204204559, 108.8000335693</t>
  </si>
  <si>
    <t>15.1202659607, 108.7998580933</t>
  </si>
  <si>
    <t>VI1102.90470</t>
  </si>
  <si>
    <t>VMP_46_HAI_THUONG_LAN_ONG</t>
  </si>
  <si>
    <t>46 Hải Thượng Lãn Ông, Phường Hà Huy Tập, TP. Vinh, Tỉnh Nghệ An</t>
  </si>
  <si>
    <t>18.6885929108, 105.6831970215</t>
  </si>
  <si>
    <t>18.6885986328, 105.6832122803</t>
  </si>
  <si>
    <t>KC1001109U</t>
  </si>
  <si>
    <t>Circle K Số 105</t>
  </si>
  <si>
    <t>Số 105, Chùa Láng,P.Láng Thượng,Q.Đống Đa,Hà Nội</t>
  </si>
  <si>
    <t>21.0236301422, 105.8049240112</t>
  </si>
  <si>
    <t>21.0235824585, 105.8048553467</t>
  </si>
  <si>
    <t>XH4001.51849</t>
  </si>
  <si>
    <t>BHX 324/6 khu phố 3</t>
  </si>
  <si>
    <t xml:space="preserve">324/6 khu phố 3 , phường Thạnh Lộc , quận 12, Tp  Hồ Chí Minh</t>
  </si>
  <si>
    <t>10.8595685959, 106.6783752441</t>
  </si>
  <si>
    <t>10.8595676422, 106.6783599854</t>
  </si>
  <si>
    <t>XH4001.111917</t>
  </si>
  <si>
    <t>BHX 323-325 Phan Bội Châu, Phường Tân Tiến</t>
  </si>
  <si>
    <t>323-325 Phan Bội Châu, Phường Tân Tiến, TP Buôn Ma Thuột, Tỉnh Đắk Lắk</t>
  </si>
  <si>
    <t>12.7042112350, 108.0540390015</t>
  </si>
  <si>
    <t>12.7041959763, 108.0540084839</t>
  </si>
  <si>
    <t>HD501413HR</t>
  </si>
  <si>
    <t>Lô 11, Tam Bình, TT.Tam Bình, H.Tam Bình, Vĩnh Long</t>
  </si>
  <si>
    <t>AL-03G-4001</t>
  </si>
  <si>
    <t>Nguyễn Trường Thạnh</t>
  </si>
  <si>
    <t>10.0497608185, 106.0013656616</t>
  </si>
  <si>
    <t>TT201414DX</t>
  </si>
  <si>
    <t>53, Tiểu La, Hòa Cường Bắc, Hải Châu, Đà Nẵng</t>
  </si>
  <si>
    <t>AL-04A-2054</t>
  </si>
  <si>
    <t>Nguyễn Thị Phượng Trâm</t>
  </si>
  <si>
    <t>16.0576820374, 108.2061767578</t>
  </si>
  <si>
    <t>CO5005.5103</t>
  </si>
  <si>
    <t>COOP RẠCH GIÁ</t>
  </si>
  <si>
    <t>Khu TTTM Tổng Hợp 16 ha,Phường Vĩnh Thanh Vân,Tp Rạch Giá,Tỉnh Kiên Giang</t>
  </si>
  <si>
    <t>ST-08F-4003</t>
  </si>
  <si>
    <t>Ngô Kim Thùy</t>
  </si>
  <si>
    <t>10.0097274780, 105.0793075562</t>
  </si>
  <si>
    <t>10.0089893341, 105.0795822144</t>
  </si>
  <si>
    <t>VI4001.56579</t>
  </si>
  <si>
    <t>VMP_HCM_58_NGUYENPHUCCHU</t>
  </si>
  <si>
    <t>58 Nguyễn Phúc Chu, Phường 15, Quận Tân Bình, TPHCM</t>
  </si>
  <si>
    <t>10.8224258423, 106.6323394775</t>
  </si>
  <si>
    <t>10.8224229813, 106.6323471069</t>
  </si>
  <si>
    <t>MP40021J6B</t>
  </si>
  <si>
    <t>Hoàng Oanh</t>
  </si>
  <si>
    <t>48A, Đường số 16, Bình Hưng Hòa A, Bình Tân, HCM</t>
  </si>
  <si>
    <t>AL-11A-3005</t>
  </si>
  <si>
    <t>Đồng Ngọc Oanh</t>
  </si>
  <si>
    <t>10.7815837860, 106.6060638428</t>
  </si>
  <si>
    <t>KT300610J1</t>
  </si>
  <si>
    <t>Anh Thư 5</t>
  </si>
  <si>
    <t>Tổ 8, KP 3, Trảng Dài, Biên Hòa, Đồng Nai</t>
  </si>
  <si>
    <t>AL-04A-3225</t>
  </si>
  <si>
    <t>Phan Thị Thanh Thảo</t>
  </si>
  <si>
    <t>10.9402627945, 106.8799438477</t>
  </si>
  <si>
    <t>TT2014104Z</t>
  </si>
  <si>
    <t>Tuấn Vân</t>
  </si>
  <si>
    <t>281/15, Nguyễn Phan Vinh, Thọ Quang , Sơn Trà, Đà Nẵng</t>
  </si>
  <si>
    <t>AL-08D-2002</t>
  </si>
  <si>
    <t>Đặng Thị Diệu</t>
  </si>
  <si>
    <t>16.0997200012, 108.2525024414</t>
  </si>
  <si>
    <t>LK300112NH</t>
  </si>
  <si>
    <t>Tuyết Nhung</t>
  </si>
  <si>
    <t>Chợ Tân Phước Khánh, Tân Phước Khánh, Tân Uyên, Bình Dương</t>
  </si>
  <si>
    <t>AL-02G-3002</t>
  </si>
  <si>
    <t>Trương Yến Nhi</t>
  </si>
  <si>
    <t>15h30 - 19h00</t>
  </si>
  <si>
    <t>11.0049362183, 106.7192840576</t>
  </si>
  <si>
    <t>XH4001.88397</t>
  </si>
  <si>
    <t>BHX Số 73 - 75 đường Phạm Ngũ Lão, Phường Thới Bình</t>
  </si>
  <si>
    <t>Số 73 - 75 đường Phạm Ngũ Lão, Phường Thới Bình, Quận Ninh Kiều, Thành phố Cần Thơ, Việt Nam</t>
  </si>
  <si>
    <t>10.0446882248, 105.7749099731</t>
  </si>
  <si>
    <t>SH500416RC</t>
  </si>
  <si>
    <t>Anh lộc_Trần Bá Phước</t>
  </si>
  <si>
    <t>96/4, QL 91, 0, P.Thốt Nốt, Q.Thốt Nốt, Cần Thơ</t>
  </si>
  <si>
    <t>AL-04G-4002</t>
  </si>
  <si>
    <t>Trần Thị Diệu Trúc</t>
  </si>
  <si>
    <t>10.2702617645, 105.5329208374</t>
  </si>
  <si>
    <t>10.2702770233, 105.5328750610</t>
  </si>
  <si>
    <t>NL301010AU</t>
  </si>
  <si>
    <t>Tuyết Linh</t>
  </si>
  <si>
    <t>134A/126, KP7, Tân Biên, Biên Hòa, Đồng Nai</t>
  </si>
  <si>
    <t>AL-03G-3004</t>
  </si>
  <si>
    <t>Vũ Đức Nguyên</t>
  </si>
  <si>
    <t>10.9808807373, 106.8919448853</t>
  </si>
  <si>
    <t>Co.op</t>
  </si>
  <si>
    <t>CO2005.5049</t>
  </si>
  <si>
    <t>Co.op THANH HOÁ</t>
  </si>
  <si>
    <t>TTTM HD,Phan Chu Trinh,P.Điện Biên,Tp.Thanh Hóa,T.Thanh Hóa</t>
  </si>
  <si>
    <t>ST-04A-1060</t>
  </si>
  <si>
    <t>19.8121623993, 105.7738037109</t>
  </si>
  <si>
    <t>19.8120803833, 105.7737808228</t>
  </si>
  <si>
    <t>SG4040.63441</t>
  </si>
  <si>
    <t>SF_TRINH_THI_MIENG</t>
  </si>
  <si>
    <t>109/4E Trịnh Thị Miếng Xã Thới Tam Thôn, Huyện Hóc Môn</t>
  </si>
  <si>
    <t>10.8869504929, 106.6149749756</t>
  </si>
  <si>
    <t>10.8869504929, 106.6149902344</t>
  </si>
  <si>
    <t>VI5013.90711</t>
  </si>
  <si>
    <t>VMP_AGG_77_UNG_VAN_KHIEM</t>
  </si>
  <si>
    <t xml:space="preserve">77 Ung Văn Khiêm, tổ 6, Khóm Đông Thành, Phường Đông Xuyên, TP  Long Xuyên, tỉnh An Giang ( 3-4-5 Ung Văn Khiêm)</t>
  </si>
  <si>
    <t>10.3752756119, 105.4321899414</t>
  </si>
  <si>
    <t>10.3753023148, 105.4321670532</t>
  </si>
  <si>
    <t>NC40171K33</t>
  </si>
  <si>
    <t>BS Mart 117/4 Đường Số 3, Dương Quảng Hàm</t>
  </si>
  <si>
    <t>117/4 Đường Số 3, Dương Quảng Hàm, P.5, Q.Gò Vấp, Hồ Chí Minh</t>
  </si>
  <si>
    <t>10.8258867264, 106.6938018799</t>
  </si>
  <si>
    <t>10.8258876801, 106.6937942505</t>
  </si>
  <si>
    <t>PL5001100U</t>
  </si>
  <si>
    <t>Chị Lan chú Khánh</t>
  </si>
  <si>
    <t>0, Chợ Long Hiệp, X.Long An, H.Long Hồ, Vĩnh Long</t>
  </si>
  <si>
    <t>AL-03G-4006</t>
  </si>
  <si>
    <t>Nguyễn Thị Đinh Nhi</t>
  </si>
  <si>
    <t>10.1543340683, 106.0237045288</t>
  </si>
  <si>
    <t>10.1543340683, 106.0236968994</t>
  </si>
  <si>
    <t>QP10011EOM</t>
  </si>
  <si>
    <t>Ngọc Sản</t>
  </si>
  <si>
    <t>Phú Đô, Mỹ Đình, Từ Liêm, Hà Nội</t>
  </si>
  <si>
    <t>AL-06D-1002</t>
  </si>
  <si>
    <t>Trần Thị Phượng</t>
  </si>
  <si>
    <t>21.0129661560, 105.7657012939</t>
  </si>
  <si>
    <t>SH5004200D</t>
  </si>
  <si>
    <t>Nga Phương</t>
  </si>
  <si>
    <t>144, Chợ Cái Chanh, P.Thường Thạnh, Q.Cái Răng, Cần Thơ</t>
  </si>
  <si>
    <t>AL-04A-4021</t>
  </si>
  <si>
    <t>Võ Hồng Nghi</t>
  </si>
  <si>
    <t>9.9589157104, 105.7615585327</t>
  </si>
  <si>
    <t>9.9588623047, 105.7616119385</t>
  </si>
  <si>
    <t>MT3006.6372</t>
  </si>
  <si>
    <t>METRO VT_20016_CD</t>
  </si>
  <si>
    <t xml:space="preserve">Khu vực đường 51B, phường 11, TP  Vũng Tàu, tỉnh Bà Rịa-Vũng Tàu</t>
  </si>
  <si>
    <t>ST-04A-3204</t>
  </si>
  <si>
    <t>Hồ Thị Huyền</t>
  </si>
  <si>
    <t>10.3950700760, 107.1336059570</t>
  </si>
  <si>
    <t>10.3950910568, 107.1340332031</t>
  </si>
  <si>
    <t>CF4001.36081</t>
  </si>
  <si>
    <t>CF CARINA</t>
  </si>
  <si>
    <t>CC Carina, 1648 Võ Văn Kiệt, Quận 8, Tp HCM</t>
  </si>
  <si>
    <t>10.8189506531, 106.7008438110</t>
  </si>
  <si>
    <t>10.8189554214, 106.7008514404</t>
  </si>
  <si>
    <t>DP50021043</t>
  </si>
  <si>
    <t>Chị Điệp</t>
  </si>
  <si>
    <t>28, Phó Sinh, ấp Phước Thành, X.Phong Thạnh Tây B, H.Phước Long, Bạc Liêu</t>
  </si>
  <si>
    <t>AL-06E-4002</t>
  </si>
  <si>
    <t>Quách Mỹ Xuyên</t>
  </si>
  <si>
    <t>9.3739309311, 105.3934631348</t>
  </si>
  <si>
    <t>9.3739051819, 105.3934173584</t>
  </si>
  <si>
    <t>TP300910BR</t>
  </si>
  <si>
    <t>TH Suri</t>
  </si>
  <si>
    <t>11, CMT8, Xuân Bình, Long Khánh, Đồng Nai</t>
  </si>
  <si>
    <t>AL-03E-3008</t>
  </si>
  <si>
    <t>Nguyễn Trần Hoàng Oanh</t>
  </si>
  <si>
    <t>10.9278326035, 107.2440795898</t>
  </si>
  <si>
    <t>10.7334594727, 106.6741943359</t>
  </si>
  <si>
    <t>10.7334928513, 106.6742095947</t>
  </si>
  <si>
    <t>SH50041414</t>
  </si>
  <si>
    <t>Mẹ Và Bé Bi</t>
  </si>
  <si>
    <t>69A1, Cách Mạng Tháng Tám, P.An Hòa, Q.Ninh Kiều, Cần Thơ</t>
  </si>
  <si>
    <t>AL-12D-4001</t>
  </si>
  <si>
    <t>Trần Thị Kim Ngọc</t>
  </si>
  <si>
    <t>10.0499105453, 105.7755126953</t>
  </si>
  <si>
    <t>10.0499124527, 105.7754669189</t>
  </si>
  <si>
    <t>HT40321PNI</t>
  </si>
  <si>
    <t>BS Mart 240, Hoàng Diệu 2</t>
  </si>
  <si>
    <t>240, Hoàng Diệu 2, P.Linh Chiểu, Q.Thủ Đức, Hồ Chí Minh</t>
  </si>
  <si>
    <t>10.8540287018, 106.7708511353</t>
  </si>
  <si>
    <t>10.8540287018, 106.7708587646</t>
  </si>
  <si>
    <t>VI1123.101409</t>
  </si>
  <si>
    <t>VMP_HTH_87_PHAN_DINH_GIOT</t>
  </si>
  <si>
    <t>87 Phan Đình Giót, P. Nam Hà, TP Hà Tĩnh, Tỉnh Hà Tĩnh</t>
  </si>
  <si>
    <t>18.3387622833, 105.9017562866</t>
  </si>
  <si>
    <t>XH4001.111983</t>
  </si>
  <si>
    <t>BHX 55/5 - 63 Thủ Khoa Huân, Phường Phú Thủy</t>
  </si>
  <si>
    <t xml:space="preserve">55/5 - 63 Thủ Khoa Huân, Phường Phú Thủy, TP  Phan Thiết, Tỉnh Bình Thuận</t>
  </si>
  <si>
    <t>10.9319610596, 108.1040725708</t>
  </si>
  <si>
    <t>10.9319791794, 108.1040649414</t>
  </si>
  <si>
    <t>KT3006102I</t>
  </si>
  <si>
    <t>Hoàng Minh</t>
  </si>
  <si>
    <t>Tổ 17, Khu phố 5, Trảng Dài, Biên Hòa, Đồng Nai</t>
  </si>
  <si>
    <t>AL-04A-3146</t>
  </si>
  <si>
    <t>Phạm Hoàng Oanh</t>
  </si>
  <si>
    <t>10.9773445129, 106.8656463623</t>
  </si>
  <si>
    <t>CF4001.48394</t>
  </si>
  <si>
    <t>CF_NGUYEN_CUU_PHU_21</t>
  </si>
  <si>
    <t>A1/21 Nguyễn Cửu Phú, Tân Kiên , Huyện Bình Chánh, TP HCM</t>
  </si>
  <si>
    <t>10.7084312439, 106.6237258911</t>
  </si>
  <si>
    <t>10.7962808609, 106.6415023804</t>
  </si>
  <si>
    <t>XH4001.84287</t>
  </si>
  <si>
    <t>BHX Số 8, đường Bình Lợi</t>
  </si>
  <si>
    <t xml:space="preserve">Số 8, đường Bình Lợi, P  13, Q  Bình Thạnh, TP HCM</t>
  </si>
  <si>
    <t>10.8259315491, 106.7065734863</t>
  </si>
  <si>
    <t>10.8258714676, 106.7066268921</t>
  </si>
  <si>
    <t>KT3006100F</t>
  </si>
  <si>
    <t>Chiến Chi</t>
  </si>
  <si>
    <t>Tổ 16 , Chợ Hóa An, Hoàng Minh Chánh, Hóa An, Biên Hòa, Đồng Nai</t>
  </si>
  <si>
    <t>AL-07D-3008</t>
  </si>
  <si>
    <t>Ngô Thị Huyền</t>
  </si>
  <si>
    <t>10.9358081818, 106.8037338257</t>
  </si>
  <si>
    <t>VI1123.96809</t>
  </si>
  <si>
    <t>VMP_HTH_36_PHAN_DINH_GIOT</t>
  </si>
  <si>
    <t>36 Phan Đình Giót, Phường Nam Hà, TP Hà Tĩnh, Tỉnh Hà Tĩnh</t>
  </si>
  <si>
    <t>18.3380699158, 105.9018936157</t>
  </si>
  <si>
    <t>18.3380584717, 105.9018402100</t>
  </si>
  <si>
    <t>VC1002.50542</t>
  </si>
  <si>
    <t>VM VIET TRI</t>
  </si>
  <si>
    <t>Tầng 2,TTTM Vincom Việt Trì Plaza,Số 2 đường Hùng Vương,P Tiên Cát,Tp Việt Trì,T Phú Thọ</t>
  </si>
  <si>
    <t>21.3121337891, 105.3950347900</t>
  </si>
  <si>
    <t>21.3126544952, 105.3958740234</t>
  </si>
  <si>
    <t>MH300410VE</t>
  </si>
  <si>
    <t>Thành Được</t>
  </si>
  <si>
    <t>Lê Duẫn, Liên Hương, Tuy Phong, Bình Thuận</t>
  </si>
  <si>
    <t>AL-12B-2004</t>
  </si>
  <si>
    <t>Nguyễn Thị Ánh Nguyệt</t>
  </si>
  <si>
    <t>11.2265586853, 108.7276687622</t>
  </si>
  <si>
    <t>VI2009.82534</t>
  </si>
  <si>
    <t xml:space="preserve">Vinmart Plus 21 Nguyễn Đức Cảnh, P  Phước Long</t>
  </si>
  <si>
    <t xml:space="preserve">21 Nguyễn Đức Cảnh, P  Phước Long, TP Nha Trang, Khánh Hoà</t>
  </si>
  <si>
    <t>12.2151556015, 109.1960983276</t>
  </si>
  <si>
    <t>12.2127761841, 109.1954956055</t>
  </si>
  <si>
    <t>XH4001.54939</t>
  </si>
  <si>
    <t>BHX 224 Phạm Phú Thứ</t>
  </si>
  <si>
    <t>224 Phạm Phú Thứ, Phường 4, Quận 6, Tp HCM</t>
  </si>
  <si>
    <t>10.7454910278, 106.6433486938</t>
  </si>
  <si>
    <t>10.7454948425, 106.6433410645</t>
  </si>
  <si>
    <t>LC1009.24965</t>
  </si>
  <si>
    <t>Lan chi Thôn Đoàn Kết, Xã Cổ Đông</t>
  </si>
  <si>
    <t>Thôn Đoàn Kết, Xã Cổ Đông, TX Sơn Tây, Hà Nội</t>
  </si>
  <si>
    <t>21.0482082367, 105.5053634644</t>
  </si>
  <si>
    <t>21.0480175018, 105.5054244995</t>
  </si>
  <si>
    <t>VI4001.55129</t>
  </si>
  <si>
    <t>VMP_HCM_23_I_KHUONG_VIET</t>
  </si>
  <si>
    <t>23 I Khuông Việt, Phường Phú Trung, Quận Tân Phú, TPHCM</t>
  </si>
  <si>
    <t>10.7787399292, 106.6417160034</t>
  </si>
  <si>
    <t>10.7784919739, 106.6417694092</t>
  </si>
  <si>
    <t>Huỳnh Thị Tri</t>
  </si>
  <si>
    <t>HT200212i4</t>
  </si>
  <si>
    <t>Phương Uyên</t>
  </si>
  <si>
    <t>295, Hùng Vương, Trần phú, TP Quảng Ngãi, Quảng Ngãi</t>
  </si>
  <si>
    <t>AL-12F-2009</t>
  </si>
  <si>
    <t>Huỳnh Ngọc Ánh</t>
  </si>
  <si>
    <t>15.1253595352, 108.7977371216</t>
  </si>
  <si>
    <t>TC40021GD4</t>
  </si>
  <si>
    <t>Ngọc Hùng</t>
  </si>
  <si>
    <t>57/8,Phan Văn Hớn,X Bà Điểm,Hóc Môn,HCM</t>
  </si>
  <si>
    <t>AL-03C-3009</t>
  </si>
  <si>
    <t>Huỳnh Thị Khỏe</t>
  </si>
  <si>
    <t>15h30 - 20h00</t>
  </si>
  <si>
    <t>10.8348379135, 106.6063461304</t>
  </si>
  <si>
    <t>Chi nhánh Anh Minh</t>
  </si>
  <si>
    <t>AM100310IR</t>
  </si>
  <si>
    <t>Hiệu</t>
  </si>
  <si>
    <t>Nhạo Sơn, Sông Lô, Vĩnh Phúc</t>
  </si>
  <si>
    <t>AL-03F-1008</t>
  </si>
  <si>
    <t>Đào Thị Huyền</t>
  </si>
  <si>
    <t>21.4258499146, 105.4248733521</t>
  </si>
  <si>
    <t>21.4712371826, 105.4616241455</t>
  </si>
  <si>
    <t>20.9771385193, 105.8410263062</t>
  </si>
  <si>
    <t>20.9796161652, 105.8440246582</t>
  </si>
  <si>
    <t>CF4001.57600</t>
  </si>
  <si>
    <t>CF_387_TAN_SON_NHI</t>
  </si>
  <si>
    <t>387 Tân Sơn Nhì, Phường Tân Thành, Quận Tân Phú, Tp HCM</t>
  </si>
  <si>
    <t>10.7934799194, 106.6285629272</t>
  </si>
  <si>
    <t>10.7934188843, 106.6285400391</t>
  </si>
  <si>
    <t>HD4023.73513</t>
  </si>
  <si>
    <t>Sài Gòn HD Tầng 1 khối A2 số 12 Nguyễn Hữu Thọ, Xã Phước Kiển</t>
  </si>
  <si>
    <t>Tầng 1 khối A2 số 12 Nguyễn Hữu Thọ, Xã Phước Kiển, Huyện Nhà Bè, TP Hồ Chí Minh</t>
  </si>
  <si>
    <t>10.7115249634, 106.7049331665</t>
  </si>
  <si>
    <t>10.7120456696, 106.7066650391</t>
  </si>
  <si>
    <t>DP3007106R</t>
  </si>
  <si>
    <t>Thu Hồng</t>
  </si>
  <si>
    <t>1065/8A, Đông Thành, Tân Đông Hiệp, Dĩ An, Bình Dương</t>
  </si>
  <si>
    <t>AL-04G-3005</t>
  </si>
  <si>
    <t>Trần Văn Mạnh</t>
  </si>
  <si>
    <t>15h30 - 20h30</t>
  </si>
  <si>
    <t>10.9170055389, 106.7710494995</t>
  </si>
  <si>
    <t>VI2003.82520</t>
  </si>
  <si>
    <t>VMP_DNG_429-431_HA_H_TAP</t>
  </si>
  <si>
    <t>429-431 Hà Huy Tập, phường An Khê, quận Thanh Khê, Đà Nẵng</t>
  </si>
  <si>
    <t>16.0574893951, 108.1824111938</t>
  </si>
  <si>
    <t>16.0575065613, 108.1823883057</t>
  </si>
  <si>
    <t>LK3001123E</t>
  </si>
  <si>
    <t>TH Hải My</t>
  </si>
  <si>
    <t xml:space="preserve">ấp Tân Mỹ,  DT743, TT.Thái Hòa, Tân Uyên, Bình Dương</t>
  </si>
  <si>
    <t>AL-10C-3006</t>
  </si>
  <si>
    <t>Lê Thị Nương</t>
  </si>
  <si>
    <t>10.9756317139, 106.7627792358</t>
  </si>
  <si>
    <t>XH4001.59195</t>
  </si>
  <si>
    <t>BHX 307A, 307B</t>
  </si>
  <si>
    <t xml:space="preserve">307A, 307B, 307C Bàu Cát Q  Tân Bình, TPHCM</t>
  </si>
  <si>
    <t>10.7906436920, 106.6463241577</t>
  </si>
  <si>
    <t>10.7906074524, 106.6463623047</t>
  </si>
  <si>
    <t>TT1007105L</t>
  </si>
  <si>
    <t>Oanh Thuyết</t>
  </si>
  <si>
    <t>136, Điện Biên, P.Cửa Bắc, TP.Nam Định, Nam Định</t>
  </si>
  <si>
    <t>AL-07B-1005</t>
  </si>
  <si>
    <t>20.4294128418, 106.1663208008</t>
  </si>
  <si>
    <t>MP400213MR</t>
  </si>
  <si>
    <t>Nguyễn Thị Chín</t>
  </si>
  <si>
    <t>B5/140, Quốc Lộ 50, X Phong Phú, Bình Chánh, HCM</t>
  </si>
  <si>
    <t>AL-11B-3009</t>
  </si>
  <si>
    <t>Võ Thị Hồng Diễm</t>
  </si>
  <si>
    <t>10.6890172958, 106.6536941528</t>
  </si>
  <si>
    <t>Phú Trung</t>
  </si>
  <si>
    <t>PT2005106O</t>
  </si>
  <si>
    <t>Hiếu Quẹo</t>
  </si>
  <si>
    <t>Cam Ranh, Khánh Hòa</t>
  </si>
  <si>
    <t>AL-10B-2006</t>
  </si>
  <si>
    <t>Lê Thị Mỹ Loan</t>
  </si>
  <si>
    <t>11.9661722183, 109.1939315796</t>
  </si>
  <si>
    <t>MK20021UK5</t>
  </si>
  <si>
    <t>Shop Thanh Tâm</t>
  </si>
  <si>
    <t>Lô 21, Võ Thị Sáu, Nha Trang, Khánh Hòa</t>
  </si>
  <si>
    <t>AL-06F-2002</t>
  </si>
  <si>
    <t>Tro Thị Điệp</t>
  </si>
  <si>
    <t>12.2134504318, 109.1974945068</t>
  </si>
  <si>
    <t>10.8317632675, 106.5962753296</t>
  </si>
  <si>
    <t>10.8317813873, 106.5963211060</t>
  </si>
  <si>
    <t>XH4001.100663</t>
  </si>
  <si>
    <t>BHX Thửa số 986</t>
  </si>
  <si>
    <t xml:space="preserve">Thửa số 986, tờ bản đồ số 16, KP  Khánh Long, P  Tân Phước Khánh, TX  Tân Uyên, Tỉnh Bình Dương</t>
  </si>
  <si>
    <t>10.9772472382, 106.7495956421</t>
  </si>
  <si>
    <t>10.9772176743, 106.7496414185</t>
  </si>
  <si>
    <t>DT1002105F</t>
  </si>
  <si>
    <t>Chợ Cọi, Vũ Hội, X.Vũ Hội, H.Vũ Thư, Thái Bình</t>
  </si>
  <si>
    <t>AL-04A-1080</t>
  </si>
  <si>
    <t>Đinh Thị Quỳnh</t>
  </si>
  <si>
    <t>20.4134616852, 106.3491134644</t>
  </si>
  <si>
    <t>DP3007112J</t>
  </si>
  <si>
    <t>Nhật Quyên</t>
  </si>
  <si>
    <t>34/8, Nguyễn Thị Minh Khai, Tân Đông Hiệp, Dĩ An, Bình Dương</t>
  </si>
  <si>
    <t>AL-01G-3002</t>
  </si>
  <si>
    <t>Trần Ngọc Muội</t>
  </si>
  <si>
    <t>10.9306478500, 106.7636032104</t>
  </si>
  <si>
    <t>VI4001.100360</t>
  </si>
  <si>
    <t>VMP_532_PHAM_VAN_CHIEU</t>
  </si>
  <si>
    <t>532 Phạm Văn Chiêu, phường 16, Q Gò Vấp , HCM</t>
  </si>
  <si>
    <t>10.8517198563, 106.6585464478</t>
  </si>
  <si>
    <t>10.8515739441, 106.6585693359</t>
  </si>
  <si>
    <t>DT201010F2</t>
  </si>
  <si>
    <t>Nguyệt</t>
  </si>
  <si>
    <t>Khối 1, TT Vĩnh Điện, Điện Bàn, Quảng Nam</t>
  </si>
  <si>
    <t>AL-04E-2003</t>
  </si>
  <si>
    <t>Hồ Bích Vân</t>
  </si>
  <si>
    <t>15h00 - 19h30</t>
  </si>
  <si>
    <t>15.8928327560, 108.2471084595</t>
  </si>
  <si>
    <t>LA50011046</t>
  </si>
  <si>
    <t>Chị Linh</t>
  </si>
  <si>
    <t>110_Khóm 1, ĐƯờNG TỉNH 827, TT.Tầm Vu, H.Châu Thành, Long An</t>
  </si>
  <si>
    <t>AL-01C-4001</t>
  </si>
  <si>
    <t>Nguyễn Bá Thọ</t>
  </si>
  <si>
    <t>10.4479646683, 106.4673995972</t>
  </si>
  <si>
    <t>10.4479475021, 106.4673995972</t>
  </si>
  <si>
    <t>MT5008.6400</t>
  </si>
  <si>
    <t>METRO RẠCH GIÁ</t>
  </si>
  <si>
    <t>Lô A11, khu lấn biển, phường Vĩnh Bảo, thành phố Rạch Giá, tỉnh Kiên Giang</t>
  </si>
  <si>
    <t>ST-04C-4005</t>
  </si>
  <si>
    <t>Nguyễn Thị Mến</t>
  </si>
  <si>
    <t>10.0013561249, 105.0824737549</t>
  </si>
  <si>
    <t>10.0012760162, 105.0825500488</t>
  </si>
  <si>
    <t>HT40321F5F</t>
  </si>
  <si>
    <t>63, Ngô Quyền, Hiệp Phú, 9, HCM</t>
  </si>
  <si>
    <t>AL-07E-3011</t>
  </si>
  <si>
    <t>Trần Thị Gái</t>
  </si>
  <si>
    <t>10.8444509506, 106.7760467529</t>
  </si>
  <si>
    <t>MP2001100D</t>
  </si>
  <si>
    <t>Hoà Trung</t>
  </si>
  <si>
    <t>262, Đinh Tiên Hoàng, P Thuận Thành, TP Huế, Huế</t>
  </si>
  <si>
    <t>AL-04A-2026</t>
  </si>
  <si>
    <t>15h00 - 20h00</t>
  </si>
  <si>
    <t>16.4777336121, 107.5780944824</t>
  </si>
  <si>
    <t>HP2002104A</t>
  </si>
  <si>
    <t>Mỹ Dung 3</t>
  </si>
  <si>
    <t>102, Phan Đình Phùng, 1, Tuy Hòa, Phú Yên</t>
  </si>
  <si>
    <t>AL-04A-2032</t>
  </si>
  <si>
    <t>Trương Thị Mỹ Nhiên</t>
  </si>
  <si>
    <t>13.0856037140, 109.3017196655</t>
  </si>
  <si>
    <t>VI1002.55190</t>
  </si>
  <si>
    <t>VMP_PTO_BANG_1_QUANGTRUNG</t>
  </si>
  <si>
    <t>Băng 1, đường Quang Trung, phường Tân Dân, thành Phố Việt Trì, tỉnh Phú Thọ</t>
  </si>
  <si>
    <t>21.3293972015, 105.3903579712</t>
  </si>
  <si>
    <t>21.3293056488, 105.3900680542</t>
  </si>
  <si>
    <t>XH4001.106687</t>
  </si>
  <si>
    <t>BHX Ấp Khánh An, Xã Tân Khánh Trung</t>
  </si>
  <si>
    <t xml:space="preserve">Ấp Khánh An, Xã Tân Khánh Trung, H  LẤp Vò, Tỉnh Đồng Tháp</t>
  </si>
  <si>
    <t>ST-11F-4004</t>
  </si>
  <si>
    <t>Nguyễn Đức Đạt</t>
  </si>
  <si>
    <t>10.2968339920, 105.7647094727</t>
  </si>
  <si>
    <t>KT3006102B</t>
  </si>
  <si>
    <t>Anh Thư 6</t>
  </si>
  <si>
    <t>Tổ 13, KP 5, Trần Văn Xã, Trảng Dài, Biên Hòa, Đồng Nai</t>
  </si>
  <si>
    <t>AL-08D-3004</t>
  </si>
  <si>
    <t>Nguyễn Thị Ngọc Anh</t>
  </si>
  <si>
    <t>10.9871997833, 106.8689193726</t>
  </si>
  <si>
    <t>VM1009.88033</t>
  </si>
  <si>
    <t>VMP_HNI_SH05_STARCITY</t>
  </si>
  <si>
    <t xml:space="preserve">SH05- Tầng 1 – Khối Đế, Tòa Tháp A,B, Tổ Hợp công trình TM, DV, VP, nhà ở và nhà trẻ - Starcity center tại ô đất Ký Hiệu HH, KĐT Đông Nam, Trần Duy Hưng, P  Trung hòa, Q  Cầu Giấy,Hà Nội</t>
  </si>
  <si>
    <t>21.0064353943, 105.7957458496</t>
  </si>
  <si>
    <t>21.0063896179, 105.7957077026</t>
  </si>
  <si>
    <t>HP300910EY</t>
  </si>
  <si>
    <t>Thy Hiền</t>
  </si>
  <si>
    <t>Lê Hồng Phong, Ngãi Giao, Châu Đức, Bà Rịa - Vũng Tàu</t>
  </si>
  <si>
    <t>AL-08C-3016</t>
  </si>
  <si>
    <t>Đỗ Thị Phương Thảo</t>
  </si>
  <si>
    <t>10.6472454071, 107.2453994751</t>
  </si>
  <si>
    <t>MP20011005</t>
  </si>
  <si>
    <t>Phương mai</t>
  </si>
  <si>
    <t>38, Đinh Tiên Hoàng, P Thuận Thành, TP Huế, Huế</t>
  </si>
  <si>
    <t>AL-08B-2003</t>
  </si>
  <si>
    <t>16.4721412659, 107.5823211670</t>
  </si>
  <si>
    <t>CO4075.100925</t>
  </si>
  <si>
    <t>FINELIFE_HA_DO</t>
  </si>
  <si>
    <t>Số 200, Đường 3/2, Phường 12, Quận 10, TP HCM</t>
  </si>
  <si>
    <t>10.7759552002, 106.6785430908</t>
  </si>
  <si>
    <t>DH3009115R</t>
  </si>
  <si>
    <t>Xuân Lan</t>
  </si>
  <si>
    <t>1466, Quảng Biên, Quảng Tiến, Trảng Bom, Đồng Nai</t>
  </si>
  <si>
    <t>AL-04A-3136</t>
  </si>
  <si>
    <t>Bùi Thị Hạnh</t>
  </si>
  <si>
    <t>10.9468288422, 106.9871978760</t>
  </si>
  <si>
    <t>TY3001126G</t>
  </si>
  <si>
    <t>ĐL Thuốc Tây 341</t>
  </si>
  <si>
    <t>DT747 ấp 1, Lạc An, Bắc Tân Uyên, Bình Dương</t>
  </si>
  <si>
    <t>AL-11C-3001</t>
  </si>
  <si>
    <t>Nguyễn Văn Trung</t>
  </si>
  <si>
    <t>11.0517673492, 106.9203796387</t>
  </si>
  <si>
    <t>XH4001.81522</t>
  </si>
  <si>
    <t>BHX 338 Đường Bình Đông</t>
  </si>
  <si>
    <t xml:space="preserve">338 Đường Bình Đông, Phường 15, Quận 8, Tp  HCM</t>
  </si>
  <si>
    <t>10.7362928391, 106.6385955811</t>
  </si>
  <si>
    <t>CF5001.57578</t>
  </si>
  <si>
    <t>CF_CT_111_PHAM_NGU_LAO</t>
  </si>
  <si>
    <t>111 Phạm Ngũ Lão, Phường Thới Bình, Quận Ninh Kiều, Tp Cần Thơ</t>
  </si>
  <si>
    <t>10.0447053909, 105.7748489380</t>
  </si>
  <si>
    <t>10.0447063446, 105.7748641968</t>
  </si>
  <si>
    <t>VI4001.55131</t>
  </si>
  <si>
    <t>VMP_HCM_1266_KHA_VAN_CAN</t>
  </si>
  <si>
    <t xml:space="preserve">1266 Kha Vạn Cân, Khu Phố 2, Phường Linh Trung, TP  Thủ Đức, TP  Hồ Chí Minh</t>
  </si>
  <si>
    <t>10.8651075363, 106.7618179321</t>
  </si>
  <si>
    <t>10.8650741577, 106.7617950439</t>
  </si>
  <si>
    <t>KC100110BW</t>
  </si>
  <si>
    <t>NHÀ SÁCH TIẾN THỌ 828</t>
  </si>
  <si>
    <t>828, Đường Láng,P.Láng Thượng,Q.Đống Đa,Hà Nội</t>
  </si>
  <si>
    <t>21.0190753937, 105.8023834229</t>
  </si>
  <si>
    <t>21.0192832947, 105.8023757935</t>
  </si>
  <si>
    <t>EB4001.13950</t>
  </si>
  <si>
    <t>BIGC AN PHU</t>
  </si>
  <si>
    <t xml:space="preserve">Số 1,Cantavil An Phú,đường Song Hành,XLHN,KP5,P An Phú,TP  Thủ Đức,TP  Hồ Chí Minh</t>
  </si>
  <si>
    <t>10.8013725281, 106.7470626831</t>
  </si>
  <si>
    <t>10.8014774323, 106.7466659546</t>
  </si>
  <si>
    <t>VI4001.55755</t>
  </si>
  <si>
    <t>VMP_HCM_66B_NG_SY_SACH</t>
  </si>
  <si>
    <t>66B Nguyễn Sỹ Sách, Phường 15, Quận Tân Bình, TPHCM</t>
  </si>
  <si>
    <t>10.8198194504, 106.6359024048</t>
  </si>
  <si>
    <t>10.8198976517, 106.6358718872</t>
  </si>
  <si>
    <t>HT40321F02</t>
  </si>
  <si>
    <t>Bắc Hiền</t>
  </si>
  <si>
    <t>387, Nguyễn Văn Tăng, Long Thạnh Mỹ, 9, HCM</t>
  </si>
  <si>
    <t>AL-09E-3002</t>
  </si>
  <si>
    <t>Nguyễn Thành Tài</t>
  </si>
  <si>
    <t>10.8410539627, 106.8262100220</t>
  </si>
  <si>
    <t>VM1009.51117</t>
  </si>
  <si>
    <t>VMP_HNI_91_DOC_NGU</t>
  </si>
  <si>
    <t>Số 91 Đốc Ngữ, phường Liễu Giai, quận Ba Đình, Hà Nội</t>
  </si>
  <si>
    <t>21.0405406952, 105.8129959106</t>
  </si>
  <si>
    <t>21.0405406952, 105.8130035400</t>
  </si>
  <si>
    <t>PT40351QSU</t>
  </si>
  <si>
    <t>Family Mart 123A, Hoàng Hoa Thám</t>
  </si>
  <si>
    <t>123A, Hoàng Hoa Thám, P.13, Q.Tân Bình, Hồ Chí Minh</t>
  </si>
  <si>
    <t>10.7535161972, 106.6651306152</t>
  </si>
  <si>
    <t>10.7563886642, 106.6630554199</t>
  </si>
  <si>
    <t>VI1001.88947</t>
  </si>
  <si>
    <t>VMP_QNH_683_NGUYEN_VAN_CU</t>
  </si>
  <si>
    <t>Số 683 Nguyễn Văn Cừ, phường Hồng Hà, TP. Hạ Long, Tỉnh Quảng Ninh</t>
  </si>
  <si>
    <t>20.9511108398, 107.1340255737</t>
  </si>
  <si>
    <t>20.9510765076, 107.1339569092</t>
  </si>
  <si>
    <t>VC300510JG</t>
  </si>
  <si>
    <t>689, Ấp Trần Cao Văn, Bàu Hàm, Thống Nhất, Đồng Nai</t>
  </si>
  <si>
    <t>AL-04C-3004</t>
  </si>
  <si>
    <t>Phạm Thị Lan</t>
  </si>
  <si>
    <t>10.9440965652, 107.1396179199</t>
  </si>
  <si>
    <t>10.9441299438, 107.1395111084</t>
  </si>
  <si>
    <t>NC40171JWO</t>
  </si>
  <si>
    <t>Circle K 29, Lê Lợi</t>
  </si>
  <si>
    <t>29, Lê Lợi, P.14, Q.Gò Vấp, Hồ Chí Minh</t>
  </si>
  <si>
    <t>10.8207550049, 106.6874160767</t>
  </si>
  <si>
    <t>10.8209857941, 106.6874771118</t>
  </si>
  <si>
    <t>XH4001.82701</t>
  </si>
  <si>
    <t>BHX Thửa đất số 169</t>
  </si>
  <si>
    <t>Thửa đất số 169, tờ bản đồ 32, Ấp Thanh Hòa, Xã Mỏ Công, Huyện Tân Biên, Tây Ninh</t>
  </si>
  <si>
    <t>11.4492216110, 106.0286941528</t>
  </si>
  <si>
    <t>11.4493093491, 106.0286788940</t>
  </si>
  <si>
    <t>TA100311L0</t>
  </si>
  <si>
    <t>Thịnh</t>
  </si>
  <si>
    <t>Chợ Diêm, Đức Giang, Long Biên, Hà Nội</t>
  </si>
  <si>
    <t>AL-04A-1013</t>
  </si>
  <si>
    <t>Đặng Thị Minh Duyên</t>
  </si>
  <si>
    <t>21.0708179474, 105.9041976929</t>
  </si>
  <si>
    <t>TT201413YS</t>
  </si>
  <si>
    <t>Khánh Hiền</t>
  </si>
  <si>
    <t>Lô 69, Tây Sơn, Hòa Hải, Ngũ Hành Sơn, Đà Nẵng</t>
  </si>
  <si>
    <t>AL-04A-2028</t>
  </si>
  <si>
    <t>Trịnh Thị Thu Hà</t>
  </si>
  <si>
    <t>15.9951591492, 108.2567291260</t>
  </si>
  <si>
    <t>DL20041011</t>
  </si>
  <si>
    <t>Thùy An</t>
  </si>
  <si>
    <t>377, Hoàng Diệu, Buôn Ma Thuột, Đăk Lăk</t>
  </si>
  <si>
    <t>AL-10D-2006</t>
  </si>
  <si>
    <t>Đàm Thị Thùy Trang</t>
  </si>
  <si>
    <t>12.6836795807, 108.0327606201</t>
  </si>
  <si>
    <t>SG4040.57246</t>
  </si>
  <si>
    <t>SF_1146_PHAM_THE_HIEN</t>
  </si>
  <si>
    <t>1146 Phạm Thế Hiển, Phường 5, Quận 8, TP HCM</t>
  </si>
  <si>
    <t>10.7426815033, 106.6656112671</t>
  </si>
  <si>
    <t>10.7427082062, 106.6655807495</t>
  </si>
  <si>
    <t>LK3001129K</t>
  </si>
  <si>
    <t>TH Minh Duy</t>
  </si>
  <si>
    <t>158/5, Đường Tân Thiều, KP.Tân Hiệp, TT.Thái Hòa, Tân Uyên, Bình Dương</t>
  </si>
  <si>
    <t>AL-09F-3006</t>
  </si>
  <si>
    <t>Lâm Út Đại</t>
  </si>
  <si>
    <t>12h00 - 20h00</t>
  </si>
  <si>
    <t>10.9637460709, 106.7538909912</t>
  </si>
  <si>
    <t>TN101112M7</t>
  </si>
  <si>
    <t>Ta Thi Soi</t>
  </si>
  <si>
    <t>to 1 ,Do Lo ,Yen nghia, Ha Dong, Ha Noi</t>
  </si>
  <si>
    <t>AL-02E-1002</t>
  </si>
  <si>
    <t>20.9436607361, 105.7403106689</t>
  </si>
  <si>
    <t>RV3001128Z</t>
  </si>
  <si>
    <t>Thành Lập</t>
  </si>
  <si>
    <t>11, Kha Van Can, 7, Vung Tau, Ba Ria - Vung Tau</t>
  </si>
  <si>
    <t>AL-03D-3004</t>
  </si>
  <si>
    <t>Hoàng Nguyễn Ngọc Trinh</t>
  </si>
  <si>
    <t>10.3650360107, 107.0857543945</t>
  </si>
  <si>
    <t>PL5001132F</t>
  </si>
  <si>
    <t>CH Tiện Ích Số 1</t>
  </si>
  <si>
    <t>197/17, Ấp Phước Yên, X.Phú Quới, H.Long Hồ, Vĩnh Long</t>
  </si>
  <si>
    <t>AL-03C-4006</t>
  </si>
  <si>
    <t>Nguyễn Ly Ngọc</t>
  </si>
  <si>
    <t>10.1642894745, 105.9283370972</t>
  </si>
  <si>
    <t>TC400210B9</t>
  </si>
  <si>
    <t>Cô Hồng</t>
  </si>
  <si>
    <t>78, Ấp Đình, X Tân Phú Trung, Củ Chi, HCM</t>
  </si>
  <si>
    <t>AL-11A-3004</t>
  </si>
  <si>
    <t>Nguyễn Phước Toàn</t>
  </si>
  <si>
    <t>10.9430503845, 106.5402526855</t>
  </si>
  <si>
    <t>VM1009.77996</t>
  </si>
  <si>
    <t>VMP_THONG_NHAT_COMPLEX</t>
  </si>
  <si>
    <t>Khu dịch vụ thương mại Tầng 1 khối công trình TTTM và nhà ở cao tầng - Thống Nhất Complex, số 82 Nguyễn Tuân, phường Thanh Xuân Trung, quận Thanh Xuân, Hà Nội</t>
  </si>
  <si>
    <t>20.9964809418, 105.8049697876</t>
  </si>
  <si>
    <t>20.9965515137, 105.8048019409</t>
  </si>
  <si>
    <t>MP40021KEW</t>
  </si>
  <si>
    <t>Circle K Citizen Apartment,Tầng trệt</t>
  </si>
  <si>
    <t>Citizen Apartment,Tầng trệt, KCC lô 3-4, cụm 1, KDC Trung Sơn, 9A, X.Bình Hưng, H.Bình Chánh, Hồ Chí Minh</t>
  </si>
  <si>
    <t>10.7307386398, 106.6890716553</t>
  </si>
  <si>
    <t>10.7307443619, 106.6889953613</t>
  </si>
  <si>
    <t>NL3010111G</t>
  </si>
  <si>
    <t>Cường Lộc</t>
  </si>
  <si>
    <t>27B, Quốc Lộ 1K, Khu phố 1, Tân Hiệp, Biên Hòa, Đồng Nai</t>
  </si>
  <si>
    <t>AL-12A-3001</t>
  </si>
  <si>
    <t>Nguyễn Thị Huyền Phương</t>
  </si>
  <si>
    <t>10.9838027954, 106.8896713257</t>
  </si>
  <si>
    <t>NT40541DIE</t>
  </si>
  <si>
    <t>Circle K 48, Phan Văn Hân</t>
  </si>
  <si>
    <t>48, Phan Văn Hân, P.19, Q.Bình Thạnh, Hồ Chí Minh</t>
  </si>
  <si>
    <t>10.7924718857, 106.7079238892</t>
  </si>
  <si>
    <t>10.7924690247, 106.7078399658</t>
  </si>
  <si>
    <t>DT201011LF</t>
  </si>
  <si>
    <t>Hòa</t>
  </si>
  <si>
    <t xml:space="preserve">201B, Lê Thánh Tông , Cẩm Châu, Hội An, Quảng Nam </t>
  </si>
  <si>
    <t>AL-05D-2002</t>
  </si>
  <si>
    <t>Võ Thị Thu Hiếu</t>
  </si>
  <si>
    <t>15.8836946487, 108.3496856689</t>
  </si>
  <si>
    <t>Siêu thị GS-25</t>
  </si>
  <si>
    <t>KG40031RM6</t>
  </si>
  <si>
    <t>Siêu thị GS-25 Số 210, Nguyễn Thị Định</t>
  </si>
  <si>
    <t>Số 210, Nguyễn Thị Định, P.Bình Trưng Tây, Q.2, Hồ Chí Minh</t>
  </si>
  <si>
    <t>10.7777118683, 106.7655792236</t>
  </si>
  <si>
    <t>10.7852668762, 106.7569046021</t>
  </si>
  <si>
    <t>10.9837923050, 106.8897018433</t>
  </si>
  <si>
    <t>TB1012113K</t>
  </si>
  <si>
    <t>23, Lò Đúc, Phạm Đình Hổ, Hai Bà Trưng, Hà Nội</t>
  </si>
  <si>
    <t>AL-03E-1014</t>
  </si>
  <si>
    <t>Trần Thu Hiền</t>
  </si>
  <si>
    <t>21.0175991058, 105.8555068970</t>
  </si>
  <si>
    <t>NL3010101S</t>
  </si>
  <si>
    <t>Phú Đô</t>
  </si>
  <si>
    <t>117/7, Quốc Lộ 1A, KP 5, Hố Nai, Biên Hòa, Đồng Nai</t>
  </si>
  <si>
    <t>AL-09C-3002</t>
  </si>
  <si>
    <t>Võ Đình Ngọc Thảo</t>
  </si>
  <si>
    <t>10.9661865234, 106.8861694336</t>
  </si>
  <si>
    <t>CT50031055</t>
  </si>
  <si>
    <t xml:space="preserve">Nhã  Kỳ  </t>
  </si>
  <si>
    <t>30, Ấp thị 1, TT.Mỹ Luông, H.Chợ Mới, An Giang</t>
  </si>
  <si>
    <t>AL-09B-4004</t>
  </si>
  <si>
    <t>Quách Bích Dao</t>
  </si>
  <si>
    <t>10.5071659088, 105.4909591675</t>
  </si>
  <si>
    <t>XP200210Q4</t>
  </si>
  <si>
    <t>Võ Thị Thu Dung</t>
  </si>
  <si>
    <t>45, Phan Bội Châu, Trần Hưng Đạo, Quy Nhơn, Bình Định</t>
  </si>
  <si>
    <t>AL-06F-2003</t>
  </si>
  <si>
    <t>Huỳnh Thị Nhã Trúc</t>
  </si>
  <si>
    <t>13.7736749649, 109.2356262207</t>
  </si>
  <si>
    <t>VI4001.85832</t>
  </si>
  <si>
    <t>VMP_HCM_GRAND_RIVERSIDE</t>
  </si>
  <si>
    <t>Lô G1 03 và G1 04, Chung cư Grand Riverside, 278-283 Bến Vân Đồn, Phường 2, Quận 4, TP HCM</t>
  </si>
  <si>
    <t>10.7587947845, 106.6942825317</t>
  </si>
  <si>
    <t>10.7587633133, 106.6942672729</t>
  </si>
  <si>
    <t>10.8007907867, 106.7433853149</t>
  </si>
  <si>
    <t>10.8007659912, 106.7434387207</t>
  </si>
  <si>
    <t>MK20021UK4</t>
  </si>
  <si>
    <t>Vân Loan</t>
  </si>
  <si>
    <t>Lô 19, Võ Thị Sáu, Nha Trang, Khánh Hòa</t>
  </si>
  <si>
    <t>AL-03F-2012</t>
  </si>
  <si>
    <t>Trần Thị Kiều Mẫn</t>
  </si>
  <si>
    <t>12.2135515213, 109.1974029541</t>
  </si>
  <si>
    <t>NC4017185W</t>
  </si>
  <si>
    <t>Cô Liên</t>
  </si>
  <si>
    <t>70/479E, Huỳnh Văn Nghệ, 12, Gò Vấp, HCM</t>
  </si>
  <si>
    <t>AL-03D-3030</t>
  </si>
  <si>
    <t>Tống Thụy Thùy Trang</t>
  </si>
  <si>
    <t>10.8299064636, 106.6382369995</t>
  </si>
  <si>
    <t>BR1001.106885</t>
  </si>
  <si>
    <t>BRG 53D Hàng Bài, Quận Hoàn Kiếm</t>
  </si>
  <si>
    <t>53D Hàng Bài, Quận Hoàn Kiếm, Hà Nội</t>
  </si>
  <si>
    <t>21.0202579498, 105.8520812988</t>
  </si>
  <si>
    <t>21.0202713013, 105.8521041870</t>
  </si>
  <si>
    <t>XH4001.122342</t>
  </si>
  <si>
    <t>BHX Số 2-3-4 thôn Nam Phú, Xã Nam Đà</t>
  </si>
  <si>
    <t>Số 2-3-4 thôn Nam Phú, Xã Nam Đà, Huyện Krông Nô, Tỉnh Đắk Nông</t>
  </si>
  <si>
    <t>12.4808807373, 107.8622741699</t>
  </si>
  <si>
    <t>12.4817962646, 107.8629684448</t>
  </si>
  <si>
    <t>KG40031B7Q</t>
  </si>
  <si>
    <t>Cô Cát</t>
  </si>
  <si>
    <t>132, Đoàn Văn Bơ, 9, 4, HCM</t>
  </si>
  <si>
    <t>AL-02F-3009</t>
  </si>
  <si>
    <t>Nguyễn Thị Kiều Oanh</t>
  </si>
  <si>
    <t>15h00 - 18h30</t>
  </si>
  <si>
    <t>10.7639780045, 106.7030105591</t>
  </si>
  <si>
    <t>PT200116Q6</t>
  </si>
  <si>
    <t>Hường</t>
  </si>
  <si>
    <t>108, Lương Ngọc Quyến, Thanh Bình, Hải Châu, Đà Nẵng</t>
  </si>
  <si>
    <t>AL-04A-2023</t>
  </si>
  <si>
    <t>Nguyễn Thị Vân</t>
  </si>
  <si>
    <t>16.0811080933, 108.2173385620</t>
  </si>
  <si>
    <t>NC4017109N</t>
  </si>
  <si>
    <t>Phượng Linh</t>
  </si>
  <si>
    <t>420, 1B - Vườn Lài, An Phú Đông, 12, HCM</t>
  </si>
  <si>
    <t>AL-05D-3015</t>
  </si>
  <si>
    <t>Lê Trần Bình Minh</t>
  </si>
  <si>
    <t>10.8580207825, 106.6923599243</t>
  </si>
  <si>
    <t>HA500813KO</t>
  </si>
  <si>
    <t>Thuốc Tây Thanh Liêm</t>
  </si>
  <si>
    <t>Lô 34, Chợ Giồng Riềng( Kế Chú Lộc Giồng Riềng), TT.Giồng Riềng, H.Giồng Riềng, Kiên Giang</t>
  </si>
  <si>
    <t>AL-04A-4042</t>
  </si>
  <si>
    <t>Trần Thị Diễm Hương</t>
  </si>
  <si>
    <t>9.9069938660, 105.3117752075</t>
  </si>
  <si>
    <t>XH4001.124680</t>
  </si>
  <si>
    <t>BHX 2635 Huỳnh Tấn Phát</t>
  </si>
  <si>
    <t>2635 Huỳnh Tấn Phát, Ấp 4, Xã Phú Xuân, Huyện Nhà Bè, TP HCM</t>
  </si>
  <si>
    <t>10.6783809662, 106.7537765503</t>
  </si>
  <si>
    <t>10.6783781052, 106.7537765503</t>
  </si>
  <si>
    <t>HN5002101O</t>
  </si>
  <si>
    <t>Su Bin</t>
  </si>
  <si>
    <t>754, 754 Ấp Bình Thủy, Hòa Khánh Đông, Đức Hòa, Long An</t>
  </si>
  <si>
    <t>AL-09C-4023</t>
  </si>
  <si>
    <t>Cao Thị Thanh Trúc</t>
  </si>
  <si>
    <t>10.8411417007, 106.4211730957</t>
  </si>
  <si>
    <t>NT40541A2H</t>
  </si>
  <si>
    <t>Cô Thường</t>
  </si>
  <si>
    <t>424, Nơ Trang Long, 13, Bình Thạnh, HCM</t>
  </si>
  <si>
    <t>AL-04G-3009</t>
  </si>
  <si>
    <t>Nguyễn Thùy Vân Oanh</t>
  </si>
  <si>
    <t>10.8255319595, 106.7066421509</t>
  </si>
  <si>
    <t>SH500410N8</t>
  </si>
  <si>
    <t>Mẹ Và Bé</t>
  </si>
  <si>
    <t>102, Mậu Thân, P.An Nghiệp, Q.Ninh Kiều, Cần Thơ</t>
  </si>
  <si>
    <t>AL-07D-4005</t>
  </si>
  <si>
    <t>Hồ Thị Thúy Niềm</t>
  </si>
  <si>
    <t>10.0432958603, 105.7656860352</t>
  </si>
  <si>
    <t>16.0664291382, 108.1871109009</t>
  </si>
  <si>
    <t>16.0664863586, 108.1870727539</t>
  </si>
  <si>
    <t>KC100110B0</t>
  </si>
  <si>
    <t>Circle K 83</t>
  </si>
  <si>
    <t>83, Hàng Điếu,P.Cửa Đông,Q.Hoàn Kiếm,Hà Nội</t>
  </si>
  <si>
    <t>21.0319595337, 105.8468093872</t>
  </si>
  <si>
    <t>20.9477653503, 105.8749084473</t>
  </si>
  <si>
    <t>MQ1001138X</t>
  </si>
  <si>
    <t xml:space="preserve">Anh Huy </t>
  </si>
  <si>
    <t>35/108, Nghi Tàm, Yên Phụ, Tây Hồ, Hà Nội</t>
  </si>
  <si>
    <t>AL-08F-1003</t>
  </si>
  <si>
    <t>Phạm Thị Hồng Hiến</t>
  </si>
  <si>
    <t>21.0535316467, 105.8391571045</t>
  </si>
  <si>
    <t>HT20021031</t>
  </si>
  <si>
    <t>Chị Ngọc</t>
  </si>
  <si>
    <t>139, Lê Trung Đình, Trần Hưng Đạo, TP Quảng Ngãi, Quảng Ngãi</t>
  </si>
  <si>
    <t>AL-04A-2053</t>
  </si>
  <si>
    <t>Nguyễn Thị Nở</t>
  </si>
  <si>
    <t>15.1241025925, 108.8070297241</t>
  </si>
  <si>
    <t>GN20011161</t>
  </si>
  <si>
    <t>Yến</t>
  </si>
  <si>
    <t>83, Đặng Huy Trứ, P Trường An, TP Huế, Huế</t>
  </si>
  <si>
    <t>AL-07E-1005</t>
  </si>
  <si>
    <t>Đặng Thị Ngọc Diệp</t>
  </si>
  <si>
    <t>16.4463310242, 107.5863037109</t>
  </si>
  <si>
    <t>Phước Sang</t>
  </si>
  <si>
    <t>NT2002102W</t>
  </si>
  <si>
    <t>HO MINH QUANG</t>
  </si>
  <si>
    <t>133, Nguyễn Thụy, Quảng Phú, TP Quảng Ngãi, Quảng Ngãi</t>
  </si>
  <si>
    <t>AL-12E-2006</t>
  </si>
  <si>
    <t>Võ Thị Yến Nhi</t>
  </si>
  <si>
    <t>15.1182451248, 108.7815322876</t>
  </si>
  <si>
    <t>TL40041C9U</t>
  </si>
  <si>
    <t>TH Anh Vinh</t>
  </si>
  <si>
    <t>376, Huỳnh Tấn Phát, Bình Thuận, 7, HCM</t>
  </si>
  <si>
    <t>AL-08E-3004</t>
  </si>
  <si>
    <t>Cao Thị Ngọc Hân</t>
  </si>
  <si>
    <t>10.7475881577, 106.7288055420</t>
  </si>
  <si>
    <t>10.7476139069, 106.7289047241</t>
  </si>
  <si>
    <t>MP40021038</t>
  </si>
  <si>
    <t>Bích Ngọc</t>
  </si>
  <si>
    <t>10, Chợ Cầu Xáng, X Phạm Văn Hai, Bình Chánh, HCM</t>
  </si>
  <si>
    <t>AL-05D-3018</t>
  </si>
  <si>
    <t>Chu Thị Hoài</t>
  </si>
  <si>
    <t>10.7909660339, 106.5152969360</t>
  </si>
  <si>
    <t>MP40021JHX</t>
  </si>
  <si>
    <t>Siêu Thị Sữa</t>
  </si>
  <si>
    <t>4545, Nguyễn Cửu Phú, Tân Tạo A, Bình Chánh, HCM</t>
  </si>
  <si>
    <t>AL-04A-3128</t>
  </si>
  <si>
    <t>Nguyễn Thị Cẩm Tú</t>
  </si>
  <si>
    <t>10.7564964294, 106.5865249634</t>
  </si>
  <si>
    <t>VM1009.65690</t>
  </si>
  <si>
    <t>VMP_HNI_262_LINH_NAM</t>
  </si>
  <si>
    <t>Số 262 Lĩnh Nam, phường Lĩnh Nam, quận Hoàng Mai, thành phố Hà Nội</t>
  </si>
  <si>
    <t>20.9827270508, 105.8776855469</t>
  </si>
  <si>
    <t>20.9821853638, 105.8789291382</t>
  </si>
  <si>
    <t>MK400212F5</t>
  </si>
  <si>
    <t>Thanh Dung</t>
  </si>
  <si>
    <t>006-Lô F, CC Bàu Cát 2, Vườn Lan, 9, Tân Bình, HCM</t>
  </si>
  <si>
    <t>AL-09C-3021</t>
  </si>
  <si>
    <t>Tô Thụy Hạnh Xuân</t>
  </si>
  <si>
    <t>10.7854003906, 106.6455764771</t>
  </si>
  <si>
    <t>10.7853860855, 106.6455841064</t>
  </si>
  <si>
    <t>HN500112W9</t>
  </si>
  <si>
    <t>Tạp Hóa Thanh Hải</t>
  </si>
  <si>
    <t>678, Khom 1, TT.Lai Vung, X.Lai Vung, Đồng Tháp</t>
  </si>
  <si>
    <t>AL-03C-4004</t>
  </si>
  <si>
    <t>Nguyễn Kim Lê</t>
  </si>
  <si>
    <t>10.2883090973, 105.6585464478</t>
  </si>
  <si>
    <t>VI4001.64729</t>
  </si>
  <si>
    <t>VMP_HCM_258_27_BONG_SAO</t>
  </si>
  <si>
    <t>258/27 Bông Sao, Phường 5, Quận 8, TP HCM</t>
  </si>
  <si>
    <t>10.7364711761, 106.6616973877</t>
  </si>
  <si>
    <t>10.7364425659, 106.6616973877</t>
  </si>
  <si>
    <t>TA10031156</t>
  </si>
  <si>
    <t>Phương</t>
  </si>
  <si>
    <t>91, Ngọc Lâm, Long Biên, Hà Nội</t>
  </si>
  <si>
    <t>AL-09E-1005</t>
  </si>
  <si>
    <t>Nguyễn Thị Quỳnh Trang</t>
  </si>
  <si>
    <t>21.0448379517, 105.8680496216</t>
  </si>
  <si>
    <t>VI4001.100348</t>
  </si>
  <si>
    <t>VMP_CM_A_01_VALORA_MIZUKI</t>
  </si>
  <si>
    <t>A – 01 (LK 9-01) đường D4, Khu nhà ở Nguyên Sơn tại xã Bình Hưng, Huyện Bình Chánh, TP HCM (Dự án Valora Mizuki)</t>
  </si>
  <si>
    <t>10.7152957916, 106.6623535156</t>
  </si>
  <si>
    <t>10.7153244019, 106.6623535156</t>
  </si>
  <si>
    <t>PT40351EKJ</t>
  </si>
  <si>
    <t>Shop Su Su</t>
  </si>
  <si>
    <t>395, Thoại Ngọc Hầu, Hiệp Tân, Tân Phú, HCM</t>
  </si>
  <si>
    <t>AL-05C-3010</t>
  </si>
  <si>
    <t>Lê Thị Phương Trâm</t>
  </si>
  <si>
    <t>10.7735471725, 106.6217041016</t>
  </si>
  <si>
    <t>CF4002.105152</t>
  </si>
  <si>
    <t>CH_CF_NQ_TANG_LONG</t>
  </si>
  <si>
    <t>310 Lã Xuân Oai, Phường Long Trường, TP. Thủ Đức, TP. Hồ Chí Minh</t>
  </si>
  <si>
    <t>ST-03E-3044</t>
  </si>
  <si>
    <t>Nguyễn Văn Tấn Đạt</t>
  </si>
  <si>
    <t>10.8254051208, 106.8074111938</t>
  </si>
  <si>
    <t>10.8122444153, 106.8596038818</t>
  </si>
  <si>
    <t>TD30011026</t>
  </si>
  <si>
    <t>CH Chị Thúy</t>
  </si>
  <si>
    <t>433, Tổ 9, Khu 3, An Hòa, Biên Hòa, Đồng Nai</t>
  </si>
  <si>
    <t>AL-07D-3010</t>
  </si>
  <si>
    <t>Phan Thanh Quí</t>
  </si>
  <si>
    <t>10.8895483017, 106.8620452881</t>
  </si>
  <si>
    <t>DT2010117H</t>
  </si>
  <si>
    <t>Pika Mart</t>
  </si>
  <si>
    <t>3, Trần Nhân Tông, Vĩnh Điện, Điện Bàn, Quảng Nam</t>
  </si>
  <si>
    <t>AL-08C-2004</t>
  </si>
  <si>
    <t>Trần Thị Kim Phượng</t>
  </si>
  <si>
    <t>15.8968839645, 108.2451629639</t>
  </si>
  <si>
    <t>KL3001109Y</t>
  </si>
  <si>
    <t>Liên Mỹ</t>
  </si>
  <si>
    <t>39, Đặng Văn Trước, KP Lộc Thành, Trảng Bàng, Trảng Bàng, Tây Ninh</t>
  </si>
  <si>
    <t>AL-02G-3001</t>
  </si>
  <si>
    <t>Trương Thị Lành</t>
  </si>
  <si>
    <t>11.0287094116, 106.3589096069</t>
  </si>
  <si>
    <t>DH3009109B</t>
  </si>
  <si>
    <t>Mai Trang</t>
  </si>
  <si>
    <t>14/5, Chợ Đông Hòa, QL 1A, Hòa Bình, Đông Hòa, Trảng Bom, Đồng Nai</t>
  </si>
  <si>
    <t>AL-06A-3006</t>
  </si>
  <si>
    <t>10.9430189133, 107.0673599243</t>
  </si>
  <si>
    <t>TT2014117L</t>
  </si>
  <si>
    <t>Hiền</t>
  </si>
  <si>
    <t>29, Phan Bá Phiến, Thọ Quang , Sơn Trà, Đà Nẵng</t>
  </si>
  <si>
    <t>AL-12E-2001</t>
  </si>
  <si>
    <t>Lê Thị Liễu</t>
  </si>
  <si>
    <t>16.0951061249, 108.2461242676</t>
  </si>
  <si>
    <t>MT500114WW</t>
  </si>
  <si>
    <t xml:space="preserve">Kim Hương </t>
  </si>
  <si>
    <t>44 Ô 2, QL50, Chợ Gạo, Chợ Gạo, Tiền Giang</t>
  </si>
  <si>
    <t>AL-03C-4008</t>
  </si>
  <si>
    <t>Tô Phương Trang</t>
  </si>
  <si>
    <t>10.3540592194, 106.4606475830</t>
  </si>
  <si>
    <t>QP1001101S</t>
  </si>
  <si>
    <t>127/171, Nguyễn Ngọc Vũ, Mai Dịch, Cầu Giấy, Hà Nội</t>
  </si>
  <si>
    <t>AL-04A-1008</t>
  </si>
  <si>
    <t>21.0098285675, 105.8075485229</t>
  </si>
  <si>
    <t>21.0098018646, 105.8075256348</t>
  </si>
  <si>
    <t>RV300112CG</t>
  </si>
  <si>
    <t>Vũng Tàu Mart</t>
  </si>
  <si>
    <t>242, Nguyen Huu Canh, Thang nhat, Ba Ria - Vung Tau</t>
  </si>
  <si>
    <t>AL-04A-3183</t>
  </si>
  <si>
    <t>Bùi Thị Oanh</t>
  </si>
  <si>
    <t>10.3855695724, 107.1081619263</t>
  </si>
  <si>
    <t>HN500114HV</t>
  </si>
  <si>
    <t>Vân Sa</t>
  </si>
  <si>
    <t>28 - 30, Trần Hưng Đạo, Khóm 1, P 2, TP Sa Đéc, Đồng Tháp</t>
  </si>
  <si>
    <t>AL-04A-4084</t>
  </si>
  <si>
    <t>Châu Thị Ngọc Xuyến</t>
  </si>
  <si>
    <t>10.2911911011, 105.7682266235</t>
  </si>
  <si>
    <t>RV300112DZ</t>
  </si>
  <si>
    <t>Lệ Thu</t>
  </si>
  <si>
    <t>1446, Duong 30/2, 11, Vung Tau, Ba Ria - Vung Tau</t>
  </si>
  <si>
    <t>AL-08C-3014</t>
  </si>
  <si>
    <t>Ông Thị Vân</t>
  </si>
  <si>
    <t>10.4186515808, 107.1492004395</t>
  </si>
  <si>
    <t>MK40021HKX</t>
  </si>
  <si>
    <t>Kim Long</t>
  </si>
  <si>
    <t>411, Lý Thái Tổ, 9, 10, HCM</t>
  </si>
  <si>
    <t>AL-04A-4129</t>
  </si>
  <si>
    <t>Nguyễn Thị Lệ Thương</t>
  </si>
  <si>
    <t>10.7680673599, 106.6693801880</t>
  </si>
  <si>
    <t>XH4001.92132</t>
  </si>
  <si>
    <t>BHX Số 415-417 Quốc Lộ 22</t>
  </si>
  <si>
    <t xml:space="preserve">Số 415-417 Quốc Lộ 22, Ấp Phước Hòa, xã Phước Hiệp, H  Củ Chi, TP  HCM</t>
  </si>
  <si>
    <t>10.9891691208, 106.4515380859</t>
  </si>
  <si>
    <t>10.9891891479, 106.4515380859</t>
  </si>
  <si>
    <t>NC40171KVK</t>
  </si>
  <si>
    <t>Nguyễn Hải</t>
  </si>
  <si>
    <t>284, Phạm Văn Chiêu, 9, Gò Vấp, HCM</t>
  </si>
  <si>
    <t>AL-10E-3003</t>
  </si>
  <si>
    <t>Trần Lưu Minh Tú</t>
  </si>
  <si>
    <t>10.8494396210, 106.6507339478</t>
  </si>
  <si>
    <t>TT10071027</t>
  </si>
  <si>
    <t>Nam Sơn</t>
  </si>
  <si>
    <t>297, Vị Xuyên, P.Vị Xuyên, TP.Nam Định, Nam Định</t>
  </si>
  <si>
    <t>AL-07F-1004</t>
  </si>
  <si>
    <t>Đào Thị Lan</t>
  </si>
  <si>
    <t>20.4300270081, 106.1740036011</t>
  </si>
  <si>
    <t>RV300110E1</t>
  </si>
  <si>
    <t>Thùy Hương</t>
  </si>
  <si>
    <t>245, Lê Lợi, 6, Vũng Tàu, Bà Rịa - Vũng Tàu</t>
  </si>
  <si>
    <t>AL-08F-3008</t>
  </si>
  <si>
    <t>Nguyễn Thị Phi</t>
  </si>
  <si>
    <t>10.3715238571, 107.0768203735</t>
  </si>
  <si>
    <t>CG1002126Y</t>
  </si>
  <si>
    <t>Kiên Thắm</t>
  </si>
  <si>
    <t>n/a, Xóm 3, X.Khánh Nhạc, H.Yên Khánh, Ninh Bình</t>
  </si>
  <si>
    <t>AL-08C-1040</t>
  </si>
  <si>
    <t>20.1667861938, 106.0774765015</t>
  </si>
  <si>
    <t>VI3002.82546</t>
  </si>
  <si>
    <t>LO_17-18_KDC_BINH_DUONG</t>
  </si>
  <si>
    <t>Lô 17-18 KDC Bình Dương, Châu Văn Lồng, phường Long Bình Tân, Thành phố Biên Hoà, tỉnh Đồng Nai</t>
  </si>
  <si>
    <t>10.8898983002, 106.8513031006</t>
  </si>
  <si>
    <t>10.8977899551, 106.8507614136</t>
  </si>
  <si>
    <t>MK20021UNO</t>
  </si>
  <si>
    <t>Hồng Thắm</t>
  </si>
  <si>
    <t>Đường 23/10, Tổ 7, KM4, Nha Trang, Khánh Hòa</t>
  </si>
  <si>
    <t>AL-04A-2137</t>
  </si>
  <si>
    <t>Nguyễn Trường Luyến</t>
  </si>
  <si>
    <t>12.2566623688, 109.1549148560</t>
  </si>
  <si>
    <t>DT201010RZ</t>
  </si>
  <si>
    <t>Cô A</t>
  </si>
  <si>
    <t>Nam Phước, TT Nam Phước, Duy Xuyên, Quảng Nam</t>
  </si>
  <si>
    <t>AL-02E-2003</t>
  </si>
  <si>
    <t>15.8420419693, 108.2827453613</t>
  </si>
  <si>
    <t>TA100613S2</t>
  </si>
  <si>
    <t>Đường Kênh giữa, Nhuế, Kim Chung, Đông Anh, Hà Nội</t>
  </si>
  <si>
    <t>AL-09F-1014</t>
  </si>
  <si>
    <t>21.1402359009, 105.7818832397</t>
  </si>
  <si>
    <t>KG40031R9U</t>
  </si>
  <si>
    <t>Siêu thị GS-25 34 – 35, Bến Vân Đồn</t>
  </si>
  <si>
    <t>34 – 35, Bến Vân Đồn, P.12, Q.4, Hồ Chí Minh</t>
  </si>
  <si>
    <t>10.7668275833, 106.7040710449</t>
  </si>
  <si>
    <t>10.7667894363, 106.7041397095</t>
  </si>
  <si>
    <t>NL301010Q2</t>
  </si>
  <si>
    <t>Thanh Hương</t>
  </si>
  <si>
    <t>57/281, Pham Văn Thuận, Tổ 1, Khu phố 1, Tân Mai, Biên Hòa, Đồng Nai</t>
  </si>
  <si>
    <t>AL-04A-3145</t>
  </si>
  <si>
    <t>Vũ Thị Vi</t>
  </si>
  <si>
    <t>10.9551734924, 106.8511047363</t>
  </si>
  <si>
    <t>LP200113DX</t>
  </si>
  <si>
    <t>Kim Vy</t>
  </si>
  <si>
    <t>200, 77, Lê Hồng Phong, Quyết Thắng, TP KonTum, Kon Tum</t>
  </si>
  <si>
    <t>AL-06E-2006</t>
  </si>
  <si>
    <t>Trần Thị Mỹ Trang</t>
  </si>
  <si>
    <t>14.3488321304, 108.0043716431</t>
  </si>
  <si>
    <t>CF4001.83766</t>
  </si>
  <si>
    <t>CF_CC_HOANG_KIM_THE_GIA</t>
  </si>
  <si>
    <t>A 002 CC Hoàng Kim Thế Gia, 31 Trương Phước Phan, Phường Bình Trị Đông, Quận Bình Tân, Tp HCM</t>
  </si>
  <si>
    <t>10.8171281815, 106.6761398315</t>
  </si>
  <si>
    <t>10.8171319962, 106.6761245728</t>
  </si>
  <si>
    <t>EB4001.14022</t>
  </si>
  <si>
    <t>BIGC HAI PHONG</t>
  </si>
  <si>
    <t>Lô1/20 KĐT Mới NgãNăm SânBay CátBi, NgôQuyền, HP</t>
  </si>
  <si>
    <t>ST-04A-1073</t>
  </si>
  <si>
    <t>Nguyễn Thị Phương Dung</t>
  </si>
  <si>
    <t>20.8451538086, 106.7075424194</t>
  </si>
  <si>
    <t>20.8453865051, 106.7074508667</t>
  </si>
  <si>
    <t>NT405411T4</t>
  </si>
  <si>
    <t>Chị Dung</t>
  </si>
  <si>
    <t>131, Trần Quang Khải , Tân Định, 1, HCM</t>
  </si>
  <si>
    <t>AL-12E-3001</t>
  </si>
  <si>
    <t>Lương Thị Thu Hằng</t>
  </si>
  <si>
    <t>10.7919836044, 106.6917495728</t>
  </si>
  <si>
    <t>10.7919626236, 106.6917343140</t>
  </si>
  <si>
    <t>TT301211QJ</t>
  </si>
  <si>
    <t>TH Ngọc Bích</t>
  </si>
  <si>
    <t>Chợ Nại Dư Khánh, Thôn Dư Khánh, TT Khánh Hải, Ninh Hải, Ninh Thuận</t>
  </si>
  <si>
    <t>AL-11F-2003</t>
  </si>
  <si>
    <t>Trương Thị Chiến</t>
  </si>
  <si>
    <t>11.5985231400, 109.0365905762</t>
  </si>
  <si>
    <t>VI4001.53692</t>
  </si>
  <si>
    <t>VMP_HCM_108_DUONG_DHT02</t>
  </si>
  <si>
    <t>108 đường ĐHT02, Phường Đông Hưng Thuận, Quận 12 ,TP HCM</t>
  </si>
  <si>
    <t>10.8355426788, 106.6273269653</t>
  </si>
  <si>
    <t>10.8356084824, 106.6273345947</t>
  </si>
  <si>
    <t>VC300510CM</t>
  </si>
  <si>
    <t>Chung Oanh</t>
  </si>
  <si>
    <t>07/N, Phúc Nhạc 2, f, Thống Nhất, Đồng Nai</t>
  </si>
  <si>
    <t>AL-05G-3003</t>
  </si>
  <si>
    <t>Hoàng Thị Thu Hiền</t>
  </si>
  <si>
    <t>15h00 - 18h00</t>
  </si>
  <si>
    <t>11.0359497070, 107.1737136841</t>
  </si>
  <si>
    <t>TL40041ID6</t>
  </si>
  <si>
    <t>Family Mart 918-920, NGUYỄN TRÃI</t>
  </si>
  <si>
    <t>918-920, NGUYỄN TRÃI, P.14, Q.5, Hồ Chí Minh</t>
  </si>
  <si>
    <t>ST-05E-3005</t>
  </si>
  <si>
    <t>Trần Phượng Hoàng Thảo</t>
  </si>
  <si>
    <t>10.7534999847, 106.6642379761</t>
  </si>
  <si>
    <t>HT3005110Y</t>
  </si>
  <si>
    <t>Quỳnh Như</t>
  </si>
  <si>
    <t>104, Ngô Quyền, Trường Tây, Hòa Thành, Tây Ninh</t>
  </si>
  <si>
    <t>AL-06D-3015</t>
  </si>
  <si>
    <t>Trương Thị Ánh Tuyết</t>
  </si>
  <si>
    <t>11.2586441040, 106.1383514404</t>
  </si>
  <si>
    <t>XH4001.105774</t>
  </si>
  <si>
    <t>BHX Số 392, Đường Phan Bội Châu</t>
  </si>
  <si>
    <t xml:space="preserve">Số 392, Đường Phan Bội Châu, P  Thống Nhất, TP  Buôn Ma Thuột, Tỉnh Đắk Lắk</t>
  </si>
  <si>
    <t>12.7042131424, 108.0540390015</t>
  </si>
  <si>
    <t>12.7042026520, 108.0540237427</t>
  </si>
  <si>
    <t>CT500312IL</t>
  </si>
  <si>
    <t>Mỹ Hạnh CN</t>
  </si>
  <si>
    <t>Kios 4, Nguyễn Thái Học, TT.Chợ Mới, H.Chợ Mới, An Giang</t>
  </si>
  <si>
    <t>AL-02F-4001</t>
  </si>
  <si>
    <t>Ngô Thị Thanh Phụng</t>
  </si>
  <si>
    <t>10.5507650375, 105.4002838135</t>
  </si>
  <si>
    <t>TL40041AK0</t>
  </si>
  <si>
    <t>Chị Hoa</t>
  </si>
  <si>
    <t>28/4A, Tân Mỹ, Tân Phú, 7, HCM</t>
  </si>
  <si>
    <t>AL-03F-3002</t>
  </si>
  <si>
    <t>Đỗ Phạm Trọng Tín</t>
  </si>
  <si>
    <t>10.7372274399, 106.7182540894</t>
  </si>
  <si>
    <t>10.7372817993, 106.7182083130</t>
  </si>
  <si>
    <t>Khang Ninh Việt</t>
  </si>
  <si>
    <t>KV3003100S</t>
  </si>
  <si>
    <t>Thuỳ Loan</t>
  </si>
  <si>
    <t xml:space="preserve">132, Khu  4, ấp 114, Định Quán, Định Quán, Đồng Nai</t>
  </si>
  <si>
    <t>AL-04F-3007</t>
  </si>
  <si>
    <t>11.2003889084, 107.3568267822</t>
  </si>
  <si>
    <t>TP30091090</t>
  </si>
  <si>
    <t>224, Hồ Thị Hương, Xuân Trung, Long Khánh, Đồng Nai</t>
  </si>
  <si>
    <t>AL-08F-3007</t>
  </si>
  <si>
    <t>Nguyễn Thị Thùy Trâm</t>
  </si>
  <si>
    <t>10.9355669022, 107.2518997192</t>
  </si>
  <si>
    <t>Minh Quân</t>
  </si>
  <si>
    <t>MQ100113HA</t>
  </si>
  <si>
    <t>Bình</t>
  </si>
  <si>
    <t>9/46, Vĩnh Phúc, Vĩnh Phúc, Ba Đình, Hà Nội</t>
  </si>
  <si>
    <t>AL-01B-1001</t>
  </si>
  <si>
    <t>21.0432643890, 105.8096084595</t>
  </si>
  <si>
    <t>TM Gia Lai</t>
  </si>
  <si>
    <t>GL200210DM</t>
  </si>
  <si>
    <t>Thanh Lâm</t>
  </si>
  <si>
    <t>587, Lê Đại Hành, Pleiku, Gia Lai</t>
  </si>
  <si>
    <t>AL-03F-2004</t>
  </si>
  <si>
    <t>14.0305862427, 107.9884109497</t>
  </si>
  <si>
    <t>CT500312WC</t>
  </si>
  <si>
    <t>Anh Lý 357</t>
  </si>
  <si>
    <t>268, Long Thành, X.Long Điền B, H.Chợ Mới, An Giang</t>
  </si>
  <si>
    <t>AL-08C-4007</t>
  </si>
  <si>
    <t>Nguyễn Thị Mỹ Lệ</t>
  </si>
  <si>
    <t>10.4962644577, 105.4520950317</t>
  </si>
  <si>
    <t>TT301211JT</t>
  </si>
  <si>
    <t>Tuấn Thảo</t>
  </si>
  <si>
    <t>11E, Nguyễn Văn Cừ, Thanh Sơn, Phan Ranh- Tháp Chàm, Ninh Thuận</t>
  </si>
  <si>
    <t>AL-04A-2138</t>
  </si>
  <si>
    <t>Nguyễn Thị Mỹ Xuyên</t>
  </si>
  <si>
    <t>11.5783643723, 108.9951095581</t>
  </si>
  <si>
    <t>HN300212XP</t>
  </si>
  <si>
    <t>Út Tiển</t>
  </si>
  <si>
    <t>Lô A, Số 14, Khánh Hòa, Tân Phước Khánh, Tân Uyên, Bình Dương</t>
  </si>
  <si>
    <t>AL-10D-3019</t>
  </si>
  <si>
    <t>Bùi Thị Vân Lam</t>
  </si>
  <si>
    <t>11.0045537949, 106.7201690674</t>
  </si>
  <si>
    <t>ST-01G-2001</t>
  </si>
  <si>
    <t>12.6836452484, 108.0181655884</t>
  </si>
  <si>
    <t>12.6835641861, 108.0180892944</t>
  </si>
  <si>
    <t>TC400213QL</t>
  </si>
  <si>
    <t>Nguyệt Lê</t>
  </si>
  <si>
    <t>930, Quốc Lộ 22, ấp Bàu Tre 2, X Tân An Hội, Củ Chi, Ho Chi Minh City</t>
  </si>
  <si>
    <t>AL-04A-3045</t>
  </si>
  <si>
    <t>Phan Thị Bích Phương</t>
  </si>
  <si>
    <t>10.9726810455, 106.4800491333</t>
  </si>
  <si>
    <t>TC400213C7</t>
  </si>
  <si>
    <t>Chị Gái</t>
  </si>
  <si>
    <t>118, Chợ Phước Thạnh - Đường 641, X Phước Thạnh, Củ Chi, Ho Chi Minh City</t>
  </si>
  <si>
    <t>AL-11F-3002</t>
  </si>
  <si>
    <t>Đinh Thị Ngọc Nhi</t>
  </si>
  <si>
    <t>11.0050840378, 106.4274291992</t>
  </si>
  <si>
    <t xml:space="preserve">DNTN Ngọc Cảnh </t>
  </si>
  <si>
    <t>NC10021056</t>
  </si>
  <si>
    <t>Đậu Văn</t>
  </si>
  <si>
    <t>Phố Bùi Chu, Xuân Ngọc, Xuân Trường, Nam Định</t>
  </si>
  <si>
    <t>AL-05G-1002</t>
  </si>
  <si>
    <t>Mai Thị Phương Anh</t>
  </si>
  <si>
    <t>20.3030605316, 106.3288345337</t>
  </si>
  <si>
    <t>HT2002100B</t>
  </si>
  <si>
    <t>Anh Thanh</t>
  </si>
  <si>
    <t>155, Lê Trung Đình, Trần Hưng Đạo, TP Quảng Ngãi, Quảng Ngãi</t>
  </si>
  <si>
    <t>AL-03B-2002</t>
  </si>
  <si>
    <t>Bùi Thị Thức</t>
  </si>
  <si>
    <t>15.1239748001, 108.8063659668</t>
  </si>
  <si>
    <t>DL100413U8</t>
  </si>
  <si>
    <t xml:space="preserve">Ngoan Phúc </t>
  </si>
  <si>
    <t>7 Đằng hải, Hạ Lũng, P.Đằng Hải, Q.Hải An, Hải Phòng</t>
  </si>
  <si>
    <t>AL-04E-1012</t>
  </si>
  <si>
    <t>Phạm Thị Hằng Nga</t>
  </si>
  <si>
    <t>20.8394832611, 106.7157897949</t>
  </si>
  <si>
    <t>Hàm Luông</t>
  </si>
  <si>
    <t>BO5001129S</t>
  </si>
  <si>
    <t>Như Lan</t>
  </si>
  <si>
    <t>Tổ NDTQ số 6B, Khu phố 3, Châu Thành, Châu Thành, Bến Tre</t>
  </si>
  <si>
    <t>AL-07E-4003</t>
  </si>
  <si>
    <t>Võ Thị Thu Thảo</t>
  </si>
  <si>
    <t>10.2996902466, 106.3577117920</t>
  </si>
  <si>
    <t>PT40351EEX</t>
  </si>
  <si>
    <t>Minh Thiên</t>
  </si>
  <si>
    <t>76, Độc Lập, Tân Thành, Tân Phú, HCM</t>
  </si>
  <si>
    <t>AL-08F-3005</t>
  </si>
  <si>
    <t>Hồ Thị Thủy Tiên</t>
  </si>
  <si>
    <t>10.7919368744, 106.6352767944</t>
  </si>
  <si>
    <t>TT201414ED</t>
  </si>
  <si>
    <t>Hoàng Nguyên</t>
  </si>
  <si>
    <t>40, Lương Nhữ Học, Hòa Thuận Tây, Hải Châu, Đà Nẵng</t>
  </si>
  <si>
    <t>AL-12E-2004</t>
  </si>
  <si>
    <t>Lê Thị Quỳnh Vân</t>
  </si>
  <si>
    <t>16.0429744720, 108.2114257813</t>
  </si>
  <si>
    <t>Lan Dung</t>
  </si>
  <si>
    <t>LD100410LJ</t>
  </si>
  <si>
    <t>Thu Phi</t>
  </si>
  <si>
    <t>Ngã 3, Tốt Động, Chương Mỹ, Hà Nội</t>
  </si>
  <si>
    <t>AL-09E-1003</t>
  </si>
  <si>
    <t>Nguyễn Thị Thu Hiền</t>
  </si>
  <si>
    <t>20.8807163239, 105.6699981689</t>
  </si>
  <si>
    <t>EB4001.14020</t>
  </si>
  <si>
    <t>BIGC MELINH</t>
  </si>
  <si>
    <t>TTTM Mê Linh Plaza, Km8, Đường Cao Tốc Thăng Long-Nội Bài, HN</t>
  </si>
  <si>
    <t>ST-04A-1039</t>
  </si>
  <si>
    <t>Nguyễn Xuân Thủy</t>
  </si>
  <si>
    <t>21.1867351532, 105.7816696167</t>
  </si>
  <si>
    <t>21.1867256165, 105.7813644409</t>
  </si>
  <si>
    <t>VT10251075</t>
  </si>
  <si>
    <t>Hiền Trung</t>
  </si>
  <si>
    <t>Gần chợ Mỏ Chè, Tổ 1, Mỏ Chè, TP.Sông Công, Thái Nguyên</t>
  </si>
  <si>
    <t>AL-08C-1053</t>
  </si>
  <si>
    <t>Nguyễn Thị Khánh Vân</t>
  </si>
  <si>
    <t>21.4733448029, 105.8441696167</t>
  </si>
  <si>
    <t>HT2002110Z</t>
  </si>
  <si>
    <t>Nhật Vy</t>
  </si>
  <si>
    <t>176, Nguyễn Nghiêm, Nguyễn Nghiêm, TP Quảng Ngãi, Quảng Ngãi</t>
  </si>
  <si>
    <t>AL-03F-2005</t>
  </si>
  <si>
    <t>Huỳnh Thị Tương Vi</t>
  </si>
  <si>
    <t>15.1221332550, 108.8079681396</t>
  </si>
  <si>
    <t>AM100312TD</t>
  </si>
  <si>
    <t>Phùng Thị Thủy</t>
  </si>
  <si>
    <t>66, Minh Khai, Hội Hợp, Vĩnh Yên, Vĩnh Phúc</t>
  </si>
  <si>
    <t>AL-10C-1007</t>
  </si>
  <si>
    <t>Hoàng Thị Hồng</t>
  </si>
  <si>
    <t>21.2972450256, 105.5605697632</t>
  </si>
  <si>
    <t>TC40021H7E</t>
  </si>
  <si>
    <t>Kim Oanh</t>
  </si>
  <si>
    <t>49, Phan Văn Hớn, X.Xuân Thới Thượng, Hóc Môn, HCM</t>
  </si>
  <si>
    <t>AL-10F-4011</t>
  </si>
  <si>
    <t>Lê Thị Mai Thy</t>
  </si>
  <si>
    <t>10.8629999161, 106.5697555542</t>
  </si>
  <si>
    <t>VT102510MX</t>
  </si>
  <si>
    <t>Bỉm Thanh Hải</t>
  </si>
  <si>
    <t>Tổ 10, Cách mạng tháng 8, Mỏ chè, TP Sông Công, tỉnh Thái Nguyên</t>
  </si>
  <si>
    <t>AL-05G-1008</t>
  </si>
  <si>
    <t>Đỗ Thị Vân Anh</t>
  </si>
  <si>
    <t>21.8726444244, 105.7490844727</t>
  </si>
  <si>
    <t>Tánh Phương</t>
  </si>
  <si>
    <t>TP3009125Q</t>
  </si>
  <si>
    <t>Shop 108</t>
  </si>
  <si>
    <t>108, Trần Phú, Xuân An, TX Long Khánh, Đồng Nai</t>
  </si>
  <si>
    <t>AL-04A-3110</t>
  </si>
  <si>
    <t>Lý Thị Mai Hương</t>
  </si>
  <si>
    <t>10.9339647293, 107.2513656616</t>
  </si>
  <si>
    <t>MQ100113ZK</t>
  </si>
  <si>
    <t>Chú Hưng</t>
  </si>
  <si>
    <t>107H3, Thành Công, Ba Đình, Hà Nội</t>
  </si>
  <si>
    <t>AL-09F-1025</t>
  </si>
  <si>
    <t>Phạm Thu Huyền</t>
  </si>
  <si>
    <t>21.0206851959, 105.8153991699</t>
  </si>
  <si>
    <t>Doãn Gia Hân</t>
  </si>
  <si>
    <t>DH3009107D</t>
  </si>
  <si>
    <t>553, KCN Sụng Mừy QL 1A, Ấp An Chu, Bắc Sơn, Trảng Bom, Đồng Nai</t>
  </si>
  <si>
    <t>AL-04A-3154</t>
  </si>
  <si>
    <t>Nguyễn Thị Hoàn</t>
  </si>
  <si>
    <t>10.9648084641, 106.9493942261</t>
  </si>
  <si>
    <t>AT200510I4</t>
  </si>
  <si>
    <t>18, Dạ Lê, P Phú Bài, TX Hương Thủy, Huế</t>
  </si>
  <si>
    <t>AL-12F-2004</t>
  </si>
  <si>
    <t>Lê Nguyễn Mỹ Ngọc</t>
  </si>
  <si>
    <t>16.4299850464, 107.6362304688</t>
  </si>
  <si>
    <t>TT201411S0</t>
  </si>
  <si>
    <t>Khánh Hoàng</t>
  </si>
  <si>
    <t>23 Nguyễn Phan Vinh, Thọ Quang , Sơn Trà, Đà Nẵng</t>
  </si>
  <si>
    <t>AL-01C-2001</t>
  </si>
  <si>
    <t>Huỳnh Thị Bích Vân</t>
  </si>
  <si>
    <t>16.1007919312, 108.2504272461</t>
  </si>
  <si>
    <t>MT500115BW</t>
  </si>
  <si>
    <t>Bách hóa Trung tâm</t>
  </si>
  <si>
    <t>14, Lê Văn Duyệt, P.1, TP.Mỹ Tho, Tiền Giang</t>
  </si>
  <si>
    <t>AL-08A-4005</t>
  </si>
  <si>
    <t>Huỳnh Thị Thu Thoa</t>
  </si>
  <si>
    <t>10.4486255646, 106.4059295654</t>
  </si>
  <si>
    <t>TP300912BO</t>
  </si>
  <si>
    <t>Xuân An</t>
  </si>
  <si>
    <t>264, Hồ Thị Hương, Xuân Thanh, Long Khánh, Đồng Nai</t>
  </si>
  <si>
    <t>AL-04F-3006</t>
  </si>
  <si>
    <t>Nguyễn Thị Tú Trinh</t>
  </si>
  <si>
    <t>10.9337358475, 107.2532043457</t>
  </si>
  <si>
    <t>TD5005131P</t>
  </si>
  <si>
    <t>Trương Thanh Nhàn</t>
  </si>
  <si>
    <t>3, Trần Phú, Tiểu Cần, Tiểu Cần, Trà Vinh</t>
  </si>
  <si>
    <t>AL-04A-4074</t>
  </si>
  <si>
    <t>Phạm Thị Anh Thư</t>
  </si>
  <si>
    <t>9.8112468719, 106.1877593994</t>
  </si>
  <si>
    <t>VI2003.22109</t>
  </si>
  <si>
    <t>VM+ BA THANG HAI</t>
  </si>
  <si>
    <t>134 đường Ba Tháng Hai, Phường Thuận Phước, Quận Hải Châu, TP Đà Nẵng</t>
  </si>
  <si>
    <t>16.0862312317, 108.2183685303</t>
  </si>
  <si>
    <t>16.0862216949, 108.2183685303</t>
  </si>
  <si>
    <t>TN1011100I</t>
  </si>
  <si>
    <t>Nụ Thư</t>
  </si>
  <si>
    <t>Đội 2, Tả Thanh Oai, Tả Thanh Oai, Thanh Trì, Hà Nội</t>
  </si>
  <si>
    <t>AL-08C-1007</t>
  </si>
  <si>
    <t>Nguyễn Thị Hồng</t>
  </si>
  <si>
    <t>20.9458236694, 105.8076324463</t>
  </si>
  <si>
    <t>MK20021U9J</t>
  </si>
  <si>
    <t>20, Võ Thị Sáu, Nha Trang, Khánh Hòa</t>
  </si>
  <si>
    <t>AL-06A-2003</t>
  </si>
  <si>
    <t>Phan Thị Tuyết Như</t>
  </si>
  <si>
    <t>12.2135601044, 109.1973876953</t>
  </si>
  <si>
    <t>MT1004101Q</t>
  </si>
  <si>
    <t>Đỗ Thị Huế</t>
  </si>
  <si>
    <t>Khu 3 Tập Thể, Khu 3 Tập Thể, TT.Thanh Miện, H.Thanh Miện, Hải Dương</t>
  </si>
  <si>
    <t>AL-04A-1098</t>
  </si>
  <si>
    <t>Vũ Thị Thư</t>
  </si>
  <si>
    <t>20.7871437073, 106.2444076538</t>
  </si>
  <si>
    <t>PT20051018</t>
  </si>
  <si>
    <t>Nhung</t>
  </si>
  <si>
    <t>180, 22 tháng 8, Cam Thuận, Cam Ranh, Khánh Hòa</t>
  </si>
  <si>
    <t>AL-03D-2004</t>
  </si>
  <si>
    <t>Lương Thị Quỳnh Ngân</t>
  </si>
  <si>
    <t>11.9117250443, 109.1516265869</t>
  </si>
  <si>
    <t>CM500912YO</t>
  </si>
  <si>
    <t>Shop sữa Yến Vy</t>
  </si>
  <si>
    <t>7, Mai Thanh Thế, P.1, TP.Sóc Trăng, Sóc Trăng</t>
  </si>
  <si>
    <t>AL-05D-4001</t>
  </si>
  <si>
    <t>Phan Thị Ngọc Hân</t>
  </si>
  <si>
    <t>9.5643987656, 105.5975189209</t>
  </si>
  <si>
    <t>Gia Bảo</t>
  </si>
  <si>
    <t>GB2002123G</t>
  </si>
  <si>
    <t>Trung Thuận</t>
  </si>
  <si>
    <t>Cảnh Hàng, Liêm Định, Nhơn Phong, Bình Định</t>
  </si>
  <si>
    <t>AL-05D-2010</t>
  </si>
  <si>
    <t>Trần Thị Châu</t>
  </si>
  <si>
    <t>13.9353113174, 109.1419219971</t>
  </si>
  <si>
    <t>TD3001100P</t>
  </si>
  <si>
    <t>CH Như Ý</t>
  </si>
  <si>
    <t>Long Đức 1, Tam Phước, Biên Hòa, Đồng Nai</t>
  </si>
  <si>
    <t>AL-07E-3004</t>
  </si>
  <si>
    <t>Bùi Thị Diễm My</t>
  </si>
  <si>
    <t>10.8627243042, 106.9641647339</t>
  </si>
  <si>
    <t>TP3009123D</t>
  </si>
  <si>
    <t>Anh Khuyến</t>
  </si>
  <si>
    <t>115, Nguyễn Văn Cừ, Xuân An, Long Khánh, Đồng Nai</t>
  </si>
  <si>
    <t>AL-04A-3135</t>
  </si>
  <si>
    <t>Ngô Tường Vân</t>
  </si>
  <si>
    <t>10.9300489426, 107.2450637817</t>
  </si>
  <si>
    <t>CV10051WIZ</t>
  </si>
  <si>
    <t>Hùng</t>
  </si>
  <si>
    <t>Hà Nội</t>
  </si>
  <si>
    <t>AL-09C-1013</t>
  </si>
  <si>
    <t>Phạm Thị Hằng</t>
  </si>
  <si>
    <t>21.0003681183, 105.8603820801</t>
  </si>
  <si>
    <t>MK20021W03</t>
  </si>
  <si>
    <t>Shop Đu Đủ</t>
  </si>
  <si>
    <t>AL-11F-2008</t>
  </si>
  <si>
    <t>Lâm Khánh Trân</t>
  </si>
  <si>
    <t>12.2627754211, 109.1632385254</t>
  </si>
  <si>
    <t>RV30011233</t>
  </si>
  <si>
    <t>Kim Anh</t>
  </si>
  <si>
    <t>524/2b, Đường 30/4, Rạch Dừa, Vũng Tàu, Bà Rịa - Vũng Tàu</t>
  </si>
  <si>
    <t>AL-04A-3177</t>
  </si>
  <si>
    <t>Nguyễn Thị Hải</t>
  </si>
  <si>
    <t>10.3982620239, 107.1150054932</t>
  </si>
  <si>
    <t>GN20011005</t>
  </si>
  <si>
    <t>Mệ Sáu</t>
  </si>
  <si>
    <t>62, Phan Bội Châu, P Phước Vĩnh, TP Huế, Huế</t>
  </si>
  <si>
    <t>AL-03G-2007</t>
  </si>
  <si>
    <t>Lê Thị Hoàn</t>
  </si>
  <si>
    <t>16.4552783966, 107.5835952759</t>
  </si>
  <si>
    <t>TN301012DM</t>
  </si>
  <si>
    <t>Chí Thành</t>
  </si>
  <si>
    <t>712, Đường 21/8, Đô Vinh, Phan Rang - Tháp Chàm, Ninh Thuận</t>
  </si>
  <si>
    <t>AL-06E-2009</t>
  </si>
  <si>
    <t>Nguyễn Thị Hồng Trinh</t>
  </si>
  <si>
    <t>11.5942735672, 108.9502105713</t>
  </si>
  <si>
    <t>TA10031342</t>
  </si>
  <si>
    <t>197, Long Biên, Long Biên, Long Biên, Hà Nội</t>
  </si>
  <si>
    <t>AL-04A-1005</t>
  </si>
  <si>
    <t>21.0450077057, 105.8654708862</t>
  </si>
  <si>
    <t>MP40021H7L</t>
  </si>
  <si>
    <t>318,Nguyễn Thị Tú,Bình Hưng Hòa B,Bình Tân,HCM</t>
  </si>
  <si>
    <t>AL-10D-3006</t>
  </si>
  <si>
    <t>Lê Thị Thanh Xuân</t>
  </si>
  <si>
    <t>10.8151159286, 106.5862274170</t>
  </si>
  <si>
    <t>TD5003264Z</t>
  </si>
  <si>
    <t>Minimart Cái Răng</t>
  </si>
  <si>
    <t>161/2A, Phạm Hùng, P.Lê Bình, Q.Cái Răng, Cần Thơ</t>
  </si>
  <si>
    <t>AL-04A-4007</t>
  </si>
  <si>
    <t>Nguyễn Thùy Phương Trâm</t>
  </si>
  <si>
    <t>10.0021419525, 105.7506103516</t>
  </si>
  <si>
    <t>ST500111UN</t>
  </si>
  <si>
    <t>CH Quốc Bé Hai</t>
  </si>
  <si>
    <t>khu 3, 30/4, TT.Cai Lậy, H.Cai Lậy, Tiền Giang</t>
  </si>
  <si>
    <t>AL-03E-4016</t>
  </si>
  <si>
    <t>Trần Thị Thảo</t>
  </si>
  <si>
    <t>10.4061832428, 106.1189117432</t>
  </si>
  <si>
    <t>DP300711C7</t>
  </si>
  <si>
    <t>Thuận Phát</t>
  </si>
  <si>
    <t>48/18, Đường số 7, KP Thắng Lợi 2, Dĩ An, Bình Dương</t>
  </si>
  <si>
    <t>AL-04G-3004</t>
  </si>
  <si>
    <t>Trần Thị Kim Hoa</t>
  </si>
  <si>
    <t>10.9012613297, 106.7614822388</t>
  </si>
  <si>
    <t>NC40171JQ7</t>
  </si>
  <si>
    <t>BS Mart 338 340, Duong Quang Ham</t>
  </si>
  <si>
    <t>338 340, Duong Quang Ham, P.5, Q.Gò Vấp, Hồ Chí Minh</t>
  </si>
  <si>
    <t>10.8315525055, 106.6869735718</t>
  </si>
  <si>
    <t>10.8315353394, 106.6869735718</t>
  </si>
  <si>
    <t>DH3009106V</t>
  </si>
  <si>
    <t>Sơn Lộc</t>
  </si>
  <si>
    <t>484, TL 767, Bắc Sơn, Trảng Bom, Đồng Nai</t>
  </si>
  <si>
    <t>AL-11C-3009</t>
  </si>
  <si>
    <t>Trần Kim Dung</t>
  </si>
  <si>
    <t>10.9835271835, 106.9633102417</t>
  </si>
  <si>
    <t>MT1002.11064</t>
  </si>
  <si>
    <t>ST-08B-1003</t>
  </si>
  <si>
    <t>Đào Thị Lương</t>
  </si>
  <si>
    <t>21.0533370972, 105.7811813354</t>
  </si>
  <si>
    <t>21.0540504456, 105.7815856934</t>
  </si>
  <si>
    <t>KC100110NJ</t>
  </si>
  <si>
    <t>SIBA FOOD Khu BT11-VT10 KĐT Xa la</t>
  </si>
  <si>
    <t>Khu BT11-VT10 KĐT Xa la, Phúc la, Hà Đông,Hà Nội</t>
  </si>
  <si>
    <t>20.9624080658, 105.7944946289</t>
  </si>
  <si>
    <t>20.9625434875, 105.7945556641</t>
  </si>
  <si>
    <t>DP5002101K</t>
  </si>
  <si>
    <t>Út Sáng</t>
  </si>
  <si>
    <t>309, QL 1A, Ấp 1, TT.Giá Rai, TX.Giá Rai, Bạc Liêu</t>
  </si>
  <si>
    <t>AL-04A-4057</t>
  </si>
  <si>
    <t>Lâm Thị Kiều Trinh</t>
  </si>
  <si>
    <t>9.2378511429, 105.4555892944</t>
  </si>
  <si>
    <t>CT500313UH</t>
  </si>
  <si>
    <t>Hướng Dương</t>
  </si>
  <si>
    <t>43, Lê Lợi, TT.Chợ Mới, H.Chợ Mới, An Giang</t>
  </si>
  <si>
    <t>AL-08E-4011</t>
  </si>
  <si>
    <t>Nguyễn Mỹ Như</t>
  </si>
  <si>
    <t>10.5503749847, 105.4010086060</t>
  </si>
  <si>
    <t>KT3006108D</t>
  </si>
  <si>
    <t>Nguyễn Hoa</t>
  </si>
  <si>
    <t>8, Cách Mạng Tháng Tám, Thanh Bình, Biên Hòa, Đồng Nai</t>
  </si>
  <si>
    <t>AL-02D-3004</t>
  </si>
  <si>
    <t>Nguyễn Thị Loan Phụng</t>
  </si>
  <si>
    <t>10.9468441010, 106.8170852661</t>
  </si>
  <si>
    <t>BO500112Q9</t>
  </si>
  <si>
    <t>CH Sữa Chấn Hưng</t>
  </si>
  <si>
    <t>ấp 8, ĐD Cổng Chính KCN Giao Long, X.Qưới Sơn, H.Châu Thành, Bến Tre</t>
  </si>
  <si>
    <t>AL-04A-4133</t>
  </si>
  <si>
    <t>Trần Thị Mỹ Huệ</t>
  </si>
  <si>
    <t>10.3027019501, 106.4001007080</t>
  </si>
  <si>
    <t>TD5005124X</t>
  </si>
  <si>
    <t>Út Định</t>
  </si>
  <si>
    <t>37, Võ Thị Sáu P3 TX TV, P.3, TP.Trà Vinh, Trà Vinh</t>
  </si>
  <si>
    <t>AL-05B-4005</t>
  </si>
  <si>
    <t>Võ Thị Ngọc Châu</t>
  </si>
  <si>
    <t>9.9344892502, 106.3421173096</t>
  </si>
  <si>
    <t>TN1011100H</t>
  </si>
  <si>
    <t>Khánh Huế</t>
  </si>
  <si>
    <t>Xóm 3, Hữu Hòa, Hữu Hòa, Thanh Trì, Hà Nội</t>
  </si>
  <si>
    <t>AL-04A-1042</t>
  </si>
  <si>
    <t>Lê Thị Bích Như</t>
  </si>
  <si>
    <t>20.9516315460, 105.8081970215</t>
  </si>
  <si>
    <t>VI3002.65369</t>
  </si>
  <si>
    <t>VMP_DNI_389_DUONG_N6</t>
  </si>
  <si>
    <t>389 đường N6, KDC KP 2,3, KP3, P Long Bình Tân, TP Biên Hoà, Đồng Nai ( B5-Phú Thịnh )</t>
  </si>
  <si>
    <t>10.9009017944, 106.8871078491</t>
  </si>
  <si>
    <t>10.9008970261, 106.8871154785</t>
  </si>
  <si>
    <t>VM1009.112279</t>
  </si>
  <si>
    <t>Vinmart+ Số 2 Kỳ Vũ, Phường Thượng Cát</t>
  </si>
  <si>
    <t>Số 2 Kỳ Vũ, Phường Thượng Cát, Quận Bắc Từ Liêm, TP Hà Nội</t>
  </si>
  <si>
    <t>21.0914211273, 105.7326431274</t>
  </si>
  <si>
    <t>21.0486869812, 105.7690429688</t>
  </si>
  <si>
    <t>VI3004.80996</t>
  </si>
  <si>
    <t>VMP_VTU_40_DO_LUONG</t>
  </si>
  <si>
    <t>40 Đô Lương, phường 11, TP Vũng Tàu</t>
  </si>
  <si>
    <t>10.4079017639, 107.1310272217</t>
  </si>
  <si>
    <t>10.4087591171, 107.1367340088</t>
  </si>
  <si>
    <t>Nam Thạnh</t>
  </si>
  <si>
    <t>NT302212HL</t>
  </si>
  <si>
    <t>Vân Tân</t>
  </si>
  <si>
    <t>75, Nguyễn Hội, Phú Tài, Phan Thiết, Bình Thuận</t>
  </si>
  <si>
    <t>AL-02G-2002</t>
  </si>
  <si>
    <t>Trịnh Thị Ngọc Hiệp</t>
  </si>
  <si>
    <t>10.9381723404, 108.1127319336</t>
  </si>
  <si>
    <t>XH4001.104668</t>
  </si>
  <si>
    <t>BHX Thôn Ngọc Hội, Xã Vĩnh Ngọc</t>
  </si>
  <si>
    <t xml:space="preserve">Thôn Ngọc Hội, Xã Vĩnh Ngọc, TP  Nha Trang, Tỉnh Khánh Hòa</t>
  </si>
  <si>
    <t>12.2639398575, 109.1697769165</t>
  </si>
  <si>
    <t>12.2640733719, 109.1696548462</t>
  </si>
  <si>
    <t>HD4023.125319</t>
  </si>
  <si>
    <t>SAI GON HD 207C Nguyễn Xí, Phường 26</t>
  </si>
  <si>
    <t xml:space="preserve">207C Nguyễn Xí, Phường 26, Quận Bình Thạnh, TP  HCM</t>
  </si>
  <si>
    <t>10.8162374496, 106.7054595947</t>
  </si>
  <si>
    <t>10.8164215088, 106.7059478760</t>
  </si>
  <si>
    <t>KT3006101N</t>
  </si>
  <si>
    <t>G8, Chợ Hóa An, Hóa An, Biên Hòa, Đồng Nai</t>
  </si>
  <si>
    <t>AL-04A-3141</t>
  </si>
  <si>
    <t>Châu Thị Phượng</t>
  </si>
  <si>
    <t>10.9357204437, 106.8041381836</t>
  </si>
  <si>
    <t>VI2016.91431</t>
  </si>
  <si>
    <t>VMP_QNI_10_NGUYEN_THUY</t>
  </si>
  <si>
    <t xml:space="preserve">10 Nguyễn Thụy, Phường Trần Phú, TP  Quảng Ngãi, Tỉnh Quảng Ngãi</t>
  </si>
  <si>
    <t>15.1196994781, 108.7837829590</t>
  </si>
  <si>
    <t>15.1196784973, 108.7838287354</t>
  </si>
  <si>
    <t>XH4001.112069</t>
  </si>
  <si>
    <t>BHX Ấp Lình Huỳnh, Xã Lình Huỳnh</t>
  </si>
  <si>
    <t>Ấp Lình Huỳnh, Xã Lình Huỳnh, Huyện Hòn Đất, Tỉnh Kiên Giang</t>
  </si>
  <si>
    <t>10.1479015350, 104.8524169922</t>
  </si>
  <si>
    <t>10.1478919983, 104.8524169922</t>
  </si>
  <si>
    <t>ST-04A-1062</t>
  </si>
  <si>
    <t>19.8120365143, 105.7738800049</t>
  </si>
  <si>
    <t>19.8120288849, 105.7739257813</t>
  </si>
  <si>
    <t>VM1009.38577</t>
  </si>
  <si>
    <t>VM CC DAI KIM</t>
  </si>
  <si>
    <t>Chung cư Đại Kim, đường Vũ Tông Phan, phường Đại Kim, quận Hoàng Mai, Hà Nội</t>
  </si>
  <si>
    <t>20.9750919342, 105.8256454468</t>
  </si>
  <si>
    <t>20.9751110077, 105.8256301880</t>
  </si>
  <si>
    <t>RV3001100T</t>
  </si>
  <si>
    <t>Minh Châu</t>
  </si>
  <si>
    <t>63-67, Đội Cấn, Nguyễn An Ninh, Vũng Tàu, Bà Rịa - Vũng Tàu</t>
  </si>
  <si>
    <t>AL-04A-3137</t>
  </si>
  <si>
    <t>Lương Thị Mỹ Ngọc</t>
  </si>
  <si>
    <t>10.3631038666, 107.0929565430</t>
  </si>
  <si>
    <t>XH4001.105484</t>
  </si>
  <si>
    <t>BHX 807 Nguyễn Xiển</t>
  </si>
  <si>
    <t xml:space="preserve">807 Nguyễn Xiển, KP  Long Hoà, P  Long Thạnh Mỹ, TP  Thủ Đức, TP  Hồ Chí Minh</t>
  </si>
  <si>
    <t>10.8486633301, 106.8315505981</t>
  </si>
  <si>
    <t>10.8486566544, 106.8315505981</t>
  </si>
  <si>
    <t>MP40021IGB</t>
  </si>
  <si>
    <t>Trà Mi</t>
  </si>
  <si>
    <t>F1/15, Hương lộ 80, X Vĩnh Lộc A, Bình Chánh, HCM</t>
  </si>
  <si>
    <t>AL-07B-3017</t>
  </si>
  <si>
    <t>Nguyễn Thị Vân Anh</t>
  </si>
  <si>
    <t>10.8101949692, 106.5744247437</t>
  </si>
  <si>
    <t>LP200113DZ</t>
  </si>
  <si>
    <t>Phan Đình Mận</t>
  </si>
  <si>
    <t>Cống 3 Lỗ, Hùng Vương, H Đắk Hà, Kon Tum</t>
  </si>
  <si>
    <t>AL-04E-2004</t>
  </si>
  <si>
    <t>Nguyễn Thị Mỹ Duyên</t>
  </si>
  <si>
    <t>14.5280065536, 107.9197998047</t>
  </si>
  <si>
    <t>14.5279579163, 107.9198150635</t>
  </si>
  <si>
    <t>VC300510T0</t>
  </si>
  <si>
    <t>Cô Bốn</t>
  </si>
  <si>
    <t>5/1, ấp Đồn Điền 1, X Túc Trưng, H Định Quán, Đồng Nai</t>
  </si>
  <si>
    <t>AL-02F-3001</t>
  </si>
  <si>
    <t>Trần Thị Ngân Khánh</t>
  </si>
  <si>
    <t>06h30 - 14h30</t>
  </si>
  <si>
    <t>11.0900983810, 107.2116699219</t>
  </si>
  <si>
    <t>11.0901117325, 107.2116622925</t>
  </si>
  <si>
    <t>VM1009.26280</t>
  </si>
  <si>
    <t>VM 10 DUC GIANG</t>
  </si>
  <si>
    <t>10 Đức Giang, P Đức Giang, Q Long Biên,Hà Nội</t>
  </si>
  <si>
    <t>21.0625896454, 105.8971099854</t>
  </si>
  <si>
    <t>21.0636215210, 105.8955078125</t>
  </si>
  <si>
    <t>TN101113L6</t>
  </si>
  <si>
    <t xml:space="preserve">Mai Thị Hằng </t>
  </si>
  <si>
    <t>659, Vũ Tông Phan, Thanh Xuân Nam, Thanh Xuân, Hà Nội</t>
  </si>
  <si>
    <t>AL-08F-1001</t>
  </si>
  <si>
    <t>Phạm Thị Ngọc Ánh</t>
  </si>
  <si>
    <t>20.9819316864, 105.8168334961</t>
  </si>
  <si>
    <t>VM1009.73622</t>
  </si>
  <si>
    <t>VMP_HNI_5_NGO_464_AU_CO</t>
  </si>
  <si>
    <t>Số 5 ngõ 464 Âu Cơ, quận Tây Hồ, Hà Nội</t>
  </si>
  <si>
    <t>21.0811862946, 105.8190002441</t>
  </si>
  <si>
    <t>21.0812358856, 105.8190231323</t>
  </si>
  <si>
    <t>TT2014115V</t>
  </si>
  <si>
    <t>Cô Tiến</t>
  </si>
  <si>
    <t>27 Nguyễn Phan Vinh, Thọ Quang , Sơn Trà, Đà Nẵng</t>
  </si>
  <si>
    <t>AL-07E-2009</t>
  </si>
  <si>
    <t>Trần Ngọc Kim Ngân</t>
  </si>
  <si>
    <t>16.1007442474, 108.2505340576</t>
  </si>
  <si>
    <t>MK4002105Q</t>
  </si>
  <si>
    <t>Thanh Mai</t>
  </si>
  <si>
    <t>132A, Trần Mai Ninh, 11, Tân Bình, HCM</t>
  </si>
  <si>
    <t>AL-08D-3007</t>
  </si>
  <si>
    <t>Nguyễn Thị Ngọc Thủy</t>
  </si>
  <si>
    <t>10.7912368774, 106.6470794678</t>
  </si>
  <si>
    <t>10.7912054062, 106.6470718384</t>
  </si>
  <si>
    <t>MH3004106I</t>
  </si>
  <si>
    <t>Hương Giang</t>
  </si>
  <si>
    <t>107, Nguyễn Huệ, Liên Hương, Tuy Phong, Bình Thuận</t>
  </si>
  <si>
    <t>AL-03D-2016</t>
  </si>
  <si>
    <t>Ngô Thị Thanh Thúy</t>
  </si>
  <si>
    <t>11.1706533432, 108.5654983521</t>
  </si>
  <si>
    <t>TL40041KL8</t>
  </si>
  <si>
    <t>Kidsplaza Số 231 - 233 Hồng Bàng, P.11</t>
  </si>
  <si>
    <t>Số 231 - 233 Hồng Bàng, P.11, Q.5</t>
  </si>
  <si>
    <t>10.7553567886, 106.6622009277</t>
  </si>
  <si>
    <t>10.7555189133, 106.6622772217</t>
  </si>
  <si>
    <t>HA300114CI</t>
  </si>
  <si>
    <t>Phương Anh</t>
  </si>
  <si>
    <t>Long Hai, Ba Ria, Ba Ria - Vung Tau</t>
  </si>
  <si>
    <t>AL-07B-3015</t>
  </si>
  <si>
    <t>10.4134302139, 107.2195053101</t>
  </si>
  <si>
    <t>CM5009105A</t>
  </si>
  <si>
    <t>Nhà thuốc Như Hạnh</t>
  </si>
  <si>
    <t>0, Ngã Năm, TT.Ngã Năm, H.Ngã Năm, Sóc Trăng</t>
  </si>
  <si>
    <t>10h30 - 14h30</t>
  </si>
  <si>
    <t>9.5642852783, 105.5965881348</t>
  </si>
  <si>
    <t>9.5627088547, 105.5974502563</t>
  </si>
  <si>
    <t>Thịnh Anh</t>
  </si>
  <si>
    <t>TA1003115Z</t>
  </si>
  <si>
    <t>Anh Lâm</t>
  </si>
  <si>
    <t>Số 8, Nguyễn Sơn, Long Biên, Long Biên, Hà Nội</t>
  </si>
  <si>
    <t>AL-07A-1005</t>
  </si>
  <si>
    <t>Dương Hoàng Anh</t>
  </si>
  <si>
    <t>21.0482673645, 105.8747940063</t>
  </si>
  <si>
    <t>KL3001109Z</t>
  </si>
  <si>
    <t>Kim Trang</t>
  </si>
  <si>
    <t>41, Đặng Văn Trước, KP Lộc Thành, Trảng Bàng, TX.Trảng Bàng, Tây Ninh</t>
  </si>
  <si>
    <t>AL-06D-3004</t>
  </si>
  <si>
    <t>Mai Thị Kim Tiền</t>
  </si>
  <si>
    <t>08h00 - 11h00</t>
  </si>
  <si>
    <t>11.0286779404, 106.3589859009</t>
  </si>
  <si>
    <t>GL2002106S</t>
  </si>
  <si>
    <t>Lê Thị Thanh Hoa</t>
  </si>
  <si>
    <t>3, Nguyễn Trãi, Yên Đỗ, Pleiku, Gia Lai</t>
  </si>
  <si>
    <t>AL-03F-2007</t>
  </si>
  <si>
    <t>Lê Thị Ngọc Ánh</t>
  </si>
  <si>
    <t>13.9813461304, 107.9936676025</t>
  </si>
  <si>
    <t>NT40541A30</t>
  </si>
  <si>
    <t>ĐL Vinamilk</t>
  </si>
  <si>
    <t>214, Phan Văn Trị, 12, Bình Thạnh, HCM</t>
  </si>
  <si>
    <t>AL-10C-3028</t>
  </si>
  <si>
    <t>Phan Thị Mỹ Lý</t>
  </si>
  <si>
    <t>10.8144578934, 106.6951980591</t>
  </si>
  <si>
    <t>NT302212HR</t>
  </si>
  <si>
    <t>Thanh Vinh</t>
  </si>
  <si>
    <t>514, Thủ Khoa Huân, Thanh Hải, Phan Thiết, Bình Thuận</t>
  </si>
  <si>
    <t>AL-03G-2006</t>
  </si>
  <si>
    <t>Trần Thị Xuân Nam</t>
  </si>
  <si>
    <t>10.9351625443, 108.1294937134</t>
  </si>
  <si>
    <t>NT40541FTK</t>
  </si>
  <si>
    <t>Circle K 57, Nguyễn Du</t>
  </si>
  <si>
    <t>57, Nguyễn Du, P.Bến Nghé, Q.1, Hồ Chí Minh</t>
  </si>
  <si>
    <t>10.7792911530, 106.7003479004</t>
  </si>
  <si>
    <t>10.7725696564, 106.6909790039</t>
  </si>
  <si>
    <t>HT3005104X</t>
  </si>
  <si>
    <t>Hoa Cương</t>
  </si>
  <si>
    <t>136, Tôn Đức Thắng, Long Thành Trung, Hòa Thành, Tây Ninh</t>
  </si>
  <si>
    <t>AL-05G-3002</t>
  </si>
  <si>
    <t>Nguyễn Thị Phương Thảo</t>
  </si>
  <si>
    <t>11.2769956589, 106.1300506592</t>
  </si>
  <si>
    <t>LD100410QZ</t>
  </si>
  <si>
    <t>Luong Tam</t>
  </si>
  <si>
    <t>Cong cho truong yen ,chuong my ,ha noi</t>
  </si>
  <si>
    <t>AL-08C-1003</t>
  </si>
  <si>
    <t>Tống Thị Quý</t>
  </si>
  <si>
    <t>20.9082469940, 105.6475830078</t>
  </si>
  <si>
    <t>HS2002122F</t>
  </si>
  <si>
    <t>Hồng Luật</t>
  </si>
  <si>
    <t xml:space="preserve">47A, Phong Đình Cảng, P  Bến Thủy, TP Vinh, Nghệ An</t>
  </si>
  <si>
    <t>AL-03G-1007</t>
  </si>
  <si>
    <t>Võ Thị Mỹ</t>
  </si>
  <si>
    <t>18.6621036530, 105.7013320923</t>
  </si>
  <si>
    <t>XH4001.89875</t>
  </si>
  <si>
    <t>BHX Thửa đất số 166, 168</t>
  </si>
  <si>
    <t xml:space="preserve">Thửa đất số 166, 168, 169, 109 và 110, tờ bản đồ số 73, ấp Vĩnh Lợi, xã Vĩnh Thạnh, H  Lấp Vò, Tỉnh Đồng Tháp</t>
  </si>
  <si>
    <t>10.3350248337, 105.6191024780</t>
  </si>
  <si>
    <t>10.3350143433, 105.6191101074</t>
  </si>
  <si>
    <t>TA1003108A</t>
  </si>
  <si>
    <t>Cô Duyên</t>
  </si>
  <si>
    <t>107/448, Hà Huy Tập, Gia Lâm, Hà Nội</t>
  </si>
  <si>
    <t>AL-12D-1007</t>
  </si>
  <si>
    <t>Đào Bích Ngọc</t>
  </si>
  <si>
    <t>21.0840358734, 105.9217605591</t>
  </si>
  <si>
    <t>HD1007109B</t>
  </si>
  <si>
    <t>Lý Tài</t>
  </si>
  <si>
    <t>36 Trần Khánh Dư, Quảng Yên, Yên Hưng, Quảng Ninh</t>
  </si>
  <si>
    <t>AL-05G-1007</t>
  </si>
  <si>
    <t>Phan Thị Oanh</t>
  </si>
  <si>
    <t>20.9386615753, 106.8074264526</t>
  </si>
  <si>
    <t>20.9386806488, 106.8074798584</t>
  </si>
  <si>
    <t>TD300113CD</t>
  </si>
  <si>
    <t>Tám Được</t>
  </si>
  <si>
    <t>Tổ 9, Ấp 4, Hiệp Phước, Nhơn Trạch, Đồng Nai</t>
  </si>
  <si>
    <t>AL-04A-3148</t>
  </si>
  <si>
    <t>10.7371778488, 106.9444885254</t>
  </si>
  <si>
    <t>SG4040.30969</t>
  </si>
  <si>
    <t>SF PHAN HUY ICH</t>
  </si>
  <si>
    <t xml:space="preserve">68 Phan Huy Ích, Phường 15, Quận Tân Bình, Tp  HCM</t>
  </si>
  <si>
    <t>10.8270883560, 106.6315307617</t>
  </si>
  <si>
    <t>10.8270111084, 106.6314849854</t>
  </si>
  <si>
    <t>AA40031ILS</t>
  </si>
  <si>
    <t>Tạp hóa Nhí</t>
  </si>
  <si>
    <t>114, 5 Ấp 1 - Nguyễn Văn Tạo, X Hiệp Phước, Nhà Bè, HCM</t>
  </si>
  <si>
    <t>AL-03E-3014</t>
  </si>
  <si>
    <t>Nguyễn Thành Thuận</t>
  </si>
  <si>
    <t>10.6315164566, 106.7359390259</t>
  </si>
  <si>
    <t>NT500112AA</t>
  </si>
  <si>
    <t>Thành Nhân</t>
  </si>
  <si>
    <t>ấp Chợ Xép, Ql 60, X.Tân Thành Bình, H.Mỏ Cày Bắc, Bến Tre</t>
  </si>
  <si>
    <t>AL-12E-4013</t>
  </si>
  <si>
    <t>Trà Thị Như Ý</t>
  </si>
  <si>
    <t>06h30 - 15h00</t>
  </si>
  <si>
    <t>10.2007207870, 106.3325500488</t>
  </si>
  <si>
    <t>10.2006769180, 106.3324890137</t>
  </si>
  <si>
    <t>XH4001.88777</t>
  </si>
  <si>
    <t>BHX 159 Trương Định</t>
  </si>
  <si>
    <t xml:space="preserve">159 Trương Định, Khu Phố 2, P  Tân Mai, TP  Biên Hòa, Tỉnh Đồng Nai</t>
  </si>
  <si>
    <t>10.9596195221, 106.8481826782</t>
  </si>
  <si>
    <t>10.9595756531, 106.8481445313</t>
  </si>
  <si>
    <t>KC100110IW</t>
  </si>
  <si>
    <t>Circle K số 848 Đường Láng</t>
  </si>
  <si>
    <t>số 848 Đường Láng, Đống Đa, Hà Nội</t>
  </si>
  <si>
    <t>21.0196495056, 105.8024368286</t>
  </si>
  <si>
    <t>21.0196266174, 105.8024749756</t>
  </si>
  <si>
    <t>VI4001.44499</t>
  </si>
  <si>
    <t>VM 220 116 XV NGHE TINH</t>
  </si>
  <si>
    <t>220/16 Xô Viết Nghệ Tĩnh, Phường 21, Quận Bình Thạnh</t>
  </si>
  <si>
    <t>10.7984800339, 106.7115936279</t>
  </si>
  <si>
    <t>10.7984123230, 106.7114868164</t>
  </si>
  <si>
    <t>VI4001.53718</t>
  </si>
  <si>
    <t>VMP_HCM_41_DUONG_59</t>
  </si>
  <si>
    <t xml:space="preserve">41 Đường 59, Phường 14, Quận Gò Vấp(Thửa đất số 737, tờ bản đồ số 14 tại phường 14, Quân Gò Vấp  TPHCM)</t>
  </si>
  <si>
    <t>10.8529233932, 106.6517486572</t>
  </si>
  <si>
    <t>10.8529176712, 106.6517486572</t>
  </si>
  <si>
    <t>VM1009.26998</t>
  </si>
  <si>
    <t>VM 3 TO VINH DIEN</t>
  </si>
  <si>
    <t>Số nhà 3, phố Tô Vĩnh Diện, phường Khương Trung, quận Thanh Xuân, Hà Nội</t>
  </si>
  <si>
    <t>21.0002803802, 105.8220825195</t>
  </si>
  <si>
    <t>20.9966754913, 105.8050537109</t>
  </si>
  <si>
    <t>MT100415SV</t>
  </si>
  <si>
    <t>Phương Tuyến Mart</t>
  </si>
  <si>
    <t>Tran Hung Dao, TT.Nam Sách, H.Nam Sách, Hải Dương</t>
  </si>
  <si>
    <t>AL-09D-1003</t>
  </si>
  <si>
    <t>Trần Thị Hương</t>
  </si>
  <si>
    <t>20.9854888916, 106.3477630615</t>
  </si>
  <si>
    <t>XH4001.63252</t>
  </si>
  <si>
    <t>BHX 4-6 Nguyễn Văn Tiên</t>
  </si>
  <si>
    <t>4-6 Nguyễn Văn Tiên, khu phố 9, phường Tân Phong, TP Biên Hòa, tỉnh Đồng Nai</t>
  </si>
  <si>
    <t>10.9785156250, 106.8476791382</t>
  </si>
  <si>
    <t>10.9615144730, 106.8657455444</t>
  </si>
  <si>
    <t>VI5003.52699</t>
  </si>
  <si>
    <t>VMP_1B_DINH_TIEN_HOANG</t>
  </si>
  <si>
    <t>1B Đinh Tiên Hoàng, Phường Thới Bình, Quận Ninh Kiều, TP Cần Thơ</t>
  </si>
  <si>
    <t>ST-03G-4002</t>
  </si>
  <si>
    <t>Trần Hữu Thịnh</t>
  </si>
  <si>
    <t>10.0431575775, 105.7795028687</t>
  </si>
  <si>
    <t>10.0431156158, 105.7795257568</t>
  </si>
  <si>
    <t>Son La</t>
  </si>
  <si>
    <t>Bắc Bắc Á</t>
  </si>
  <si>
    <t>BA10041097</t>
  </si>
  <si>
    <t>Dũng Hằng</t>
  </si>
  <si>
    <t>TT Phù Yên, Phù Yên, Sơn La</t>
  </si>
  <si>
    <t>AL-09F-1016</t>
  </si>
  <si>
    <t>Hoàng Thị Nhung</t>
  </si>
  <si>
    <t>21.2616519928, 104.6443328857</t>
  </si>
  <si>
    <t>VI4001.63658</t>
  </si>
  <si>
    <t>VMP_THUA566_BINHTRI_DONGA</t>
  </si>
  <si>
    <t>413-39 Lê Văn Quới, khu phố 5, phường Bình Trị Đông A, Quận Bình Tân, Thành phố Hồ Chí Minh</t>
  </si>
  <si>
    <t>10.7737131119, 106.6056060791</t>
  </si>
  <si>
    <t>10.7738294601, 106.6057052612</t>
  </si>
  <si>
    <t>XH4001.53147</t>
  </si>
  <si>
    <t>BHX 61A Đường TX21</t>
  </si>
  <si>
    <t>61A Đường TX21, Khu phố 1, Phường Thạnh Xuân, Quận 12, Thành phố Hồ Chí Minh</t>
  </si>
  <si>
    <t>10.8666706085, 106.6724853516</t>
  </si>
  <si>
    <t>10.8666410446, 106.6725082397</t>
  </si>
  <si>
    <t>VI4001.53694</t>
  </si>
  <si>
    <t>VMP_HCM_909_NG_D_TRINH</t>
  </si>
  <si>
    <t xml:space="preserve">909 Nguyễn Duy Trinh, Phường Phú Hữu, TP  Thủ Đức, TP  Hồ Chí Minh</t>
  </si>
  <si>
    <t>10.7914381027, 106.7993850708</t>
  </si>
  <si>
    <t>10.7914180756, 106.7993850708</t>
  </si>
  <si>
    <t>AT2005100I</t>
  </si>
  <si>
    <t>1144, Nguyễn Tất Thành, P Thủy Dương, TX Hương Thủy, Huế</t>
  </si>
  <si>
    <t>AL-04A-2072</t>
  </si>
  <si>
    <t>Nguyễn Thị Dung</t>
  </si>
  <si>
    <t>16.4103717804, 107.6792449951</t>
  </si>
  <si>
    <t>XH4001.108292</t>
  </si>
  <si>
    <t xml:space="preserve">BHX Ấp Tân Thành, TT  Búng Tàu</t>
  </si>
  <si>
    <t xml:space="preserve">Ấp Tân Thành, TT  Búng Tàu, Huyện Phụng Hiệp, Tỉnh Hậu Giang</t>
  </si>
  <si>
    <t>9.7099914551, 105.7760086060</t>
  </si>
  <si>
    <t>9.7099876404, 105.7760086060</t>
  </si>
  <si>
    <t>VI4001.20168</t>
  </si>
  <si>
    <t>VM PHU THUAN VIET</t>
  </si>
  <si>
    <t>011 CC Phú Thuận Việt 319 Lý Thường Kiệt,Q 11,Tp HCM</t>
  </si>
  <si>
    <t>10.7694635391, 106.6635665894</t>
  </si>
  <si>
    <t>10.7791728973, 106.6695938110</t>
  </si>
  <si>
    <t>9.7099676132, 105.7760238647</t>
  </si>
  <si>
    <t>9.7099723816, 105.7760086060</t>
  </si>
  <si>
    <t>TV200810EY</t>
  </si>
  <si>
    <t>Kim Loan</t>
  </si>
  <si>
    <t>Gần Chợ Đạ Tẻh, Đạ Tẻh, Lâm Đồng</t>
  </si>
  <si>
    <t>AL-08C-2062</t>
  </si>
  <si>
    <t>Phạm Hoàng Thái Vũ Ty</t>
  </si>
  <si>
    <t>11.5044288635, 107.4872512817</t>
  </si>
  <si>
    <t>TA100311LW</t>
  </si>
  <si>
    <t>Long Hà</t>
  </si>
  <si>
    <t>Chợ Sủi, Keo Sủi, Gia Lâm, Hà Nội</t>
  </si>
  <si>
    <t>AL-04A-1006</t>
  </si>
  <si>
    <t>Bùi Thị Vân</t>
  </si>
  <si>
    <t>21.0167407990, 105.9646453857</t>
  </si>
  <si>
    <t>VI4001.47053</t>
  </si>
  <si>
    <t>VMP 60 DUONG SO 175</t>
  </si>
  <si>
    <t>60 đường số 715, Tạ Quang Bửu, phường 4, quận 8, TP HCM</t>
  </si>
  <si>
    <t>10.7370986938, 106.6551055908</t>
  </si>
  <si>
    <t>10.7359094620, 106.6634063721</t>
  </si>
  <si>
    <t>VI4001.30270</t>
  </si>
  <si>
    <t>VM NG CANH CHAN</t>
  </si>
  <si>
    <t xml:space="preserve">TK26/13-14 Nguyễn Cảnh Chân, Phường Cầu Kho, Quận 1, Tp  Hồ Chí Minh</t>
  </si>
  <si>
    <t>10.7585935593, 106.6881179810</t>
  </si>
  <si>
    <t>10.7587041855, 106.6880645752</t>
  </si>
  <si>
    <t>10.7913551331, 106.7993774414</t>
  </si>
  <si>
    <t>10.7913312912, 106.7991485596</t>
  </si>
  <si>
    <t>XH4001.107413</t>
  </si>
  <si>
    <t>BHX Chợ Km38, Quốc Lộ 26</t>
  </si>
  <si>
    <t>Chợ Km38, Quốc Lộ 26, Thôn 4, xã Ea Phê, huyện Krông Pắk, Tỉnh Đắk Lắk</t>
  </si>
  <si>
    <t>12.7299346924, 108.3666458130</t>
  </si>
  <si>
    <t>12.7298793793, 108.3666381836</t>
  </si>
  <si>
    <t>10.9285392761, 108.1038513184</t>
  </si>
  <si>
    <t>10.9300394058, 108.1050262451</t>
  </si>
  <si>
    <t>XH4001.44253</t>
  </si>
  <si>
    <t>BHX 17E Quán Tre</t>
  </si>
  <si>
    <t xml:space="preserve">17E Quán Tre, KP 05, P  Trung Mỹ Tây, Quận 12, TP  HCM</t>
  </si>
  <si>
    <t>10.8456707001, 106.6151809692</t>
  </si>
  <si>
    <t>10.8456487656, 106.6152343750</t>
  </si>
  <si>
    <t>NT40541DF5</t>
  </si>
  <si>
    <t>Circle K 1, Công Trường Tự Do, Công Trường Tự Do</t>
  </si>
  <si>
    <t>1, Công Trường Tự Do, P.19, Q.Bình Thạnh, Hồ Chí Minh</t>
  </si>
  <si>
    <t>10.7920532227, 106.7088928223</t>
  </si>
  <si>
    <t>10.7925090790, 106.7079238892</t>
  </si>
  <si>
    <t>XH4001.86167</t>
  </si>
  <si>
    <t>BHX Thửa đất số 83;84;85</t>
  </si>
  <si>
    <t xml:space="preserve">Thửa đất số 83;84;85, tờ bản đồ số 18, đường ĐT 741, KP 3, P  Phước Bình, TX  Phước Long, Tỉnh Bình Phước</t>
  </si>
  <si>
    <t>11.8118686676, 106.9525833130</t>
  </si>
  <si>
    <t>11.8118658066, 106.9526367188</t>
  </si>
  <si>
    <t>PQ500110GA</t>
  </si>
  <si>
    <t>Hoàng Sơn</t>
  </si>
  <si>
    <t>266, Nguyễn Trung Trực, TT.Dương Đông, H.Phú Quốc, Kiên Giang</t>
  </si>
  <si>
    <t>AL-04E-4005</t>
  </si>
  <si>
    <t>Hồ Ngọc Bên</t>
  </si>
  <si>
    <t>10.2240247726, 103.9742584229</t>
  </si>
  <si>
    <t>CF4001.44418</t>
  </si>
  <si>
    <t>CF LANG TANG PHU</t>
  </si>
  <si>
    <t>21C Làng Tăng Phú, Tổ 4, Khu Phố 4, Phường Tăng Nhơn Phú A, TP. Thủ Đức, TP. Hồ Chí Minh</t>
  </si>
  <si>
    <t>10.8441753387, 106.7988967896</t>
  </si>
  <si>
    <t>10.8254318237, 106.8075027466</t>
  </si>
  <si>
    <t>AT200513RH</t>
  </si>
  <si>
    <t>Chị Hạnh</t>
  </si>
  <si>
    <t>138 Nguyễn Khoa Văn, Phú Bài, Hương Thủy, Huế</t>
  </si>
  <si>
    <t>AL-05F-1001</t>
  </si>
  <si>
    <t>Trần Thị Anh Đào</t>
  </si>
  <si>
    <t>16.4107017517, 107.6729278564</t>
  </si>
  <si>
    <t>TT10071093</t>
  </si>
  <si>
    <t>Vinh Chi</t>
  </si>
  <si>
    <t>128, Đò Quan, P.Cửa Nam, TP.Nam Định, Nam Định</t>
  </si>
  <si>
    <t>AL-03E-1007</t>
  </si>
  <si>
    <t>Đỗ Thị Thuận</t>
  </si>
  <si>
    <t>20.4164581299, 106.1835174561</t>
  </si>
  <si>
    <t>NL3010120Z</t>
  </si>
  <si>
    <t>Cư Mai</t>
  </si>
  <si>
    <t>A179/3, Quốc Lộ 1A, KP 1, Long Bình, Biên Hòa, Đồng Nai</t>
  </si>
  <si>
    <t>AL-03G-3011</t>
  </si>
  <si>
    <t>Bùi Thị Phương Thảo</t>
  </si>
  <si>
    <t>10.9527454376, 106.8778915405</t>
  </si>
  <si>
    <t>XH4001.92178</t>
  </si>
  <si>
    <t>BHX Thửa đất số 106, 107</t>
  </si>
  <si>
    <t xml:space="preserve">Thửa đất số 106, 107, Tờ bản đồ số 2B và Thửa đất số 211, Tờ bản đồ số 27, Ấp An Lợi, Xã An Thới, H  Mỏ Cày Nam, Tỉnh Bến Tre</t>
  </si>
  <si>
    <t>10.0606470108, 106.3414306641</t>
  </si>
  <si>
    <t>10.0606527328, 106.3414459229</t>
  </si>
  <si>
    <t>Ngọc Nghĩa</t>
  </si>
  <si>
    <t>NN20041006</t>
  </si>
  <si>
    <t>Hoàng Thị Mỹ</t>
  </si>
  <si>
    <t>298, Trưng Nữ Vương, TT Vĩnh Tam, Tam Kỳ, Quảng Nam</t>
  </si>
  <si>
    <t>AL-04F-2007</t>
  </si>
  <si>
    <t>Trần Thị Minh Hường</t>
  </si>
  <si>
    <t>14h30 - 19h00</t>
  </si>
  <si>
    <t>15.5690174103, 108.4715576172</t>
  </si>
  <si>
    <t>VM1009.104057</t>
  </si>
  <si>
    <t>VMP_SH4-B4_NAM_TRUNG_YEN</t>
  </si>
  <si>
    <t xml:space="preserve">B (SH4), Ô đất B4, Khu đô thị mới Nam Trung Yên, P  Yên Hòa, Q  Cầu Giấy, TP  Hà Nội </t>
  </si>
  <si>
    <t>21.0155830383, 105.7877502441</t>
  </si>
  <si>
    <t>21.0156993866, 105.7876129150</t>
  </si>
  <si>
    <t>NC40171JPQ</t>
  </si>
  <si>
    <t>Đại Nam 2</t>
  </si>
  <si>
    <t>275, Phạm Văn Chiêu, 14, Gò Vấp, HCM</t>
  </si>
  <si>
    <t>AL-04A-3040</t>
  </si>
  <si>
    <t>Vũ Thị Bích Châm</t>
  </si>
  <si>
    <t>10.8495531082, 106.6508865356</t>
  </si>
  <si>
    <t>HV50051019</t>
  </si>
  <si>
    <t>TH Ngọc Tuấn</t>
  </si>
  <si>
    <t>77c, Đường Trương Định Ô2, H Ba Tri, Ba Tri, Bến Tre</t>
  </si>
  <si>
    <t>AL-04G-4001</t>
  </si>
  <si>
    <t>Hồ Thị Thúy Vân</t>
  </si>
  <si>
    <t>10.0400886536, 106.5922546387</t>
  </si>
  <si>
    <t>10.8839178085, 106.6493530273</t>
  </si>
  <si>
    <t>10.8838567734, 106.6493759155</t>
  </si>
  <si>
    <t>SG4040.30973</t>
  </si>
  <si>
    <t>SF VINH LOC</t>
  </si>
  <si>
    <t xml:space="preserve">KP2  Nguyễn Thị Tú-LCN Vĩnh Lộc, Phường Bình Hưng Hòa B, Quận Bình Tân, Tp  HCM</t>
  </si>
  <si>
    <t>10.8156471252, 106.5938568115</t>
  </si>
  <si>
    <t>10.8155822754, 106.5936431885</t>
  </si>
  <si>
    <t>DA30031040</t>
  </si>
  <si>
    <t>Phan Thị Bích</t>
  </si>
  <si>
    <t>66, Ấp Trung Nghĩa, Xuân Trường, Xuân Lộc, Đồng Nai</t>
  </si>
  <si>
    <t>AL-06F-3008</t>
  </si>
  <si>
    <t>Hồ Thị Ngọc Vy</t>
  </si>
  <si>
    <t>10.9625310898, 107.4048309326</t>
  </si>
  <si>
    <t>TC40021COL</t>
  </si>
  <si>
    <t>Nghiêm Hiền</t>
  </si>
  <si>
    <t>32, Đặng Thúc Vinh, X Đông Thạnh, Hóc Môn, HCM</t>
  </si>
  <si>
    <t>AL-10C-3004</t>
  </si>
  <si>
    <t>Đặng Thị Lệ Hằng</t>
  </si>
  <si>
    <t>10.9086418152, 106.6433563232</t>
  </si>
  <si>
    <t>CO4075.104184</t>
  </si>
  <si>
    <t>FINELIFE_SAI_GON_MIA</t>
  </si>
  <si>
    <t>9A Chung Cư Cụm III,IV – Khu Dân Cư Trung Trung Sơn, Xã Bình Hưng, Huyện Bình Chánh, TP HCM</t>
  </si>
  <si>
    <t>10.7991065979, 106.6890792847</t>
  </si>
  <si>
    <t>10.7887296677, 106.6817626953</t>
  </si>
  <si>
    <t>VI2016.90621</t>
  </si>
  <si>
    <t>VMP_QNI_39_TRUONG_DINH</t>
  </si>
  <si>
    <t xml:space="preserve">39 Trương Định, P  Trần Phú, TP  Quảng Ngãi, Tỉnh Quảng Ngãi</t>
  </si>
  <si>
    <t>15.1260013580, 108.7864761353</t>
  </si>
  <si>
    <t>15.1260213852, 108.7863998413</t>
  </si>
  <si>
    <t>HT200314H8</t>
  </si>
  <si>
    <t>Bảy Trang 2</t>
  </si>
  <si>
    <t>0, Thị Trấn Nghèn, TT.Nghèn, H.Can Lộc, Hà Tĩnh</t>
  </si>
  <si>
    <t>AL-03G-1009</t>
  </si>
  <si>
    <t>Lương Thị Dương</t>
  </si>
  <si>
    <t>18.4483070374, 105.7799453735</t>
  </si>
  <si>
    <t>VM1009.26495</t>
  </si>
  <si>
    <t>VM 281 KHAM THIEN</t>
  </si>
  <si>
    <t>281 Khâm Thiên,Đống Đa,Hà Nội</t>
  </si>
  <si>
    <t>21.0175914764, 105.8314437866</t>
  </si>
  <si>
    <t>21.0175285339, 105.8313674927</t>
  </si>
  <si>
    <t>HA300113XV</t>
  </si>
  <si>
    <t>BH Tự chọn Ngọc Hân</t>
  </si>
  <si>
    <t>25/8 o 4, KP Hai Ha 1, Long Hai, Long Dien, Ba Ria - Vung Tau</t>
  </si>
  <si>
    <t>AL-04A-3149</t>
  </si>
  <si>
    <t>Hà Thị Hằng</t>
  </si>
  <si>
    <t>10.3969573975, 107.2286834717</t>
  </si>
  <si>
    <t>VC4001.88436</t>
  </si>
  <si>
    <t>VM_HCM_36/25_PHAM_V_NGHI</t>
  </si>
  <si>
    <t>36/25 Phạm Văn Nghi, Sky Garden 3, P Tân Phong, Q7, TP HCM</t>
  </si>
  <si>
    <t>10.7321567535, 106.7063293457</t>
  </si>
  <si>
    <t>BD1005110U</t>
  </si>
  <si>
    <t>Anh Đạt</t>
  </si>
  <si>
    <t>TT.Phùng, Phùng, Hoài Đức, Hà Nội</t>
  </si>
  <si>
    <t>AL-04A-1119</t>
  </si>
  <si>
    <t>Nguyễn Thị Mai Phương</t>
  </si>
  <si>
    <t>21.0874385834, 105.6611557007</t>
  </si>
  <si>
    <t>TN1011100V</t>
  </si>
  <si>
    <t>Chị Duyên</t>
  </si>
  <si>
    <t>Chợ Đông Mỹ, Đông Mỹ, Thanh Trì , Hà Nội</t>
  </si>
  <si>
    <t>AL-08C-1010</t>
  </si>
  <si>
    <t>Lã Thị Phương</t>
  </si>
  <si>
    <t>20.9164142609, 105.8724517822</t>
  </si>
  <si>
    <t>FM200218OR</t>
  </si>
  <si>
    <t>Phương An</t>
  </si>
  <si>
    <t>509, Lê Duẩn, Ea Tam, Buôn Ma Thuột, Đăk Lăk</t>
  </si>
  <si>
    <t>AL-07E-2005</t>
  </si>
  <si>
    <t>Phạm Thị Trang</t>
  </si>
  <si>
    <t>12.6518220901, 108.0229034424</t>
  </si>
  <si>
    <t>10.7426023483, 106.6123428345</t>
  </si>
  <si>
    <t>TL400411OI</t>
  </si>
  <si>
    <t>215/2, Ba Tơ, 7, 8, HCM</t>
  </si>
  <si>
    <t>AL-07E-3006</t>
  </si>
  <si>
    <t>Phan Văn Núi</t>
  </si>
  <si>
    <t>06h00 - 14h00</t>
  </si>
  <si>
    <t>10.7075595856, 106.6230926514</t>
  </si>
  <si>
    <t>10.7075757980, 106.6231384277</t>
  </si>
  <si>
    <t>TA10031128</t>
  </si>
  <si>
    <t>415 ngo gia tu, duc giang, long bien, ha noi</t>
  </si>
  <si>
    <t>AL-03E-1004</t>
  </si>
  <si>
    <t>Nguyễn Quỳnh Thương</t>
  </si>
  <si>
    <t>21.0636444092, 105.8959274292</t>
  </si>
  <si>
    <t>VI4001.58996</t>
  </si>
  <si>
    <t>VMP_HCM_34_TRAN_THAI_TONG</t>
  </si>
  <si>
    <t>34/31 &amp; 34/33 Trần Thái Tông, Phường 15, Quận Tân Bình, TPHCM</t>
  </si>
  <si>
    <t>10.8180990219, 106.6323699951</t>
  </si>
  <si>
    <t>10.8180837631, 106.6323776245</t>
  </si>
  <si>
    <t>TT301211YS</t>
  </si>
  <si>
    <t>Quỳnh Hân</t>
  </si>
  <si>
    <t>AL-01G-2002</t>
  </si>
  <si>
    <t>Đàng Thị Huy Hoàng</t>
  </si>
  <si>
    <t>14h30 - 20h00</t>
  </si>
  <si>
    <t>11.5220108032, 108.9237289429</t>
  </si>
  <si>
    <t>HS2002118G</t>
  </si>
  <si>
    <t>Tuyết Huân</t>
  </si>
  <si>
    <t>Xóm 18, Xã Xuân Lâm, X.Xuân Lâm, H.Nam Đàn, Nghệ An</t>
  </si>
  <si>
    <t>AL-12F-1007</t>
  </si>
  <si>
    <t>Nguyễn Thị Lê</t>
  </si>
  <si>
    <t>18.6562690735, 105.5612945557</t>
  </si>
  <si>
    <t>MK2002126E</t>
  </si>
  <si>
    <t>Thiên Kim</t>
  </si>
  <si>
    <t>41, Đường 2/4, Vĩnh Hải, Nha Trang, Khánh Hòa</t>
  </si>
  <si>
    <t>AL-04D-2007</t>
  </si>
  <si>
    <t>Trương Thị Thanh Thủy</t>
  </si>
  <si>
    <t>12.2759370804, 109.1976470947</t>
  </si>
  <si>
    <t>Bac Ninh</t>
  </si>
  <si>
    <t>BT100310SS</t>
  </si>
  <si>
    <t>Dung Thìn</t>
  </si>
  <si>
    <t>TT.Chờ, Yên Phong, Bắc Ninh</t>
  </si>
  <si>
    <t>AL-08C-1051</t>
  </si>
  <si>
    <t>Lê Thị Minh</t>
  </si>
  <si>
    <t>21.2162322998, 105.9675979614</t>
  </si>
  <si>
    <t>Khánh Vinh</t>
  </si>
  <si>
    <t>KV100211HZ</t>
  </si>
  <si>
    <t>Thanh Trà</t>
  </si>
  <si>
    <t>618, Cách Mạng Tháng 8, TP Thái Nguyên, Thái Nguyên</t>
  </si>
  <si>
    <t>AL-10C-1005</t>
  </si>
  <si>
    <t>Nguyễn Thị Huyền Trang</t>
  </si>
  <si>
    <t>21.5749092102, 105.8502273560</t>
  </si>
  <si>
    <t>TN1011100Y</t>
  </si>
  <si>
    <t>Cô Hiền</t>
  </si>
  <si>
    <t>28, Chợ Văn Điển, Văn Điển, Thanh Trì, Hà Nội</t>
  </si>
  <si>
    <t>AL-04A-1024</t>
  </si>
  <si>
    <t>Nguyễn Thị Ngần</t>
  </si>
  <si>
    <t>20.9491310120, 105.8451156616</t>
  </si>
  <si>
    <t>VM1009.58971</t>
  </si>
  <si>
    <t>VMP_U03_L01_KDTM_DUOG_NOI</t>
  </si>
  <si>
    <t>Lô U03-L01, Khu đô thị mới Dương Nội, quận Hà Đông, thành phố Hà Nội</t>
  </si>
  <si>
    <t>20.9571552277, 105.7341537476</t>
  </si>
  <si>
    <t>20.9626770020, 105.7642288208</t>
  </si>
  <si>
    <t>XH4001.92174</t>
  </si>
  <si>
    <t>BHX Số 61-63 Nhất Chi Mai</t>
  </si>
  <si>
    <t xml:space="preserve">Số 61-63 Nhất Chi Mai, P  13, Q  Tân Bình, TP HCM</t>
  </si>
  <si>
    <t>10.7969360352, 106.6377182007</t>
  </si>
  <si>
    <t>10.7906446457, 106.6463317871</t>
  </si>
  <si>
    <t>EB4001.17080</t>
  </si>
  <si>
    <t>BigC Nha Trang</t>
  </si>
  <si>
    <t>Lô số 4,đường 19/5 khu đô thị Vĩnh Điềm Trung,Xã Vĩnh Hiệp,Thành phố Nha Trang,tỉnh Khánh Hòa</t>
  </si>
  <si>
    <t>12.2563314438, 109.1696472168</t>
  </si>
  <si>
    <t>12.2478656769, 109.1949615479</t>
  </si>
  <si>
    <t>AL200111S1</t>
  </si>
  <si>
    <t>Trinh</t>
  </si>
  <si>
    <t>Đăk Lăk</t>
  </si>
  <si>
    <t>AL-04A-2120</t>
  </si>
  <si>
    <t>Trần Thị Kim Huệ</t>
  </si>
  <si>
    <t>12.6800985336, 108.0493392944</t>
  </si>
  <si>
    <t>LP200113DU</t>
  </si>
  <si>
    <t>Vy Trữ</t>
  </si>
  <si>
    <t>390, Lê Hồng Phong, Quyết Thắng, TP KonTum, Kon Tum</t>
  </si>
  <si>
    <t>AL-08C-2023</t>
  </si>
  <si>
    <t>Đỗ Thị Bích Nhàng</t>
  </si>
  <si>
    <t>14.3500900269, 108.0027160645</t>
  </si>
  <si>
    <t>SG4040.31023</t>
  </si>
  <si>
    <t>SF NGUYEN HONG</t>
  </si>
  <si>
    <t xml:space="preserve">15 Nguyên Hồng, Phường 1, Quận Gò Vấp, Tp  HCM</t>
  </si>
  <si>
    <t>10.8191566467, 106.6900253296</t>
  </si>
  <si>
    <t>10.8193378448, 106.6903381348</t>
  </si>
  <si>
    <t>BT100311EU</t>
  </si>
  <si>
    <t>Cường Châm</t>
  </si>
  <si>
    <t>Đông Phong, Yên Phong, Bắc Ninh</t>
  </si>
  <si>
    <t>AL-09F-1013</t>
  </si>
  <si>
    <t>Trương Thị Tuyến</t>
  </si>
  <si>
    <t>21.2202186584, 105.9706192017</t>
  </si>
  <si>
    <t>XH4001.82239</t>
  </si>
  <si>
    <t xml:space="preserve">BHX 200 Đường Lê Hồng Phong, Khu Phố 2 </t>
  </si>
  <si>
    <t>200 Đường Lê Hồng Phong, Khu Phố 2 , Thị Trấn Ngãi Giao, Huyện Châu Đức, Tỉnh Bà Rịa - Vũng Tàu</t>
  </si>
  <si>
    <t>10.6419782639, 107.1221542358</t>
  </si>
  <si>
    <t>10.6420011520, 107.1221466064</t>
  </si>
  <si>
    <t>NT20021267</t>
  </si>
  <si>
    <t>Thùy Nghiêm</t>
  </si>
  <si>
    <t>TT La Hà, Tư Nghĩa, Quảng Ngãi</t>
  </si>
  <si>
    <t>AL-04A-2065</t>
  </si>
  <si>
    <t>15.0912017822, 108.8226318359</t>
  </si>
  <si>
    <t>XH4001.108047</t>
  </si>
  <si>
    <t>BHX Tổ NDTQ Số 9, Ấp Chợ</t>
  </si>
  <si>
    <t>Tổ NDTQ Số 9, Ấp Chợ, Xã Mỹ An, Huyện Mang Thít, Tỉnh Vĩnh Long</t>
  </si>
  <si>
    <t>10.2403306961, 106.0529403687</t>
  </si>
  <si>
    <t>10.2402362823, 106.0530624390</t>
  </si>
  <si>
    <t>VL100111K7</t>
  </si>
  <si>
    <t>Dũng Dung</t>
  </si>
  <si>
    <t>Khu 6, Thanh Vinh, TX Phú Thọ, Phú Thọ</t>
  </si>
  <si>
    <t>AL-11E-1005</t>
  </si>
  <si>
    <t>Đặng Thị Giang</t>
  </si>
  <si>
    <t>21.4002723694, 105.1881027222</t>
  </si>
  <si>
    <t>MK200211J2</t>
  </si>
  <si>
    <t>Hoàng Long</t>
  </si>
  <si>
    <t>12, Điện Biên Phủ, Nha Trang, Khánh Hòa</t>
  </si>
  <si>
    <t>AL-04A-2101</t>
  </si>
  <si>
    <t>Nguyễn Thị Thu Thủy</t>
  </si>
  <si>
    <t>12.2881965637, 109.1907119751</t>
  </si>
  <si>
    <t>CF4002.105090</t>
  </si>
  <si>
    <t>CF_NGUYEN_KHOAI_FR</t>
  </si>
  <si>
    <t>84 Nguyễn Khoái, P 2, Quận 4, Tp HCM</t>
  </si>
  <si>
    <t>ST-02G-3003</t>
  </si>
  <si>
    <t>Nguyễn Tấn Tài</t>
  </si>
  <si>
    <t>10.7457046509, 106.6995162964</t>
  </si>
  <si>
    <t>PT20011095</t>
  </si>
  <si>
    <t>Vinh Thịnh</t>
  </si>
  <si>
    <t>252, Nguyễn Phước Nguyên, An Khê, Thanh Khê, Đà Nẵng</t>
  </si>
  <si>
    <t>AL-08C-2017</t>
  </si>
  <si>
    <t>16.0546131134, 108.1833038330</t>
  </si>
  <si>
    <t>TN1011100S</t>
  </si>
  <si>
    <t>Thành Đạt</t>
  </si>
  <si>
    <t>Ngã 3, Ngọc Hồi, Ngũ Hiệp (xóa), Thanh Trì, Hà Nội</t>
  </si>
  <si>
    <t>AL-06C-1005</t>
  </si>
  <si>
    <t>Hoàng Thị Bích Liên</t>
  </si>
  <si>
    <t>14h30 - 21h30</t>
  </si>
  <si>
    <t>20.9251213074, 105.8511123657</t>
  </si>
  <si>
    <t>BT1003108U</t>
  </si>
  <si>
    <t>Nguyễn Văn Hiếu</t>
  </si>
  <si>
    <t>AL-08E-1008</t>
  </si>
  <si>
    <t>Nguyễn Thị Thu</t>
  </si>
  <si>
    <t>21.1938629150, 105.9546585083</t>
  </si>
  <si>
    <t>MP2001100Q</t>
  </si>
  <si>
    <t>Nguyễn Thị Nhạn</t>
  </si>
  <si>
    <t>Nhà A, Chợ Đông Ba, P Phú Hòa, TP Huế, Huế</t>
  </si>
  <si>
    <t>AL-07D-1007</t>
  </si>
  <si>
    <t>Nguyễn Thị Ngọc Ánh</t>
  </si>
  <si>
    <t>16.4727287292, 107.5884246826</t>
  </si>
  <si>
    <t>VI2009.32768</t>
  </si>
  <si>
    <t>Vinmart Plus 8B Dã Tượng, Phường Phước Long</t>
  </si>
  <si>
    <t xml:space="preserve">8B Dã Tượng, Phường Phước Long,  TP  Nha Trang</t>
  </si>
  <si>
    <t>12.2151479721, 109.1962432861</t>
  </si>
  <si>
    <t>12.2151422501, 109.1961288452</t>
  </si>
  <si>
    <t>DL100413RX</t>
  </si>
  <si>
    <t>Siêu thị Mini</t>
  </si>
  <si>
    <t>182, Đoạn Xá, P.Đông Hải 1, Q.Hải An, Hải Phòng</t>
  </si>
  <si>
    <t>AL-06D-1007</t>
  </si>
  <si>
    <t>20.8569736481, 106.7161254883</t>
  </si>
  <si>
    <t>PH100310DY</t>
  </si>
  <si>
    <t>Phạm Thị Thu</t>
  </si>
  <si>
    <t>TT Khoái Châu, TT Khoái Châu, TT.Khoái Châu, H.Khoái Châu, Hưng Yên</t>
  </si>
  <si>
    <t>AL-05G-1003</t>
  </si>
  <si>
    <t>Trần Thị Tuyết</t>
  </si>
  <si>
    <t>20.8407115936, 105.9777755737</t>
  </si>
  <si>
    <t>TT100711HX</t>
  </si>
  <si>
    <t>Hương Chí</t>
  </si>
  <si>
    <t>Xóm Chung Cường, Yên Cường, X.Yên Cường, H.Ý Yên, Nam Định</t>
  </si>
  <si>
    <t>AL-11E-1003</t>
  </si>
  <si>
    <t>20.2878360748, 106.0837326050</t>
  </si>
  <si>
    <t>BT100311AW</t>
  </si>
  <si>
    <t>Luyện Giang</t>
  </si>
  <si>
    <t>Trần Xá, Yên Trung, Yên Phong, Bắc Ninh</t>
  </si>
  <si>
    <t>AL-08D-1009</t>
  </si>
  <si>
    <t>Ngô Thị Hải Nguyệt</t>
  </si>
  <si>
    <t>21.2102947235, 105.9851760864</t>
  </si>
  <si>
    <t>MK20021TTB</t>
  </si>
  <si>
    <t>Hải Di</t>
  </si>
  <si>
    <t>22, Lý Tự Trọng, Diên Khánh, Diên Khánh, Khánh Hòa</t>
  </si>
  <si>
    <t>AL-04A-2077</t>
  </si>
  <si>
    <t>Trần Thụy Nhã</t>
  </si>
  <si>
    <t>12.2558717728, 109.0992660522</t>
  </si>
  <si>
    <t>HA3001147D</t>
  </si>
  <si>
    <t>TH Kim Anh</t>
  </si>
  <si>
    <t>12, Ap Phuoc Lam, To 4, Phuoc Hung, Long Dien, Ba Ria - Vung Tau</t>
  </si>
  <si>
    <t>AL-04A-3134</t>
  </si>
  <si>
    <t>Phạm Thị Vẻ</t>
  </si>
  <si>
    <t>14h30 - 18h00</t>
  </si>
  <si>
    <t>10.4141025543, 107.2014694214</t>
  </si>
  <si>
    <t>AA10011063</t>
  </si>
  <si>
    <t>C NHUNG</t>
  </si>
  <si>
    <t>chợ Mai Châu, Mai Châu, Hòa Bình</t>
  </si>
  <si>
    <t>AL-09F-1021</t>
  </si>
  <si>
    <t>Hà Thị Tuyết</t>
  </si>
  <si>
    <t>20.6597766876, 105.0829620361</t>
  </si>
  <si>
    <t>ST-12D-1001</t>
  </si>
  <si>
    <t>Lê Thị Mỹ Lộc</t>
  </si>
  <si>
    <t>14h00 - 22h00</t>
  </si>
  <si>
    <t>16.8225250244, 107.0990371704</t>
  </si>
  <si>
    <t>PT40351OQP</t>
  </si>
  <si>
    <t>Circle K 225A, Hoang Hoa Tham</t>
  </si>
  <si>
    <t>225A, Hoang Hoa Tham, P.13, Q.Tân Bình, Hồ Chí Minh</t>
  </si>
  <si>
    <t>VC300510EO</t>
  </si>
  <si>
    <t>Quang Hương</t>
  </si>
  <si>
    <t>Suối Nho, Định Quán, Đồng Nai</t>
  </si>
  <si>
    <t>AL-06F-3010</t>
  </si>
  <si>
    <t>Trần Thị Nga</t>
  </si>
  <si>
    <t>11.0398740768, 107.2838134766</t>
  </si>
  <si>
    <t>Lâm Linh</t>
  </si>
  <si>
    <t>LL2002100V</t>
  </si>
  <si>
    <t>Thơ</t>
  </si>
  <si>
    <t>AL-04A-2103</t>
  </si>
  <si>
    <t>Bùi Thị Nhung</t>
  </si>
  <si>
    <t>12.6753406525, 109.2124710083</t>
  </si>
  <si>
    <t>NT3022113H</t>
  </si>
  <si>
    <t>Hồng Mỹ</t>
  </si>
  <si>
    <t>94, Trần Phú, Đức Nghĩa, Phan Thiết, Bình Thuận</t>
  </si>
  <si>
    <t>AL-09A-2002</t>
  </si>
  <si>
    <t>Phạm Thị Bảo Vi</t>
  </si>
  <si>
    <t>14h30 - 17h30</t>
  </si>
  <si>
    <t>10.9312868118, 108.1052932739</t>
  </si>
  <si>
    <t>NT40541FBZ</t>
  </si>
  <si>
    <t>Circle K 55, PHẠM VIẾT CHÁNH</t>
  </si>
  <si>
    <t>55, PHẠM VIẾT CHÁNH, P.Nguyễn Cư Trinh, Q.1, Hồ Chí Minh</t>
  </si>
  <si>
    <t>10.7659902573, 106.6827926636</t>
  </si>
  <si>
    <t>10.7660169601, 106.6827545166</t>
  </si>
  <si>
    <t>TA10031172</t>
  </si>
  <si>
    <t>Chi Hien</t>
  </si>
  <si>
    <t>so nha 112, ngo 640 nguyen van cu, gia thuy, long bien, ha noi</t>
  </si>
  <si>
    <t>AL-07F-1002</t>
  </si>
  <si>
    <t>Trần Thị Hoài</t>
  </si>
  <si>
    <t>21.0492725372, 105.8886718750</t>
  </si>
  <si>
    <t>SG4040.31072</t>
  </si>
  <si>
    <t>SF PHAM T HIEN 2</t>
  </si>
  <si>
    <t xml:space="preserve">1438F Phạm Thế Hiển, Phường 5, Quận 8, Tp  HCM</t>
  </si>
  <si>
    <t>10.7414197922, 106.6584320068</t>
  </si>
  <si>
    <t>10.7413463593, 106.6583938599</t>
  </si>
  <si>
    <t>DA3003108G</t>
  </si>
  <si>
    <t>Bách Hóa Mới</t>
  </si>
  <si>
    <t>330, TL 766, Xuân Trường, Xuân Lộc, Đồng Nai</t>
  </si>
  <si>
    <t>AL-04A-3181</t>
  </si>
  <si>
    <t>Bùi Thị Kim Quý</t>
  </si>
  <si>
    <t>10.9622955322, 107.4075851440</t>
  </si>
  <si>
    <t>CG10021323</t>
  </si>
  <si>
    <t>Siêu Thị Bình An</t>
  </si>
  <si>
    <t>n/a, Phú Tân, X.Khánh Phú, H.Yên Khánh, Ninh Bình</t>
  </si>
  <si>
    <t>AL-11C-1007</t>
  </si>
  <si>
    <t>Vũ Thị Thu Hằng</t>
  </si>
  <si>
    <t>20.2307243347, 106.0242843628</t>
  </si>
  <si>
    <t>MK20021266</t>
  </si>
  <si>
    <t>Nam Hiếu</t>
  </si>
  <si>
    <t>341 Đường 2/4, , Nha Trang, Khánh Hòa</t>
  </si>
  <si>
    <t>AL-04G-2003</t>
  </si>
  <si>
    <t>12.2798280716, 109.1950073242</t>
  </si>
  <si>
    <t>NH100510ML</t>
  </si>
  <si>
    <t>Phong Luyến</t>
  </si>
  <si>
    <t>446, An Tràng, TT.Trường Sơn, H.An Lão, Hải Phòng</t>
  </si>
  <si>
    <t>AL-05E-1005</t>
  </si>
  <si>
    <t>Nguyễn Thị Thưởng</t>
  </si>
  <si>
    <t>20.8156852722, 106.6063919067</t>
  </si>
  <si>
    <t>CV100511KP</t>
  </si>
  <si>
    <t>Chị Lan</t>
  </si>
  <si>
    <t>144, Trương Định, Giáp Bát, Hoàng Mai, Hà Nội</t>
  </si>
  <si>
    <t>AL-04A-1030</t>
  </si>
  <si>
    <t>Cao Thanh Tâm</t>
  </si>
  <si>
    <t>20.9857864380, 105.8434677124</t>
  </si>
  <si>
    <t>CG10021151</t>
  </si>
  <si>
    <t>Vũ Thị Tuyết</t>
  </si>
  <si>
    <t>n/a, Ân Hòa, X.Ân Hòa, H.Kim Sơn, Ninh Bình</t>
  </si>
  <si>
    <t>AL-04A-1061</t>
  </si>
  <si>
    <t>Mai Thị Kim Ngân</t>
  </si>
  <si>
    <t>20.1197013855, 106.1185226440</t>
  </si>
  <si>
    <t>Khải Tú</t>
  </si>
  <si>
    <t>KT200910CQ</t>
  </si>
  <si>
    <t>Long Thơ</t>
  </si>
  <si>
    <t>197, Quang Trung, TT Ngô Mây, Phù Cát, Bình Định</t>
  </si>
  <si>
    <t>AL-05A-2004</t>
  </si>
  <si>
    <t>Nguyễn Thị Phúc</t>
  </si>
  <si>
    <t>13.9991483688, 109.0575256348</t>
  </si>
  <si>
    <t>HT40321RD2</t>
  </si>
  <si>
    <t>Siêu thị GS-25 Số 01-03, Võ Văn Ngân</t>
  </si>
  <si>
    <t>Số 01-03, Võ Văn Ngân, P.Linh Chiểu, Q.Thủ Đức, Hồ Chí Minh</t>
  </si>
  <si>
    <t>10.8510293961, 106.7712554932</t>
  </si>
  <si>
    <t>10.8510284424, 106.7712554932</t>
  </si>
  <si>
    <t>GB20021056</t>
  </si>
  <si>
    <t>31, Mai Xuân Thưởng, Diêu Trì, Tuy Phước, Bình Định</t>
  </si>
  <si>
    <t>AL-07F-2001</t>
  </si>
  <si>
    <t>Phan Thị Mỹ Hiệp</t>
  </si>
  <si>
    <t>13.8027086258, 109.1471862793</t>
  </si>
  <si>
    <t>VT300210AP</t>
  </si>
  <si>
    <t>Hưng Thịnh</t>
  </si>
  <si>
    <t>Chợ , Tân Bùi, Lộc Châu, Bảo Lộc, Lâm Đồng</t>
  </si>
  <si>
    <t>AL-12E-2002</t>
  </si>
  <si>
    <t>Nguyễn Đắc Hương Quỳnh</t>
  </si>
  <si>
    <t>11.5305051804, 107.7754287720</t>
  </si>
  <si>
    <t>FM2002188R</t>
  </si>
  <si>
    <t>TP Nam</t>
  </si>
  <si>
    <t>203, Mai Hắc Đế, Tân Thành, Buôn Ma Thuột, Đăk Lăk</t>
  </si>
  <si>
    <t>AL-03B-2008</t>
  </si>
  <si>
    <t>Hà Thị Tương</t>
  </si>
  <si>
    <t>12.6685619354, 108.0266723633</t>
  </si>
  <si>
    <t>AM10031197</t>
  </si>
  <si>
    <t>Quân Phương</t>
  </si>
  <si>
    <t>Thôn Hệ, Vĩnh Thịnh, Vĩnh Tường, Vĩnh Phúc</t>
  </si>
  <si>
    <t>AL-08D-1010</t>
  </si>
  <si>
    <t>21.1996879578, 105.5311050415</t>
  </si>
  <si>
    <t>TA1003136C</t>
  </si>
  <si>
    <t>Mẹ và Bé</t>
  </si>
  <si>
    <t>450, Hà Huy Tập, Yên Viên, Gia Lâm, Hà Nội</t>
  </si>
  <si>
    <t>AL-08F-1002</t>
  </si>
  <si>
    <t>Vũ Thị Lê</t>
  </si>
  <si>
    <t>21.0235023499, 105.9166259766</t>
  </si>
  <si>
    <t>QD20011007</t>
  </si>
  <si>
    <t>Hồng Thức</t>
  </si>
  <si>
    <t>32, Mộng Tuân, P.Nam Ngạn, TP.Thanh Hóa, Thanh Hóa</t>
  </si>
  <si>
    <t>AL-04A-1084</t>
  </si>
  <si>
    <t>Phùng Thị Bắc</t>
  </si>
  <si>
    <t>19.8199748993, 105.7853088379</t>
  </si>
  <si>
    <t>VI5013.85850</t>
  </si>
  <si>
    <t>TD_47_AGG_001_UNG_V_KHIEM</t>
  </si>
  <si>
    <t xml:space="preserve">Thửa đất số 47, tờ bản đồ số 001 tại địa chỉ Ung Văn Khiêm, P Mỹ Phước, TP  Long Xuyên, T An Giang</t>
  </si>
  <si>
    <t>10.3706083298, 105.4364395142</t>
  </si>
  <si>
    <t>10.3706407547, 105.4364852905</t>
  </si>
  <si>
    <t>TT1007106T</t>
  </si>
  <si>
    <t>Phạm Thị Thủy</t>
  </si>
  <si>
    <t>Bo, Xóm An Thắng, X.Yên Chính, H.Ý Yên, Nam Định</t>
  </si>
  <si>
    <t>AL-05E-1007</t>
  </si>
  <si>
    <t>20.3681240082, 105.9743041992</t>
  </si>
  <si>
    <t>TD300113SU</t>
  </si>
  <si>
    <t>Bảo Ngọc</t>
  </si>
  <si>
    <t>11A, Bến Sắn, Phước Thiền, Phước Thiền, Nhơn Trạch, Đồng Nai</t>
  </si>
  <si>
    <t>AL-08C-3018</t>
  </si>
  <si>
    <t>Lê Thị Quỳnh Oanh</t>
  </si>
  <si>
    <t>10.7588844299, 106.9323196411</t>
  </si>
  <si>
    <t>KC1001103H</t>
  </si>
  <si>
    <t>Công ty Cổ phầnPhátTriểnThương Mại và Dịch vụ Nguyên Phát CT6</t>
  </si>
  <si>
    <t>CT6, Trần Thái Tông,P.Yên Hòa,Q.Cầu Giấy,Hà Nội</t>
  </si>
  <si>
    <t>ST-05D-1001</t>
  </si>
  <si>
    <t>Nguyễn Thị Hà</t>
  </si>
  <si>
    <t>21.0238475800, 105.7884521484</t>
  </si>
  <si>
    <t>Thiên Y</t>
  </si>
  <si>
    <t>TY300113EQ</t>
  </si>
  <si>
    <t>Luôn Đạt</t>
  </si>
  <si>
    <t>Trụ 96, Ấp Phú Nghị, Hòa Lợi, Bến Cát, Bình Dương</t>
  </si>
  <si>
    <t>AL-04A-3188</t>
  </si>
  <si>
    <t>Nguyễn Thị Hệ</t>
  </si>
  <si>
    <t>11.0793495178, 106.6634674072</t>
  </si>
  <si>
    <t>AM100110NT</t>
  </si>
  <si>
    <t>Hoa Thục</t>
  </si>
  <si>
    <t>Chợ Gạch Mới, TT Phúc Thọ , Phúc Thọ, Hà Nội</t>
  </si>
  <si>
    <t>AL-09D-1002</t>
  </si>
  <si>
    <t>Nguyễn Lê Chi</t>
  </si>
  <si>
    <t>21.1049804688, 105.5370330811</t>
  </si>
  <si>
    <t>MK2002128V</t>
  </si>
  <si>
    <t>Kim</t>
  </si>
  <si>
    <t>Chợ Vĩnh Thọ, Vĩnh Thọ, Nha Trang, Khánh Hòa</t>
  </si>
  <si>
    <t>AL-04A-2093</t>
  </si>
  <si>
    <t>Lê Trần Thu Trang</t>
  </si>
  <si>
    <t>12.2670650482, 109.1969528198</t>
  </si>
  <si>
    <t>DL200411UL</t>
  </si>
  <si>
    <t>Mẹ &amp; Bé</t>
  </si>
  <si>
    <t>22 Lạc Long Quân, TT Easup, Easup, Đăk Lăk</t>
  </si>
  <si>
    <t>AL-03G-2002</t>
  </si>
  <si>
    <t>Lê Thị Phương</t>
  </si>
  <si>
    <t>13.0697708130, 107.8839797974</t>
  </si>
  <si>
    <t>NL30101017</t>
  </si>
  <si>
    <t>Phạm Nguyên</t>
  </si>
  <si>
    <t>45/5, Quốc Lộ 1A, KP 1, Tân Biên, Biên Hòa, Đồng Nai</t>
  </si>
  <si>
    <t>AL-07B-3002</t>
  </si>
  <si>
    <t>Hứa Gia Lăng</t>
  </si>
  <si>
    <t>10.9678888321, 106.8886260986</t>
  </si>
  <si>
    <t>TD50032001</t>
  </si>
  <si>
    <t>TH Nhàn</t>
  </si>
  <si>
    <t>A3/37, Kế Tâm ảnh Chợ Mới, Chợ Mới Phong Điền, TT.Phong Điền, H.Phong Điền, Cần Thơ</t>
  </si>
  <si>
    <t>AL-01D-4004</t>
  </si>
  <si>
    <t>Trần Phương Thảo</t>
  </si>
  <si>
    <t>9.9973850250, 105.6701126099</t>
  </si>
  <si>
    <t>KC100110CE</t>
  </si>
  <si>
    <t>Gia Hưng Mart 177 Trung Kính tòa Homecity</t>
  </si>
  <si>
    <t>177 Trung Kính tòa Homecity, Yên Hòa, Cầu Giấy, Hà Nội</t>
  </si>
  <si>
    <t>21.0161666870, 105.7922134399</t>
  </si>
  <si>
    <t>21.0157546997, 105.7930450439</t>
  </si>
  <si>
    <t>VM1009.30186</t>
  </si>
  <si>
    <t>VM 38 DE TO HOANG</t>
  </si>
  <si>
    <t>Số 38 Đê Tô Hoàng, phường Cầu Dền, quận Hai Bà Trưng, Hà Nội</t>
  </si>
  <si>
    <t>EB4001.14034</t>
  </si>
  <si>
    <t>BIGC HA LONG</t>
  </si>
  <si>
    <t>Cột 5,Phường Hồng Hải,Thành Phố Hạ Long,Tỉnh Quảng Ninh</t>
  </si>
  <si>
    <t>ST-04A-1079</t>
  </si>
  <si>
    <t>Đinh Thanh Huyền</t>
  </si>
  <si>
    <t>20.9417743683, 107.1103820801</t>
  </si>
  <si>
    <t>20.9419670105, 107.1103363037</t>
  </si>
  <si>
    <t>CF4001.65848</t>
  </si>
  <si>
    <t>CH_CF_CC_DRAGON_HILL</t>
  </si>
  <si>
    <t>CC Dragon Hill Residence and Suites 2 TM03, Block 3 tầng trệt, 15A2 Nguyễn Hữu Thọ, Xã Phước Kiển, Huyện Nhà Bè, Tp HCM</t>
  </si>
  <si>
    <t>10.7455501556, 106.6998367310</t>
  </si>
  <si>
    <t>NC500412G7</t>
  </si>
  <si>
    <t>Tư Thi</t>
  </si>
  <si>
    <t>20, Nguyễn Trung Trực, Khóm 4, P.An Thạnh, TX.Hồng Ngự, Đồng Tháp</t>
  </si>
  <si>
    <t>AL-03E-4017</t>
  </si>
  <si>
    <t>Phạm Thị Yến Nhi</t>
  </si>
  <si>
    <t>10.8067512512, 105.3445510864</t>
  </si>
  <si>
    <t>KV3003110A</t>
  </si>
  <si>
    <t>Hà Chiêu</t>
  </si>
  <si>
    <t>92/1, Khóm 2, Khu phố 5, Trà Cổ, Tân Phú, Đồng Nai</t>
  </si>
  <si>
    <t>AL-04G-3001</t>
  </si>
  <si>
    <t>Lê Thị Cẩm Vân</t>
  </si>
  <si>
    <t>11.2650833130, 107.4287414551</t>
  </si>
  <si>
    <t>VC1007.63172</t>
  </si>
  <si>
    <t>VINMART_LA_THANH</t>
  </si>
  <si>
    <t xml:space="preserve">Tầng 1, Tòa nhà 170 La Thành, Phường Ô Chợ Dừa, Quận Đống Đa, TP  Hà Nội</t>
  </si>
  <si>
    <t>21.0210227966, 105.8280944824</t>
  </si>
  <si>
    <t>21.0206089020, 105.8279190063</t>
  </si>
  <si>
    <t>GB200210IE</t>
  </si>
  <si>
    <t>Ngân Anh</t>
  </si>
  <si>
    <t>449, Nguyễn Huệ, TT Tuy Phước, Tuy Phước, Bình Định</t>
  </si>
  <si>
    <t>AL-09F-2002</t>
  </si>
  <si>
    <t>Lê Thị Diễm Hương</t>
  </si>
  <si>
    <t>13.8269510269, 109.1686096191</t>
  </si>
  <si>
    <t>KT201010NM</t>
  </si>
  <si>
    <t>Phượng hóa</t>
  </si>
  <si>
    <t>52, Bà Triệu, TX Gia Nghĩa, Đăk Nông</t>
  </si>
  <si>
    <t>AL-03D-2007</t>
  </si>
  <si>
    <t>Nguyễn Thị Diệu Linh</t>
  </si>
  <si>
    <t>12.0064067841, 107.6835937500</t>
  </si>
  <si>
    <t>07h30 - 11h30</t>
  </si>
  <si>
    <t>13.9867811203, 108.0079650879</t>
  </si>
  <si>
    <t>13.9868164063, 108.0080261230</t>
  </si>
  <si>
    <t>XH4001.89795</t>
  </si>
  <si>
    <t>BHX Thửa đất số 550-551 tờ bản đồ số 2a và thửa đất số 225 tờ bản đồ số 33, Ấp An Lợi B</t>
  </si>
  <si>
    <t xml:space="preserve">Thửa đất số 550-551 tờ bản đồ số 2a và thửa đất số 225 tờ bản đồ số 33, Ấp An Lợi B, xã Định Yên, H  Lấp Vò, Tỉnh Đồng Tháp</t>
  </si>
  <si>
    <t>10.3445186615, 105.4949951172</t>
  </si>
  <si>
    <t>10.3350181580, 105.6191024780</t>
  </si>
  <si>
    <t>G74003.107068</t>
  </si>
  <si>
    <t>G7 MINISTOP A 1 02 tại Tầng 01, tháp A thuộc Trung tâm Thương mại – Dịch vụ</t>
  </si>
  <si>
    <t>A 1 02 tại Tầng 01, tháp A thuộc Trung tâm Thương mại – Dịch vụ, Officetel và Căn hộ ở tại số 34 – 35 Bến Vân Đồn, Phường 12, Quận 4, TPHCM</t>
  </si>
  <si>
    <t>10.7669219971, 106.7039794922</t>
  </si>
  <si>
    <t>10.7668094635, 106.7041320801</t>
  </si>
  <si>
    <t>BR1001.110460</t>
  </si>
  <si>
    <t>BRG 17 Tràng Tiền, quận Hoàn Kiếm</t>
  </si>
  <si>
    <t>17 Tràng Tiền, quận Hoàn Kiếm, Hà Nội</t>
  </si>
  <si>
    <t>21.0246219635, 105.8562927246</t>
  </si>
  <si>
    <t>21.0246028900, 105.8562545776</t>
  </si>
  <si>
    <t>NC40171JQ4</t>
  </si>
  <si>
    <t>Circle K 67, Le Duc Tho</t>
  </si>
  <si>
    <t>67, Le Duc Tho, P.7, Q.Gò Vấp, Hồ Chí Minh</t>
  </si>
  <si>
    <t>10.8321056366, 106.6825714111</t>
  </si>
  <si>
    <t>10.8321065903, 106.6825866699</t>
  </si>
  <si>
    <t>SG4040.41742</t>
  </si>
  <si>
    <t>SF DANG T VINH</t>
  </si>
  <si>
    <t xml:space="preserve">45T Ấp 7, Đặng Thúc Vịnh, Xã Đông Thạnh, Thị trấn Hóc Môn, Huyện Hóc Môn, TP  HCM</t>
  </si>
  <si>
    <t>10.9075183868, 106.6418380737</t>
  </si>
  <si>
    <t>10.9075241089, 106.6418380737</t>
  </si>
  <si>
    <t>Cty TNHH Minh Thái</t>
  </si>
  <si>
    <t>MT100416SE</t>
  </si>
  <si>
    <t>140, Trần Hưng Đạo, Hải Dương</t>
  </si>
  <si>
    <t>AL-09F-1011</t>
  </si>
  <si>
    <t>Trần Thị Minh Nguyệt</t>
  </si>
  <si>
    <t>20.7331123352, 106.3942031860</t>
  </si>
  <si>
    <t>NL3010120D</t>
  </si>
  <si>
    <t>Phương Lâm</t>
  </si>
  <si>
    <t>G68, Bùi Văn Hòa, KP 7, Long Bình, Biên Hòa, Đồng Nai</t>
  </si>
  <si>
    <t>AL-10B-3004</t>
  </si>
  <si>
    <t>Vũ Thị Tình</t>
  </si>
  <si>
    <t>14h00 - 17h30</t>
  </si>
  <si>
    <t>10.9067592621, 106.8899078369</t>
  </si>
  <si>
    <t>KA5003109N</t>
  </si>
  <si>
    <t>Tuyết Như</t>
  </si>
  <si>
    <t>41A, Ấp Bà Điều, Lý Văn Lâm, TP.Cà Mau, Cà Mau</t>
  </si>
  <si>
    <t>AL-04A-4032</t>
  </si>
  <si>
    <t>Phạm Kim Trúc</t>
  </si>
  <si>
    <t>9.1559391022, 105.1395568848</t>
  </si>
  <si>
    <t>VI3003.57437</t>
  </si>
  <si>
    <t>VMP_BDG_39_TRAN_HUNG_DAO</t>
  </si>
  <si>
    <t>39 Trần Hưng Đạo, KP Tây B, Phường Đông Hoà, Thị Xã Dĩ An, Tỉnh Bình Dương</t>
  </si>
  <si>
    <t>10.8926057816, 106.7844314575</t>
  </si>
  <si>
    <t>10.8925733566, 106.7843780518</t>
  </si>
  <si>
    <t>NL30101060</t>
  </si>
  <si>
    <t>Duy Kim Anh</t>
  </si>
  <si>
    <t>289A/4, KP7, Tân Biên, Biên Hòa, Đồng Nai</t>
  </si>
  <si>
    <t>AL-11F-3006</t>
  </si>
  <si>
    <t>Phạm Nguyễn</t>
  </si>
  <si>
    <t>10.9695901871, 106.8949356079</t>
  </si>
  <si>
    <t>SG4040.30991</t>
  </si>
  <si>
    <t>SF THACH LAM</t>
  </si>
  <si>
    <t xml:space="preserve">119 Thạch Lam, Phường Hiệp Tân, Quận Tân Phú, Tp  HCM</t>
  </si>
  <si>
    <t>10.7771329880, 106.6298904419</t>
  </si>
  <si>
    <t>10.8270483017, 106.6315994263</t>
  </si>
  <si>
    <t>VM1009.61172</t>
  </si>
  <si>
    <t>VMP_RICE_CITY_SONG_HONG</t>
  </si>
  <si>
    <t xml:space="preserve">Số 01+01A GA, Dự án Nhà phố Rice City Sông Hồng, 139 Gia Quất, phường Thượng Thanh, Long Biên, Hà Nội </t>
  </si>
  <si>
    <t>21.0537776947, 105.8771591187</t>
  </si>
  <si>
    <t>21.0718021393, 105.9004287720</t>
  </si>
  <si>
    <t>KT20091012</t>
  </si>
  <si>
    <t>Tâm Hường</t>
  </si>
  <si>
    <t>89, Hồng Lĩnh, Đập Đá, An Nhơn, Bình Định</t>
  </si>
  <si>
    <t>AL-03C-2001</t>
  </si>
  <si>
    <t>Bùi Thị Hồng Nga</t>
  </si>
  <si>
    <t>13.9196758270, 109.0893249512</t>
  </si>
  <si>
    <t>NT3022104B</t>
  </si>
  <si>
    <t>Chị Ninh</t>
  </si>
  <si>
    <t>14, Ngô Quyền, Đức Thắng, Phan Thiết, Bình Thuận</t>
  </si>
  <si>
    <t>AL-04A-2119</t>
  </si>
  <si>
    <t>Lê Thị Hồng Anh</t>
  </si>
  <si>
    <t>10.9204950333, 108.0957183838</t>
  </si>
  <si>
    <t>VI3004.50047</t>
  </si>
  <si>
    <t>VMP_890_DUONG_30_4</t>
  </si>
  <si>
    <t>890 Đường 30 tháng 4, Phường 11, TP Vũng Tàu</t>
  </si>
  <si>
    <t>10.4079465866, 107.1311035156</t>
  </si>
  <si>
    <t>TN1011135Z</t>
  </si>
  <si>
    <t>Cường Thoan</t>
  </si>
  <si>
    <t>Phố Xốm, hà Đông, Hà Đông, Hà Nội</t>
  </si>
  <si>
    <t>AL-04A-1026</t>
  </si>
  <si>
    <t>Lê Thị Hiền</t>
  </si>
  <si>
    <t>20.9451103210, 105.7568435669</t>
  </si>
  <si>
    <t>TN10111369</t>
  </si>
  <si>
    <t xml:space="preserve">Hưng Yến </t>
  </si>
  <si>
    <t>26, Kim Bài, Thanh Oai, Hà Nội</t>
  </si>
  <si>
    <t>AL-08C-1011</t>
  </si>
  <si>
    <t>Lưu Thị Luyến</t>
  </si>
  <si>
    <t>20.8576183319, 105.7654342651</t>
  </si>
  <si>
    <t>XH4001.113659</t>
  </si>
  <si>
    <t xml:space="preserve">BHX 35B - 35C Mai Hắc Đế </t>
  </si>
  <si>
    <t>35B - 35C Mai Hắc Đế , Phường 15, Quận 08, TP HCM</t>
  </si>
  <si>
    <t>XH4001.105572</t>
  </si>
  <si>
    <t>BHX Số 418 Quốc lộ 13</t>
  </si>
  <si>
    <t xml:space="preserve">Số 418 Quốc lộ 13, KP  6, P  Hiệp Bình Phước, TP  Thủ Đức, TP  Hồ Chí Minh</t>
  </si>
  <si>
    <t>10.8361854553, 106.7138748169</t>
  </si>
  <si>
    <t>10.8361825943, 106.7138977051</t>
  </si>
  <si>
    <t>TT301211KJ</t>
  </si>
  <si>
    <t>Ngọc Dũng</t>
  </si>
  <si>
    <t>10, Trần Phú, Phan Rang - Tháp Chàm, Ninh Thuận</t>
  </si>
  <si>
    <t>AL-07F-2013</t>
  </si>
  <si>
    <t>Dương Thị Xuân Diễm</t>
  </si>
  <si>
    <t>11.5776596069, 108.9932861328</t>
  </si>
  <si>
    <t>XH4001.125325</t>
  </si>
  <si>
    <t>BHX 688 Tân Kỳ Tân Quý</t>
  </si>
  <si>
    <t xml:space="preserve">688 Tân Kỳ Tân Quý, Khu phố 7, P  Bình Hưng Hòa, Q  Bình Tân, TP HCM</t>
  </si>
  <si>
    <t>10.7925233841, 106.6063308716</t>
  </si>
  <si>
    <t>10.7925071716, 106.6063385010</t>
  </si>
  <si>
    <t>VL1001106C</t>
  </si>
  <si>
    <t>Hòa Xe</t>
  </si>
  <si>
    <t>58, Phú Thịnh, Phong Châu, Phù Ninh, Phú Thọ</t>
  </si>
  <si>
    <t>AL-08C-1062</t>
  </si>
  <si>
    <t>21.3985137939, 105.2242889404</t>
  </si>
  <si>
    <t>DT10021162</t>
  </si>
  <si>
    <t>Hà Thị Là</t>
  </si>
  <si>
    <t>1, Quang Trung, P.Quang Trung, TP.Thái Bình, Thái Bình</t>
  </si>
  <si>
    <t>AL-09F-1008</t>
  </si>
  <si>
    <t>Vàng Thị Hiền</t>
  </si>
  <si>
    <t>20.4437923431, 106.3379516602</t>
  </si>
  <si>
    <t>PT40351EEY</t>
  </si>
  <si>
    <t>Đức Thịnh</t>
  </si>
  <si>
    <t>72, Độc Lập, Tân Thành, Tân Phú, HCM</t>
  </si>
  <si>
    <t>AL-02F-3010</t>
  </si>
  <si>
    <t>Bùi Thị Thơm</t>
  </si>
  <si>
    <t>10.7922086716, 106.6354522705</t>
  </si>
  <si>
    <t>10.7917566299, 106.6353988647</t>
  </si>
  <si>
    <t>VI2003.51909</t>
  </si>
  <si>
    <t>VMP_121_CU_CHINH_LAN</t>
  </si>
  <si>
    <t>121 Cù Chính Lan, Phường Hòa Khê, Quận Thanh Khê, TP Đà Nẵng</t>
  </si>
  <si>
    <t>16.0649299622, 108.1855239868</t>
  </si>
  <si>
    <t>16.0649700165, 108.1855163574</t>
  </si>
  <si>
    <t>VI3002.83267</t>
  </si>
  <si>
    <t>VMP_DNI_152_DINH_QUANG_AN</t>
  </si>
  <si>
    <t>152 Đinh Quang Ân, Xã Phước Tân, Thành phố Biên Hoà, Tỉnh Đồng Nai</t>
  </si>
  <si>
    <t>10.8928079605, 106.9063796997</t>
  </si>
  <si>
    <t>10.8928060532, 106.9063720703</t>
  </si>
  <si>
    <t>XH4001.84118</t>
  </si>
  <si>
    <t>BHX Thửa đất số 4370, tờ bản đồ số 76</t>
  </si>
  <si>
    <t>Thửa đất số 4370, tờ bản đồ số 76, khu phố thắng lợi, phường Dĩ An, Thị Xã Dĩ An, Tỉnh Bình Dương</t>
  </si>
  <si>
    <t>10.9017457962, 106.7612533569</t>
  </si>
  <si>
    <t>10.9017543793, 106.7612686157</t>
  </si>
  <si>
    <t>10.9015378952, 106.7611846924</t>
  </si>
  <si>
    <t>10.9015846252, 106.7612533569</t>
  </si>
  <si>
    <t>XH4001.49531</t>
  </si>
  <si>
    <t>BHX 178-178A đường số 8</t>
  </si>
  <si>
    <t xml:space="preserve">178-178A đường số 8, P  11, Q  Gò Vấp,TP  HồChí Minh</t>
  </si>
  <si>
    <t>10.8423604965, 106.6622467041</t>
  </si>
  <si>
    <t>10.8423833847, 106.6622467041</t>
  </si>
  <si>
    <t>MP40021K00</t>
  </si>
  <si>
    <t>Circle K L1 - 02, Sai Gon</t>
  </si>
  <si>
    <t>L1 - 02, Sai Gon, X.Bình Hưng, H.Bình Chánh, Hồ Chí Minh</t>
  </si>
  <si>
    <t>10.7330942154, 106.6892852783</t>
  </si>
  <si>
    <t>10.7329702377, 106.6892929077</t>
  </si>
  <si>
    <t>HN500112K6</t>
  </si>
  <si>
    <t>Shop Hải Phương</t>
  </si>
  <si>
    <t>282, Ngang của hàng Hồng Điệp, Nguyễn Huệ, TT.Cái Tàu Hạ, H.Châu Thành, Đồng Tháp</t>
  </si>
  <si>
    <t>AL-08C-4059</t>
  </si>
  <si>
    <t>Trần Thị Thúy Hằng</t>
  </si>
  <si>
    <t>10h00 - 18h30</t>
  </si>
  <si>
    <t>10.2597169876, 105.8736724854</t>
  </si>
  <si>
    <t>TL40041IAQ</t>
  </si>
  <si>
    <t>Circle K 9, Nguyen Kim, Nguyen Kim</t>
  </si>
  <si>
    <t>9, Nguyen Kim, P.12, Q.5, Hồ Chí Minh</t>
  </si>
  <si>
    <t>10.7566595078, 106.6628646851</t>
  </si>
  <si>
    <t>10.7566518784, 106.6626739502</t>
  </si>
  <si>
    <t>AM100312SW</t>
  </si>
  <si>
    <t>Mama Baby</t>
  </si>
  <si>
    <t>Khu 8, Vĩnh Tường, Vĩnh Phúc</t>
  </si>
  <si>
    <t>AL-04G-1004</t>
  </si>
  <si>
    <t>Nguyễn Thị Anh Đào</t>
  </si>
  <si>
    <t>21.2015991211, 105.5257949829</t>
  </si>
  <si>
    <t>TB20021045</t>
  </si>
  <si>
    <t>CH Tiến Đạt</t>
  </si>
  <si>
    <t>88 Phạm Văn Đồng, Thị Xã Sông Cầu, Phú Yên, Khánh Hòa</t>
  </si>
  <si>
    <t>AL-11F-2004</t>
  </si>
  <si>
    <t>Phan Thị Kim Oanh</t>
  </si>
  <si>
    <t>14h00 - 19h00</t>
  </si>
  <si>
    <t>13.4582567215, 109.2217330933</t>
  </si>
  <si>
    <t>VI4001.55779</t>
  </si>
  <si>
    <t>VMP_HCM_268_BUI_MINH_TRUC</t>
  </si>
  <si>
    <t>268 Bùi Minh Trực, Phường 6, Quận 8, TPHCM</t>
  </si>
  <si>
    <t>10.7375879288, 106.6565322876</t>
  </si>
  <si>
    <t>10.7370948792, 106.6550827026</t>
  </si>
  <si>
    <t>KT200910E3</t>
  </si>
  <si>
    <t>Chị Trâm</t>
  </si>
  <si>
    <t>53, Đường 3/2, TT Ngô Mây, Phù Cát, Bình Định</t>
  </si>
  <si>
    <t>AL-03F-2002</t>
  </si>
  <si>
    <t>Ngô Thị Ánh Nga</t>
  </si>
  <si>
    <t>13.9997520447, 109.0592117310</t>
  </si>
  <si>
    <t>VI5003.100371</t>
  </si>
  <si>
    <t>VMP_365/14_NGUYEN_VAN_CU</t>
  </si>
  <si>
    <t>365/14 Nguyễn Văn Cừ, Q Ninh Kiều, TP Cần Thơ</t>
  </si>
  <si>
    <t>10.0313024521, 105.7527313232</t>
  </si>
  <si>
    <t>10.0312051773, 105.7528381348</t>
  </si>
  <si>
    <t>VI2003.29827</t>
  </si>
  <si>
    <t>VMP 47 LY THUONG KIET</t>
  </si>
  <si>
    <t>47 Lý Thường Kiệt-P Thạch Thang, Q Hải Châu- Tp Đà Nẵng</t>
  </si>
  <si>
    <t>16.0801849365, 108.2201156616</t>
  </si>
  <si>
    <t>16.0801868439, 108.2201766968</t>
  </si>
  <si>
    <t>TT10071075</t>
  </si>
  <si>
    <t>Trần Thị Sợi</t>
  </si>
  <si>
    <t>183, Trần Huy Liệu, P.Văn Miếu, TP.Nam Định, Nam Định</t>
  </si>
  <si>
    <t>AL-04A-1056</t>
  </si>
  <si>
    <t>Trần Thị Hồng Thúy</t>
  </si>
  <si>
    <t>20.4183292389, 106.1622161865</t>
  </si>
  <si>
    <t>AT20051008</t>
  </si>
  <si>
    <t>Hoa Chính</t>
  </si>
  <si>
    <t>133, Bà Triệu, P An Đông, TP Huế, Huế</t>
  </si>
  <si>
    <t>AL-08E-1006</t>
  </si>
  <si>
    <t>Phạm Thị Tuyết Mai</t>
  </si>
  <si>
    <t>16.4646091461, 107.6001358032</t>
  </si>
  <si>
    <t>MP2001100O</t>
  </si>
  <si>
    <t>Châu</t>
  </si>
  <si>
    <t>AL-04A-2024</t>
  </si>
  <si>
    <t>Ngô Thị Ngọc Hoàng</t>
  </si>
  <si>
    <t>16.4731864929, 107.5888977051</t>
  </si>
  <si>
    <t>HT201712QK</t>
  </si>
  <si>
    <t>Hoàng Giang</t>
  </si>
  <si>
    <t>1 Bùi Thị Xuân, Xuân An, Phan Thiết, Bình Thuận</t>
  </si>
  <si>
    <t>AL-04F-2004</t>
  </si>
  <si>
    <t>Đặng Thị Từ Đức</t>
  </si>
  <si>
    <t>10.9437961578, 108.1051940918</t>
  </si>
  <si>
    <t>KC100110GI</t>
  </si>
  <si>
    <t>Kmart S1-01</t>
  </si>
  <si>
    <t xml:space="preserve">S1-01,Tòa nhà Saphia 1,Goldmark city,136 Hồ Tùng Mậu, P. Phú Diễn, Q.Bắc Từ Liêm, Hà Nội </t>
  </si>
  <si>
    <t>21.0429496765, 105.7661972046</t>
  </si>
  <si>
    <t>21.0429477692, 105.7661972046</t>
  </si>
  <si>
    <t>PL5001107N</t>
  </si>
  <si>
    <t>An Thái</t>
  </si>
  <si>
    <t>60A, Đường 1/5, P.1, TP.Vĩnh Long, Vĩnh Long</t>
  </si>
  <si>
    <t>AL-04A-4068</t>
  </si>
  <si>
    <t>Nguyễn Thị Anh Thơ</t>
  </si>
  <si>
    <t>10.2566165924, 105.9737854004</t>
  </si>
  <si>
    <t>AL200211F4</t>
  </si>
  <si>
    <t>Ngọc Khánh 1</t>
  </si>
  <si>
    <t>294 Nguyễn Tất Thành, P.Tân Lợi, TP.Buôn Ma Thuột, ĐakLak</t>
  </si>
  <si>
    <t>AL-05G-2006</t>
  </si>
  <si>
    <t>Trần Thị Quyên</t>
  </si>
  <si>
    <t>12.6920051575, 108.0628204346</t>
  </si>
  <si>
    <t>XH4001.61102</t>
  </si>
  <si>
    <t>BHX 249 -249A1 - 249A2 Nguyễn Văn Luông</t>
  </si>
  <si>
    <t>249 -249A1 - 249A2 Nguyễn Văn Luông Phường 11 Quận 6 Thành phố Hồ Chí Minh</t>
  </si>
  <si>
    <t>10.7879934311, 106.6995086670</t>
  </si>
  <si>
    <t>10.7880392075, 106.6994705200</t>
  </si>
  <si>
    <t>PT40351OQT</t>
  </si>
  <si>
    <t>Circle K 171B, Hoang Hoa Tham</t>
  </si>
  <si>
    <t>171B, Hoang Hoa Tham, P.13, Q.Tân Bình, Hồ Chí Minh</t>
  </si>
  <si>
    <t>10.7479887009, 106.6606140137</t>
  </si>
  <si>
    <t>TD10271OP7</t>
  </si>
  <si>
    <t>ST Xuân Trường</t>
  </si>
  <si>
    <t>46, Ngũ Chỉ Sơn, Tả Giàng Phình, Sa Pa, Lào Cai</t>
  </si>
  <si>
    <t>AL-06E-1004</t>
  </si>
  <si>
    <t>Nguyễn Thị Tuyến</t>
  </si>
  <si>
    <t>22.3377799988, 103.8484191895</t>
  </si>
  <si>
    <t>DD3001129Z</t>
  </si>
  <si>
    <t>TTPP Sữa Đồng Xoài</t>
  </si>
  <si>
    <t>25, Đường 20, Tân Bình, Đồng Xoài, Bình Phước</t>
  </si>
  <si>
    <t>AL-08C-3001</t>
  </si>
  <si>
    <t>Vũ Thị Phương</t>
  </si>
  <si>
    <t>11.5332345963, 106.8962478638</t>
  </si>
  <si>
    <t>10.8011178970, 106.6185150146</t>
  </si>
  <si>
    <t>10.8010911942, 106.6185989380</t>
  </si>
  <si>
    <t>MK20021TTC</t>
  </si>
  <si>
    <t>Hàm Thụ</t>
  </si>
  <si>
    <t>26, Lý Tự Trọng, Diên Khánh, Diên Khánh, Khánh Hòa</t>
  </si>
  <si>
    <t>AL-04A-2078</t>
  </si>
  <si>
    <t>Trương Thị Hồng Phương</t>
  </si>
  <si>
    <t>12.2557554245, 109.0992202759</t>
  </si>
  <si>
    <t>HA300114EV</t>
  </si>
  <si>
    <t>Sơn Hiền</t>
  </si>
  <si>
    <t>To 5, ap Hai Binh, TT Long Hai, Long Dien, Ba Ria - Vung Tau</t>
  </si>
  <si>
    <t>AL-03D-3003</t>
  </si>
  <si>
    <t>Bạch Thị Ngọc Huyền</t>
  </si>
  <si>
    <t>14h00 - 21h00</t>
  </si>
  <si>
    <t>10.4151868820, 107.2191619873</t>
  </si>
  <si>
    <t>LH300714FB</t>
  </si>
  <si>
    <t>Phát Lợi</t>
  </si>
  <si>
    <t>Lâm Đồng</t>
  </si>
  <si>
    <t>AL-04A-2134</t>
  </si>
  <si>
    <t>Phan Thị Mỹ Hiền</t>
  </si>
  <si>
    <t>11.9643697739, 108.4430923462</t>
  </si>
  <si>
    <t>Quang Binh</t>
  </si>
  <si>
    <t>Cty TNHH TM&amp;DV Phước Linh</t>
  </si>
  <si>
    <t>PL20011142</t>
  </si>
  <si>
    <t>Thái Hậu</t>
  </si>
  <si>
    <t>QL 12A, KP 1, TT Ba Đồn, H Quảng Trạch, Quảng Bình</t>
  </si>
  <si>
    <t>AL-10D-1003</t>
  </si>
  <si>
    <t>Trần Mỷ Linh</t>
  </si>
  <si>
    <t>17.7566013336, 106.4222640991</t>
  </si>
  <si>
    <t>TK2003.7893</t>
  </si>
  <si>
    <t>COOP TAM KY</t>
  </si>
  <si>
    <t>7 Phan Chu Trinh,P Phước Hòa,Tp Tam Kỳ,Tỉnh Quảng Nam</t>
  </si>
  <si>
    <t>ST-04A-2019</t>
  </si>
  <si>
    <t>15.5671548843, 108.4716796875</t>
  </si>
  <si>
    <t>TV200210NH</t>
  </si>
  <si>
    <t>Ninh Diêm, Ninh Hòa, Khánh Hòa</t>
  </si>
  <si>
    <t>AL-03B-2009</t>
  </si>
  <si>
    <t>Trần Thị Mỹ Kiều</t>
  </si>
  <si>
    <t>12.5413370132, 109.2167434692</t>
  </si>
  <si>
    <t>KG40031P3M</t>
  </si>
  <si>
    <t>BS Mart 535, Nguyễn Thị Định</t>
  </si>
  <si>
    <t>535, Nguyễn Thị Định, P.Cát Lái, Q.2, Hồ Chí Minh</t>
  </si>
  <si>
    <t>10.7777242661, 106.7655639648</t>
  </si>
  <si>
    <t>10.7777338028, 106.7655334473</t>
  </si>
  <si>
    <t>10.7737131119, 106.6056289673</t>
  </si>
  <si>
    <t>10.7738208771, 106.6057205200</t>
  </si>
  <si>
    <t>PL5001111X</t>
  </si>
  <si>
    <t>Đông Nam</t>
  </si>
  <si>
    <t>41A, Phạm Hùng, P.9, TP.Vĩnh Long, Vĩnh Long</t>
  </si>
  <si>
    <t>AL-10F-4005</t>
  </si>
  <si>
    <t>Cao Trần Kim Ly</t>
  </si>
  <si>
    <t>10.2599172592, 105.9430999756</t>
  </si>
  <si>
    <t>TT100711O6</t>
  </si>
  <si>
    <t>Trần Phương Thanh</t>
  </si>
  <si>
    <t>211, Trần Huy Liệu, P.Văn Miếu, TP.Nam Định, Nam Định</t>
  </si>
  <si>
    <t>AL-04A-1057</t>
  </si>
  <si>
    <t>20.4180164337, 106.1616668701</t>
  </si>
  <si>
    <t>VI1102.85001</t>
  </si>
  <si>
    <t>VMP_NAN_183_PHAM_D_TOAI</t>
  </si>
  <si>
    <t>183 Phạm Đình Toái, Xóm 19, Xã Nghi Phú, TP Vinh, Nghệ An</t>
  </si>
  <si>
    <t>18.6971054077, 105.6854324341</t>
  </si>
  <si>
    <t>18.6974754333, 105.6851730347</t>
  </si>
  <si>
    <t>HT200312KW</t>
  </si>
  <si>
    <t>Duy Bảy</t>
  </si>
  <si>
    <t>Xóm 1, Quốc Lộ 1 A, TT.Nghèn, H.Can Lộc, Hà Tĩnh</t>
  </si>
  <si>
    <t>AL-04A-1116</t>
  </si>
  <si>
    <t>Võ Thị Dung</t>
  </si>
  <si>
    <t>18.4485931396, 105.7795562744</t>
  </si>
  <si>
    <t>LL20021006</t>
  </si>
  <si>
    <t xml:space="preserve">Minh Tâm </t>
  </si>
  <si>
    <t>Chợ Vạn Ninh, Vạn Giã, Vạn Ninh, Khánh Hòa</t>
  </si>
  <si>
    <t>AL-07F-2009</t>
  </si>
  <si>
    <t>Trần Thị Kim Chi</t>
  </si>
  <si>
    <t>12.7018775940, 109.2278366089</t>
  </si>
  <si>
    <t>TD3001103A</t>
  </si>
  <si>
    <t>CH Quân Hợp</t>
  </si>
  <si>
    <t>Khu Hoàng Ngân, Tổ 8, Tam Phước, Biên Hòa, Đồng Nai</t>
  </si>
  <si>
    <t>AL-06D-3011</t>
  </si>
  <si>
    <t>Dương Phạm Phong</t>
  </si>
  <si>
    <t>10.8748483658, 106.9449005127</t>
  </si>
  <si>
    <t>TA1006113W</t>
  </si>
  <si>
    <t>Giang Lam</t>
  </si>
  <si>
    <t>Ngã 3, Phủ Lỗ, Sóc Sơn, Hà Nội</t>
  </si>
  <si>
    <t>AL-08C-1004</t>
  </si>
  <si>
    <t>Lê Thị Lanh</t>
  </si>
  <si>
    <t>21.2005348206, 105.8485336304</t>
  </si>
  <si>
    <t xml:space="preserve">Bích Tiến </t>
  </si>
  <si>
    <t>BT100311BP</t>
  </si>
  <si>
    <t>Diệu Linh</t>
  </si>
  <si>
    <t>Cống Bựu, Liên Bão, Tiên Du, Bắc Ninh</t>
  </si>
  <si>
    <t>AL-08D-1006</t>
  </si>
  <si>
    <t>Chử Thị Hiền</t>
  </si>
  <si>
    <t>21.1112861633, 105.9952774048</t>
  </si>
  <si>
    <t>DL200412JP</t>
  </si>
  <si>
    <t>Co Hằng</t>
  </si>
  <si>
    <t>Chợ Kim Châu, Dray Bhăng, Cư Kuin, Đăk Lăk</t>
  </si>
  <si>
    <t>AL-04A-2097</t>
  </si>
  <si>
    <t>Phạm Thị Minh Tuyết</t>
  </si>
  <si>
    <t>12.5544404984, 108.1697311401</t>
  </si>
  <si>
    <t>NN200412JG</t>
  </si>
  <si>
    <t>Diệu</t>
  </si>
  <si>
    <t>Khối phố 2, TT Núi Thành, Núi Thành, Quảng Nam</t>
  </si>
  <si>
    <t>AL-07F-2003</t>
  </si>
  <si>
    <t>Bùi Thị Ngọc Linh</t>
  </si>
  <si>
    <t>15.4379682541, 108.6482849121</t>
  </si>
  <si>
    <t>AM100110A1</t>
  </si>
  <si>
    <t xml:space="preserve">Phương Hùng </t>
  </si>
  <si>
    <t>8, Ngô Quyền, Sơn Tây, Hà Nội</t>
  </si>
  <si>
    <t>AL-04E-1005</t>
  </si>
  <si>
    <t>21.1427879333, 105.5009765625</t>
  </si>
  <si>
    <t xml:space="preserve">Cty TNHH Đức Tùng </t>
  </si>
  <si>
    <t>HY10011077</t>
  </si>
  <si>
    <t>Trần Hữu Tiến</t>
  </si>
  <si>
    <t>Chợ Đầu, Trung Nghĩa, TP Hưng Yên, Hưng Yên</t>
  </si>
  <si>
    <t>AL-04E-1001</t>
  </si>
  <si>
    <t>20.6805458069, 106.0785064697</t>
  </si>
  <si>
    <t>Cty TNHH Phát Tài Phúc Lộc</t>
  </si>
  <si>
    <t>PT501710AB</t>
  </si>
  <si>
    <t>Hia Xuân</t>
  </si>
  <si>
    <t>0, Ngang y bu, Minh Luong, TT.Minh Lương, X.Châu Thành, Kiên Giang</t>
  </si>
  <si>
    <t>AL-03G-4015</t>
  </si>
  <si>
    <t>Nguyễn Thị Phương Liên</t>
  </si>
  <si>
    <t>9.9053239822, 105.1599273682</t>
  </si>
  <si>
    <t>DT201011DS</t>
  </si>
  <si>
    <t>Chị Ánh</t>
  </si>
  <si>
    <t>129, Lê Hồng Phong, Tân An , Hội An, Quảng Nam</t>
  </si>
  <si>
    <t>AL-04A-2008</t>
  </si>
  <si>
    <t>Lê Thị Hương</t>
  </si>
  <si>
    <t>15.8883657455, 108.3225479126</t>
  </si>
  <si>
    <t>AL-03D-2011</t>
  </si>
  <si>
    <t>Đặng Thị Thu Tuyết</t>
  </si>
  <si>
    <t>12.6834535599, 108.0182113647</t>
  </si>
  <si>
    <t>VI3002.73707</t>
  </si>
  <si>
    <t>VMP_DNI_3_9_NGUYEN_VAN_TO</t>
  </si>
  <si>
    <t>3/9 Nguyễn Văn Tỏ, KPLong Điềm, p Long Bình Tân, TP Biên Hòa, T Đồng Nai</t>
  </si>
  <si>
    <t>10.8898735046, 106.8513183594</t>
  </si>
  <si>
    <t>10.8899421692, 106.8512954712</t>
  </si>
  <si>
    <t>HM2005139I</t>
  </si>
  <si>
    <t>130, Ông Ích Đường, Hòa Thọ Đông , Cẩm Lệ, Đà Nẵng</t>
  </si>
  <si>
    <t>AL-05G-2008</t>
  </si>
  <si>
    <t>Ông Thị Xuân Hồng</t>
  </si>
  <si>
    <t>16.0137729645, 108.2056884766</t>
  </si>
  <si>
    <t>DT1002111J</t>
  </si>
  <si>
    <t>Gần nhà thờ, Vũ Tiến, X.Vũ Tiến, H.Vũ Thư, Thái Bình</t>
  </si>
  <si>
    <t>AL-11A-1003</t>
  </si>
  <si>
    <t>20.4406986237, 106.2932434082</t>
  </si>
  <si>
    <t>HT40321Q03</t>
  </si>
  <si>
    <t>Circle K 66C, Hoàng Diệu 2</t>
  </si>
  <si>
    <t>66C, Hoàng Diệu 2, P.Linh Chiểu, Q.Thủ Đức, Hồ Chí Minh</t>
  </si>
  <si>
    <t>10.8567304611, 106.7644805908</t>
  </si>
  <si>
    <t>10.8572235107, 106.7646331787</t>
  </si>
  <si>
    <t>TA300614KD</t>
  </si>
  <si>
    <t>Tám Vàng</t>
  </si>
  <si>
    <t>193, QL13, Lai Uyên, Bến Cát, Bình Dương</t>
  </si>
  <si>
    <t>AL-10C-3013</t>
  </si>
  <si>
    <t>Võ Thị Cẩm Nhung</t>
  </si>
  <si>
    <t>14h00 - 18h30</t>
  </si>
  <si>
    <t>11.3217210770, 106.6334381104</t>
  </si>
  <si>
    <t>VI4001.48435</t>
  </si>
  <si>
    <t>VMP_1_45_NGUYEN_VAN_QUA</t>
  </si>
  <si>
    <t>Khu dân cư mở rộng 1/45 Đường Nguyễn Văn Qúa, Phường Đông Hưng Thuận Quận 12</t>
  </si>
  <si>
    <t>10.8277626038, 106.6284103394</t>
  </si>
  <si>
    <t>10.8278264999, 106.6280670166</t>
  </si>
  <si>
    <t>MT1004108S</t>
  </si>
  <si>
    <t>Long Xoan</t>
  </si>
  <si>
    <t>61, Chi Lăng, P.Nguyễn Trãi, TP.Hải Dương, Hải Dương</t>
  </si>
  <si>
    <t>AL-07D-1001</t>
  </si>
  <si>
    <t>Phạm Thị Vân</t>
  </si>
  <si>
    <t>20.9446086884, 106.3280258179</t>
  </si>
  <si>
    <t>Sơn Hà</t>
  </si>
  <si>
    <t>SH200210FH</t>
  </si>
  <si>
    <t>44, Trần Phú, Lê Hồng Phong, Bình Sơn, Bình Định</t>
  </si>
  <si>
    <t>AL-03C-2002</t>
  </si>
  <si>
    <t>14.4315385818, 109.0158004761</t>
  </si>
  <si>
    <t>MK40021HTW</t>
  </si>
  <si>
    <t>Quốc Huy</t>
  </si>
  <si>
    <t>75, Tô Hiến Thành , 13, 10, HCM</t>
  </si>
  <si>
    <t>10h00 - 14h00</t>
  </si>
  <si>
    <t>10.7819566727, 106.6708526611</t>
  </si>
  <si>
    <t>10.7818641663, 106.6707916260</t>
  </si>
  <si>
    <t>Phát Thanh Huyền</t>
  </si>
  <si>
    <t>PH2006107T</t>
  </si>
  <si>
    <t>Kiều Oanh</t>
  </si>
  <si>
    <t>Lê Duẫn, Đăk Mil, Đăk Nông</t>
  </si>
  <si>
    <t>AL-07F-2010</t>
  </si>
  <si>
    <t>Nguyễn Thị Mai Hương</t>
  </si>
  <si>
    <t>12.4443960190, 107.6255493164</t>
  </si>
  <si>
    <t>CF4001.54299</t>
  </si>
  <si>
    <t>CF_AN_DUONG_VUONG_451</t>
  </si>
  <si>
    <t>451-453 An Dương Vương, Phường 11, Quận 6</t>
  </si>
  <si>
    <t>10.8171691895, 106.6977386475</t>
  </si>
  <si>
    <t>10.8171491623, 106.6977081299</t>
  </si>
  <si>
    <t>AA100110DV</t>
  </si>
  <si>
    <t>Thoa Sơn</t>
  </si>
  <si>
    <t>Hàng Trạm, Yên Thủy, Hòa Bình</t>
  </si>
  <si>
    <t>AL-09F-1022</t>
  </si>
  <si>
    <t>Lê Thị Thành</t>
  </si>
  <si>
    <t>20.3906402588, 105.6272735596</t>
  </si>
  <si>
    <t>VM1009.49128</t>
  </si>
  <si>
    <t>VMP_44_46_KIEU_MAI</t>
  </si>
  <si>
    <t>Số 44-46 Kiều Mai, phường Phúc Diễn, quận Bắc Từ Liêm, Hà Nội</t>
  </si>
  <si>
    <t>21.0447616577, 105.7623443604</t>
  </si>
  <si>
    <t>21.0914344788, 105.7326583862</t>
  </si>
  <si>
    <t>NT302212HU</t>
  </si>
  <si>
    <t>Thảo Hương</t>
  </si>
  <si>
    <t>264, Trần Hưng Đạo, Bình Hưng, Phan Thiết, Bình Thuận</t>
  </si>
  <si>
    <t>AL-04A-2084</t>
  </si>
  <si>
    <t>Trần Thị Bích Linh</t>
  </si>
  <si>
    <t>10.9277753830, 108.1040039063</t>
  </si>
  <si>
    <t>DL100410K4</t>
  </si>
  <si>
    <t>43, Chợ Hàng, P.Đông Hải, Q.Lê Chân, Hải Phòng</t>
  </si>
  <si>
    <t>AL-04A-1101</t>
  </si>
  <si>
    <t>Phạm Thị Tuyến</t>
  </si>
  <si>
    <t>20.8428211212, 106.6857681274</t>
  </si>
  <si>
    <t>AL2001119J</t>
  </si>
  <si>
    <t>Tư Đức</t>
  </si>
  <si>
    <t>AL-04C-2006</t>
  </si>
  <si>
    <t>Huỳnh Thị Liên Diễm</t>
  </si>
  <si>
    <t>12.7098951340, 108.3050384521</t>
  </si>
  <si>
    <t>LT200112KN</t>
  </si>
  <si>
    <t>Hung Huế</t>
  </si>
  <si>
    <t>xóm 6, QGiang, X.Quỳnh Giang, H.Quỳnh Lưu, Nghệ An</t>
  </si>
  <si>
    <t>AL-08D-1012</t>
  </si>
  <si>
    <t>Võ Thị Tâm</t>
  </si>
  <si>
    <t>19.1305866241, 105.6162185669</t>
  </si>
  <si>
    <t>10.7960662842, 106.6415023804</t>
  </si>
  <si>
    <t>LH3007135G</t>
  </si>
  <si>
    <t>Công Ty THương Mại2</t>
  </si>
  <si>
    <t>11, Nguyễn Văn Cừ, 1, TP Đà Lạt, Lâm Đồng</t>
  </si>
  <si>
    <t>AL-07E-2007</t>
  </si>
  <si>
    <t>Lê Nguyễn Quỳnh Trâm</t>
  </si>
  <si>
    <t>11.9400968552, 108.4323806763</t>
  </si>
  <si>
    <t>TP3009113B</t>
  </si>
  <si>
    <t>Đại Lý Sữa 72</t>
  </si>
  <si>
    <t>1, Hoàng Diệu, Xuân Thanh, Long Khánh, Đồng Nai</t>
  </si>
  <si>
    <t>AL-04A-3160</t>
  </si>
  <si>
    <t>Ngô Thị Cẩm Nhung</t>
  </si>
  <si>
    <t>10.9346418381, 107.2528457642</t>
  </si>
  <si>
    <t>BT1003116C</t>
  </si>
  <si>
    <t>Quý Thương</t>
  </si>
  <si>
    <t>Đồng Kỵ, TX.Từ Sơn, Bắc Ninh</t>
  </si>
  <si>
    <t>AL-06E-1005</t>
  </si>
  <si>
    <t>21.1332263947, 105.9467544556</t>
  </si>
  <si>
    <t>AM1003109I</t>
  </si>
  <si>
    <t>Hương Mùi</t>
  </si>
  <si>
    <t>Khu 2 - TT Lập Thạch, Lập Thạch, Vĩnh Phúc</t>
  </si>
  <si>
    <t>AL-08C-1056</t>
  </si>
  <si>
    <t>Trần Thị Lan Hương</t>
  </si>
  <si>
    <t>21.4127883911, 105.4697570801</t>
  </si>
  <si>
    <t>XH4001.81194</t>
  </si>
  <si>
    <t>BHX 261 Nguyễn Văn Tiên</t>
  </si>
  <si>
    <t>261 Nguyễn Văn Tiên, Khu phố 11A, Phường Tân Phong, Thành phố Biên Hòa, Tỉnh Đồng Nai, Việt Nam</t>
  </si>
  <si>
    <t>10.9802970886, 106.8398056030</t>
  </si>
  <si>
    <t>PM3009107B</t>
  </si>
  <si>
    <t>Tuyết Thảo</t>
  </si>
  <si>
    <t>Chợ Bà Tô, TT Phước Bửu, Xuyên Mộc, Bà Rịa - Vũng Tàu</t>
  </si>
  <si>
    <t>AL-07F-3009</t>
  </si>
  <si>
    <t>Nguyễn Thị Thanh Lài</t>
  </si>
  <si>
    <t>10.5345830917, 107.4006958008</t>
  </si>
  <si>
    <t>VI4001.94309</t>
  </si>
  <si>
    <t>VMP_HCM_82_TO_VINH_DIEN</t>
  </si>
  <si>
    <t xml:space="preserve">82 Tô Vĩnh Diện, KP5, P Linh Chiểu, TP  Thủ Đức, TP  Hồ Chí Minh</t>
  </si>
  <si>
    <t>10.8528022766, 106.7673568726</t>
  </si>
  <si>
    <t>10.8528718948, 106.7673568726</t>
  </si>
  <si>
    <t>FM20021882</t>
  </si>
  <si>
    <t>TP Hiếu</t>
  </si>
  <si>
    <t>82, Nguyễn Viết Xuân, Tân Thành, Buôn Ma Thuột, Đăk Lăk</t>
  </si>
  <si>
    <t>AL-04A-2075</t>
  </si>
  <si>
    <t>Lương Thị Kim Cúc</t>
  </si>
  <si>
    <t>12.6685047150, 108.0382156372</t>
  </si>
  <si>
    <t>CV100510VR</t>
  </si>
  <si>
    <t>Đoàn Văn Hải</t>
  </si>
  <si>
    <t>251, Định Công, Hoàng Mai, Hà Nội</t>
  </si>
  <si>
    <t>AL-03F-1006</t>
  </si>
  <si>
    <t>Ngô Phương Thảo</t>
  </si>
  <si>
    <t>20.9821853638, 105.8328552246</t>
  </si>
  <si>
    <t>VT3002130J</t>
  </si>
  <si>
    <t>AL-10F-2007</t>
  </si>
  <si>
    <t>Diệp Thị Hồng</t>
  </si>
  <si>
    <t>11.5500316620, 107.8135757446</t>
  </si>
  <si>
    <t>Hậu Phương My</t>
  </si>
  <si>
    <t>PM3009107C</t>
  </si>
  <si>
    <t>Hồng Ngọc</t>
  </si>
  <si>
    <t>AL-09C-3001</t>
  </si>
  <si>
    <t>10.5345964432, 107.4007568359</t>
  </si>
  <si>
    <t>HC20041112</t>
  </si>
  <si>
    <t>Hùng Hạnh</t>
  </si>
  <si>
    <t>Quốc Lộ 1A, Tịnh Phong, Sơn Tịnh, Quảng Ngãi</t>
  </si>
  <si>
    <t>AL-08C-2072</t>
  </si>
  <si>
    <t>Trương Thị Thơm</t>
  </si>
  <si>
    <t>15.1895542145, 108.7938537598</t>
  </si>
  <si>
    <t>VC300510QL</t>
  </si>
  <si>
    <t>Hùng Châu</t>
  </si>
  <si>
    <t>2478, Quốc Lộ 20, Phú Cường, Phú Bình, Tân Phú, Đồng Nai</t>
  </si>
  <si>
    <t>AL-11F-3005</t>
  </si>
  <si>
    <t>Phạm Thị Hồng Phương</t>
  </si>
  <si>
    <t>11.1598911285, 107.2619857788</t>
  </si>
  <si>
    <t>QD200113GJ</t>
  </si>
  <si>
    <t>412, Bà Triệu, P.Đông Thọ, TP.Thanh Hóa, Thanh Hóa</t>
  </si>
  <si>
    <t>AL-04A-1052</t>
  </si>
  <si>
    <t>Lê Thị Hồng Trang</t>
  </si>
  <si>
    <t>19.8209838867, 105.7743072510</t>
  </si>
  <si>
    <t>ST-08F-2005</t>
  </si>
  <si>
    <t>Võ Thị Thanh Trúc</t>
  </si>
  <si>
    <t>11.1804065704, 108.5764694214</t>
  </si>
  <si>
    <t>TT100711LL</t>
  </si>
  <si>
    <t>Hanh Hằng</t>
  </si>
  <si>
    <t>TT Gôi, Đường Nguyễn Cơ Thạch, TT.Gôi, H.Vụ Bản, Nam Định</t>
  </si>
  <si>
    <t>AL-05G-1004</t>
  </si>
  <si>
    <t>Ngô Thị Oanh</t>
  </si>
  <si>
    <t>20.3287277222, 106.0813064575</t>
  </si>
  <si>
    <t>KC10011036</t>
  </si>
  <si>
    <t>Morgan Mart Tòa nhà Hòa phát</t>
  </si>
  <si>
    <t>Tòa nhà Hòa phát, Hoàng Minh Giám,P.Yên Hòa,Q.Cầu Giấy,Hà Nội</t>
  </si>
  <si>
    <t>21.0054092407, 105.7991256714</t>
  </si>
  <si>
    <t>21.0054321289, 105.7987365723</t>
  </si>
  <si>
    <t>VI4001.81144</t>
  </si>
  <si>
    <t>HAPPY_CITY_492_NG_V_LINH</t>
  </si>
  <si>
    <t xml:space="preserve">492 Đường Nguyễn Văn Linh (Tòa Nhà Hạnh Phúc - Lô 11B), Xã Bình Hưng, H  Bình Chánh, TPHCM</t>
  </si>
  <si>
    <t>10.7133655548, 106.6501693726</t>
  </si>
  <si>
    <t>10.7133436203, 106.6501922607</t>
  </si>
  <si>
    <t>AK2001101A</t>
  </si>
  <si>
    <t>Đạt Thúy</t>
  </si>
  <si>
    <t>Tổ 2, Khu Vực 1, TT Mộ Đức, Mộ Đức, Quảng Ngãi</t>
  </si>
  <si>
    <t>AL-08C-2031</t>
  </si>
  <si>
    <t>Võ Thị Ngọc Ánh</t>
  </si>
  <si>
    <t>14.9572935104, 108.8876953125</t>
  </si>
  <si>
    <t>HC200410LK</t>
  </si>
  <si>
    <t>Chợ Châu Ổ, TT Châu Ổ, Bình Sơn, Quảng Ngãi</t>
  </si>
  <si>
    <t>AL-08C-2027</t>
  </si>
  <si>
    <t>Nguyễn Thị Lệ Vi</t>
  </si>
  <si>
    <t>15.3818721771, 108.7795410156</t>
  </si>
  <si>
    <t>BM3003104Y</t>
  </si>
  <si>
    <t>Nhân Hòa</t>
  </si>
  <si>
    <t>Khu Phố Thanh Bình, TT. Thanh Bình, Bù Đốp, Bình Phước</t>
  </si>
  <si>
    <t>AL-04A-3211</t>
  </si>
  <si>
    <t>Phạm Thị Hoài Phương</t>
  </si>
  <si>
    <t>11.9572992325, 106.7989501953</t>
  </si>
  <si>
    <t>LA500112T5</t>
  </si>
  <si>
    <t>Dì 3 Tý</t>
  </si>
  <si>
    <t>149, Nguyễn Hữu Thọ, TT.Bến Lức, H.Bến Lức, Long An</t>
  </si>
  <si>
    <t>ST-03B-4003</t>
  </si>
  <si>
    <t>Lê Trọng Hiền</t>
  </si>
  <si>
    <t>10.6402387619, 106.4862670898</t>
  </si>
  <si>
    <t>CT300211E8</t>
  </si>
  <si>
    <t>Mỹ Duyên</t>
  </si>
  <si>
    <t>64 Trần Hưng Đạo, TT Liên Nghĩa, Huyện Đức Trọng, Lâm Đồng</t>
  </si>
  <si>
    <t>AL-05G-2005</t>
  </si>
  <si>
    <t>Đào Thị Ngọc Anh</t>
  </si>
  <si>
    <t>11.7279653549, 108.3726577759</t>
  </si>
  <si>
    <t>DT5012115P</t>
  </si>
  <si>
    <t>Cẩm Tú</t>
  </si>
  <si>
    <t>4B B2, Chợ Bình Khánh, P.Bình Khánh, TP.Long Xuyên, An Giang</t>
  </si>
  <si>
    <t>AL-01B-4001</t>
  </si>
  <si>
    <t>Phan Thị Ngọc Huyền</t>
  </si>
  <si>
    <t>10.3917407990, 105.4240646362</t>
  </si>
  <si>
    <t>AM100111O4</t>
  </si>
  <si>
    <t>Lan Lân</t>
  </si>
  <si>
    <t>TT Sơn Tây, TT Sơn Tây, Sơn Tây, Hà Nội</t>
  </si>
  <si>
    <t>AL-09F-1003</t>
  </si>
  <si>
    <t>Đinh Thị Thu</t>
  </si>
  <si>
    <t>21.1430301666, 105.5055236816</t>
  </si>
  <si>
    <t>NH10031232</t>
  </si>
  <si>
    <t>Nguyễn Bích Thu</t>
  </si>
  <si>
    <t>No 7, Đường lên Hà Giang, Tuyên Quang</t>
  </si>
  <si>
    <t>AL-11E-1006</t>
  </si>
  <si>
    <t>Trần Thị Kim Nhung</t>
  </si>
  <si>
    <t>21.8347091675, 105.1725006104</t>
  </si>
  <si>
    <t>NT20021080</t>
  </si>
  <si>
    <t>Minh Thiện</t>
  </si>
  <si>
    <t>Thị Trấn chợ chùa, Chợ Chùa, Nghĩa Hành, Quảng Ngãi</t>
  </si>
  <si>
    <t>AL-04A-2066</t>
  </si>
  <si>
    <t>15.0473356247, 108.7770309448</t>
  </si>
  <si>
    <t>ST-06F-1006</t>
  </si>
  <si>
    <t>Hoàng Trọng Huấn</t>
  </si>
  <si>
    <t>20.9935169220, 105.8689498901</t>
  </si>
  <si>
    <t>ST-09E-2002</t>
  </si>
  <si>
    <t>Trịnh Thị Khánh Vi</t>
  </si>
  <si>
    <t>13.7547435760, 109.2076492310</t>
  </si>
  <si>
    <t>SH500416II</t>
  </si>
  <si>
    <t>Lê Nhanh</t>
  </si>
  <si>
    <t>511, Ấp Thạnh Lợi , X.Trung An, H.Cờ Đỏ, Cần Thơ</t>
  </si>
  <si>
    <t>AL-03F-4002</t>
  </si>
  <si>
    <t>Nguyễn Thị Xuân Phượng</t>
  </si>
  <si>
    <t>10.2055187225, 105.5054779053</t>
  </si>
  <si>
    <t>NN110812EO</t>
  </si>
  <si>
    <t xml:space="preserve">Chinh Thể </t>
  </si>
  <si>
    <t>Tứ Xã , Lâm Thao, Phú Thọ</t>
  </si>
  <si>
    <t>AL-08C-1057</t>
  </si>
  <si>
    <t>Nguyễn Thị Ánh</t>
  </si>
  <si>
    <t>21.2821445465, 105.3054809570</t>
  </si>
  <si>
    <t>BD100511FD</t>
  </si>
  <si>
    <t>Hà Linh Baby</t>
  </si>
  <si>
    <t>165, Phố Thú Y, Đức Thượng, Hoài Đức, Hà Nội</t>
  </si>
  <si>
    <t>AL-09F-1006</t>
  </si>
  <si>
    <t>21.0760612488, 105.6964950562</t>
  </si>
  <si>
    <t>PQ500111IV</t>
  </si>
  <si>
    <t>Susu</t>
  </si>
  <si>
    <t>0, Đường 30/4 (cạnh bên 7 Gáo), TT.Dương Đông, H.Phú Quốc, Kiên Giang</t>
  </si>
  <si>
    <t>AL-04G-4003</t>
  </si>
  <si>
    <t>Lê Hồng Sương</t>
  </si>
  <si>
    <t>10.2148761749, 103.9675140381</t>
  </si>
  <si>
    <t>VI2016.90627</t>
  </si>
  <si>
    <t>VMP_330_332_NG_VAN_LINH</t>
  </si>
  <si>
    <t xml:space="preserve">Thửa 205, TBĐ 14, Nguyễn Văn Linh, P  Trương Quang Trọng, TP  Quảng Ngãi, Tỉnh Quảng Ngãi (330-332 Nguyễn Văn Linh)</t>
  </si>
  <si>
    <t>15.1547794342, 108.7964172363</t>
  </si>
  <si>
    <t>15.1548423767, 108.7964401245</t>
  </si>
  <si>
    <t>XH4001.92126</t>
  </si>
  <si>
    <t>BHX Số 994, Đường Quốc Lộ 80</t>
  </si>
  <si>
    <t xml:space="preserve">Số 994, Đường Quốc Lộ 80, tổ 4, ấp Thuận Hoà, xã Bình Sơn, H  Hòn Đất, Tỉnh Kiên Giang</t>
  </si>
  <si>
    <t>10.2573881149, 104.8203125000</t>
  </si>
  <si>
    <t>10.2573766708, 104.8203048706</t>
  </si>
  <si>
    <t>XH4001.81536</t>
  </si>
  <si>
    <t>BHX Thửa đất số 58 và 92</t>
  </si>
  <si>
    <t>Thửa đất số 58 và 92, tờ bản đồ số 15, Khu phố 2, Thị trấn Tân Biên, Huyện Tân Biên, Tỉnh Tây Ninh</t>
  </si>
  <si>
    <t>11.5431823730, 106.0052261353</t>
  </si>
  <si>
    <t>11.5432119370, 106.0051574707</t>
  </si>
  <si>
    <t>VM1009.65639</t>
  </si>
  <si>
    <t>VMP_C3_NGUYEN_CO_THACH</t>
  </si>
  <si>
    <t>Kiot số C3-2 Chung cư C3, Khu đô thị Mỹ Đình 1, đường Nguyễn Cơ Thạch, phường Cầu Diễn, quận Nam Từ Liêm, thành phố Hà Nội</t>
  </si>
  <si>
    <t>21.0318737030, 105.7647552490</t>
  </si>
  <si>
    <t>21.0316162109, 105.7646942139</t>
  </si>
  <si>
    <t>VI4001.99761</t>
  </si>
  <si>
    <t>VMP_1042_NGUYEN_DUY_TRINH</t>
  </si>
  <si>
    <t xml:space="preserve">1042 Nguyễn Duy Trinh, Phường Long Trường, TP  Thủ Đức, TP  Hồ Chí Minh</t>
  </si>
  <si>
    <t>10.7994832993, 106.8092117310</t>
  </si>
  <si>
    <t>10.7995586395, 106.8092193604</t>
  </si>
  <si>
    <t>ST-03G-3017</t>
  </si>
  <si>
    <t>Nguyễn Thị Thanh Minh</t>
  </si>
  <si>
    <t>10.8628883362, 106.6485214233</t>
  </si>
  <si>
    <t>PM300910BW</t>
  </si>
  <si>
    <t>Chị Muội</t>
  </si>
  <si>
    <t>Chợ Xuyên Mộc, Xuyên Mộc, Xuyên Mộc, Bà Rịa - Vũng Tàu</t>
  </si>
  <si>
    <t>AL-10E-3002</t>
  </si>
  <si>
    <t>Hồ Thị Trà Ly Hương</t>
  </si>
  <si>
    <t>10.5724973679, 107.3886260986</t>
  </si>
  <si>
    <t>VC2002.44712</t>
  </si>
  <si>
    <t>VM DA NANG</t>
  </si>
  <si>
    <t>Tổ hợp Khách sạn,TTTM Riverview Complex Đà Nẵng,Đ Ngô Quyền,P An Hải Bắc,Q Sơn Trà,Tp Đà Nẵng</t>
  </si>
  <si>
    <t>ST-04A-2010</t>
  </si>
  <si>
    <t>Lê Thị Thanh Bình</t>
  </si>
  <si>
    <t>16.0712451935, 108.2304534912</t>
  </si>
  <si>
    <t>NT405413TT</t>
  </si>
  <si>
    <t>Cô Hương</t>
  </si>
  <si>
    <t>29Bis, Nguyễn Thông, 9, 3, HCM</t>
  </si>
  <si>
    <t>AL-11D-3010</t>
  </si>
  <si>
    <t>Nguyễn Ngọc Phương Thanh</t>
  </si>
  <si>
    <t>10.7795257568, 106.6819839478</t>
  </si>
  <si>
    <t>CO4056.25162</t>
  </si>
  <si>
    <t>CM LA GI</t>
  </si>
  <si>
    <t>Đường Thống Nhất,Khu phố 4,Phường Tân Thiện,Thị Xã La Gi,Tỉnh Bình Thuận</t>
  </si>
  <si>
    <t>ST-12A-3009</t>
  </si>
  <si>
    <t>Nguyễn Thị Kim Duyên</t>
  </si>
  <si>
    <t>10.6707963943, 107.7600326538</t>
  </si>
  <si>
    <t>10.7994346619, 106.8092193604</t>
  </si>
  <si>
    <t>10.7994451523, 106.8092346191</t>
  </si>
  <si>
    <t>HP30091119</t>
  </si>
  <si>
    <t>Sao Mai</t>
  </si>
  <si>
    <t>Chợ Kim Long, Thôn Thạnh Long, Kim Long, Châu Đức, Bà Rịa - Vũng Tàu</t>
  </si>
  <si>
    <t>AL-08F-3006</t>
  </si>
  <si>
    <t>Tăng Thị Kiều</t>
  </si>
  <si>
    <t>10.7041282654, 107.2444305420</t>
  </si>
  <si>
    <t>SG4040.30953</t>
  </si>
  <si>
    <t>SF QUANG TRUNG</t>
  </si>
  <si>
    <t xml:space="preserve">393 Quang Trung, Phường 10, Quận Gò Vấp, Tp  HCM</t>
  </si>
  <si>
    <t>10.8309230804, 106.6692047119</t>
  </si>
  <si>
    <t>10.8360624313, 106.6275100708</t>
  </si>
  <si>
    <t>SG4040.37081</t>
  </si>
  <si>
    <t>SATRA PH THE HIEN</t>
  </si>
  <si>
    <t xml:space="preserve">B2 Khu nhà ở Phạm Thế Hiển, Phường 7, Quận 8, TP  HCM</t>
  </si>
  <si>
    <t>10.6706981659, 106.6508407593</t>
  </si>
  <si>
    <t>10.7064914703, 106.6230087280</t>
  </si>
  <si>
    <t>SH500417Z7</t>
  </si>
  <si>
    <t>Chị Vân</t>
  </si>
  <si>
    <t>33, Ấp Thới Thuận A, TT.Thới Lai, H.Thới Lai, Cần Thơ</t>
  </si>
  <si>
    <t>AL-07E-4004</t>
  </si>
  <si>
    <t>Phan Thị Phương Uyên</t>
  </si>
  <si>
    <t>10.0655651093, 105.5594558716</t>
  </si>
  <si>
    <t>XH4001.36966</t>
  </si>
  <si>
    <t>BHX 346- 348 Tân Hương</t>
  </si>
  <si>
    <t>346- 348 Tân Hương,P Tân Quý,Q Tân Phú,Tp HCM</t>
  </si>
  <si>
    <t>10.7897167206, 106.6181945801</t>
  </si>
  <si>
    <t>10.7897367477, 106.6181411743</t>
  </si>
  <si>
    <t>VI4001.91521</t>
  </si>
  <si>
    <t>VMP_HCM_606_BA_THANG_HAI</t>
  </si>
  <si>
    <t>606/144-606/146 Đường Ba Tháng Hai, Phường 14, Quận 10, TP HCM</t>
  </si>
  <si>
    <t>10.7679233551, 106.6618347168</t>
  </si>
  <si>
    <t>10.7679290771, 106.6618194580</t>
  </si>
  <si>
    <t>PH50021383</t>
  </si>
  <si>
    <t>15, Hùng Vương, P.2, TP.Cao Lãnh, Đồng Tháp</t>
  </si>
  <si>
    <t>AL-07B-4012</t>
  </si>
  <si>
    <t>Nguyễn Tuyết Hạnh</t>
  </si>
  <si>
    <t>10.4541368484, 105.6340408325</t>
  </si>
  <si>
    <t>TD5005125P</t>
  </si>
  <si>
    <t>Thành Lợi</t>
  </si>
  <si>
    <t>25, Phạm Thái Bường, P.3, TP.Trà Vinh, Trà Vinh</t>
  </si>
  <si>
    <t>AL-01C-4003</t>
  </si>
  <si>
    <t>Lý Thị Nữ</t>
  </si>
  <si>
    <t>9.9367027283, 106.3417816162</t>
  </si>
  <si>
    <t>PM300910SC</t>
  </si>
  <si>
    <t>QTT Chị Thảo</t>
  </si>
  <si>
    <t>AL-03C-3006</t>
  </si>
  <si>
    <t>Vũ Thị Lụa</t>
  </si>
  <si>
    <t>13h30 - 18h00</t>
  </si>
  <si>
    <t>10.5635118484, 107.4233169556</t>
  </si>
  <si>
    <t>ST-06F-3011</t>
  </si>
  <si>
    <t>Dương Huy Hoàng</t>
  </si>
  <si>
    <t>10.8006811142, 106.7434158325</t>
  </si>
  <si>
    <t>VI4001.104051</t>
  </si>
  <si>
    <t>VMP_HCM_89/57_DUONG_59</t>
  </si>
  <si>
    <t xml:space="preserve">Lô TM B1-1-26, Tầng 1, Block B1, Chung cư Phú Hưng Phát (Dream Home Luxury), 89/57 đường 59, P  14, Q Gò Vấp, TP HCM</t>
  </si>
  <si>
    <t>10.8545484543, 106.6494140625</t>
  </si>
  <si>
    <t>10.8545484543, 106.6493759155</t>
  </si>
  <si>
    <t>AM100310XX</t>
  </si>
  <si>
    <t>Dũng Loan</t>
  </si>
  <si>
    <t>11A, Thanh Vân, Thanh Vân, Tam Dương, Vĩnh Phúc</t>
  </si>
  <si>
    <t>AL-03G-1001</t>
  </si>
  <si>
    <t>Vũ Văn Hưng</t>
  </si>
  <si>
    <t>21.3272857666, 105.5654983521</t>
  </si>
  <si>
    <t>PT40351ONF</t>
  </si>
  <si>
    <t>Anh Toàn</t>
  </si>
  <si>
    <t>69, Diệp Minh Châu, Tân Sơn Nhì, Tân Phú, HCM</t>
  </si>
  <si>
    <t>AL-02F-3007</t>
  </si>
  <si>
    <t>Lê Ngọc Anh Thư</t>
  </si>
  <si>
    <t>10.7968568802, 106.6328964233</t>
  </si>
  <si>
    <t>VI5013.84830</t>
  </si>
  <si>
    <t>VM+ AGG 535A Võ Thị Sáu</t>
  </si>
  <si>
    <t>535A Võ Thị Sáu, Phường Mỹ Xuyên, TP Long Xuyên, Tỉnh An Giang</t>
  </si>
  <si>
    <t>10.3763551712, 105.4363479614</t>
  </si>
  <si>
    <t>10.3763227463, 105.4363250732</t>
  </si>
  <si>
    <t>DA3003102U</t>
  </si>
  <si>
    <t>Phượng Mừng</t>
  </si>
  <si>
    <t>2004, Quốc lộ 1A, Xuân Tâm, Xuân Lộc, Đồng Nai</t>
  </si>
  <si>
    <t>AL-01D-3006</t>
  </si>
  <si>
    <t>Dương Thị Thùy Trang</t>
  </si>
  <si>
    <t>10.8822126389, 107.4436340332</t>
  </si>
  <si>
    <t>VM1009.85938</t>
  </si>
  <si>
    <t>VMP_HNI_SO_1_YEN_PHUC</t>
  </si>
  <si>
    <t>Số 1 Yên Phúc, Phường Phúc La, Quận Hà Đông, TP Hà Nội</t>
  </si>
  <si>
    <t>20.9697284698, 105.7852020264</t>
  </si>
  <si>
    <t>20.9697437286, 105.7851562500</t>
  </si>
  <si>
    <t>CO4068.91958</t>
  </si>
  <si>
    <t>CM_SCA_CAO_THANG</t>
  </si>
  <si>
    <t>181 Cao Thắng nối dài, Phường 12, Quận 10, TP HCM</t>
  </si>
  <si>
    <t>10.7748012543, 106.6747360229</t>
  </si>
  <si>
    <t>SG4040.36261</t>
  </si>
  <si>
    <t>SF LE VINH HOA</t>
  </si>
  <si>
    <t>78-80 Lê Vĩnh Hòa,Phường Phú Thọ Hòa,Quận Tân Phú,TP HCM</t>
  </si>
  <si>
    <t>10.7863121033, 106.6232910156</t>
  </si>
  <si>
    <t>TL400411NZ</t>
  </si>
  <si>
    <t>Thu Thuỷ</t>
  </si>
  <si>
    <t>86, Liên Tỉnh 5, 6, 8, HCM</t>
  </si>
  <si>
    <t>AL-04A-3120</t>
  </si>
  <si>
    <t>Thạch Hoàng Oanh</t>
  </si>
  <si>
    <t>13h30 - 21h30</t>
  </si>
  <si>
    <t>10.7388792038, 106.6561889648</t>
  </si>
  <si>
    <t>VI1002.65329</t>
  </si>
  <si>
    <t>VMP_PTO_66_HAN_THUYEN</t>
  </si>
  <si>
    <t>Số 66 đường Hàn Thuyên, tổ 1, phố Tân Bình, phường Tân Dân, thành phố Việt Trì, Phú Thọ</t>
  </si>
  <si>
    <t>21.3243885040, 105.3991394043</t>
  </si>
  <si>
    <t>21.3243865967, 105.3993072510</t>
  </si>
  <si>
    <t>ST-04A-2024</t>
  </si>
  <si>
    <t>13.7656936646, 109.2174072266</t>
  </si>
  <si>
    <t>VM1018.100550</t>
  </si>
  <si>
    <t>VINMART_THAI_HOA</t>
  </si>
  <si>
    <t>TTTM Vincom+ Thái Hòa, Khối 8, Phường Long Sơn, Thị xã Thái Hòa, Tỉnh Nghệ An</t>
  </si>
  <si>
    <t>ST-12E-1011</t>
  </si>
  <si>
    <t>Đào Thị Trinh</t>
  </si>
  <si>
    <t>13h00 - 22h00</t>
  </si>
  <si>
    <t>19.3167362213, 105.4465484619</t>
  </si>
  <si>
    <t>TT301210QQ</t>
  </si>
  <si>
    <t>Khánh Trinh</t>
  </si>
  <si>
    <t>Khu phố 3, Đất Sở, Phước Dân, Ninh Phước, Ninh Thuận</t>
  </si>
  <si>
    <t>AL-07D-2004</t>
  </si>
  <si>
    <t>Phan Thị Anh Mỹ</t>
  </si>
  <si>
    <t>11.5225896835, 108.9224090576</t>
  </si>
  <si>
    <t>KC100110FO</t>
  </si>
  <si>
    <t>Bách hóa 100  Tầng 1</t>
  </si>
  <si>
    <t> Tầng 1, KHu chung cư HH2D Dương Nội, Quận Hà Đông, Hà Nội </t>
  </si>
  <si>
    <t>20.9598960876, 105.7421646118</t>
  </si>
  <si>
    <t>20.9598808289, 105.7421340942</t>
  </si>
  <si>
    <t>VI5003.92011</t>
  </si>
  <si>
    <t>VMP_CTO_KDC_ LO_SO_8B</t>
  </si>
  <si>
    <t>Thửa đất 1717, TBĐ số 7, Đường Vũ Đình Liệu, KDC Lô Số 8B, KĐT Nam Cần Thơ, P Hưng Thạnh, Q Cái Răng, TP Cần Thơ</t>
  </si>
  <si>
    <t>10.0096654892, 105.7870254517</t>
  </si>
  <si>
    <t>10.0099124908, 105.7870635986</t>
  </si>
  <si>
    <t>XH4001.46437</t>
  </si>
  <si>
    <t>BHX 23/3B Ấp 7, Xã Xuân Thới Thượng</t>
  </si>
  <si>
    <t xml:space="preserve">23/3B Ấp 7, Xã Xuân Thới Thượng, Huyện Hóc Môn, TP  HCM</t>
  </si>
  <si>
    <t>10.8482551575, 106.5896911621</t>
  </si>
  <si>
    <t>10.8482189178, 106.5897064209</t>
  </si>
  <si>
    <t>KC100110MH</t>
  </si>
  <si>
    <t>EASY MART Tầng 1 tòa S2</t>
  </si>
  <si>
    <t xml:space="preserve">Tầng 1 tòa S2,136 hồ Tùng Mậu, P. Phú Diễn, Q.Bắc Từ Liêm, Hà Nội </t>
  </si>
  <si>
    <t>21.0429153442, 105.7664108276</t>
  </si>
  <si>
    <t>SH5004316C</t>
  </si>
  <si>
    <t>Hải Quốc  </t>
  </si>
  <si>
    <t>59, Hai Bà Trưng, P.1, TP.Sóc Trăng, Sóc Trăng</t>
  </si>
  <si>
    <t>AL-11E-4002</t>
  </si>
  <si>
    <t>18h00 - 21h00</t>
  </si>
  <si>
    <t>9.6039609909, 105.9744338989</t>
  </si>
  <si>
    <t>DL200412O2</t>
  </si>
  <si>
    <t>Trọng Thư</t>
  </si>
  <si>
    <t>Cách chợ Trung Hòa 250m, Ea Tiêu, Cư Kuin, Đăk Lăk</t>
  </si>
  <si>
    <t>AL-01B-2002</t>
  </si>
  <si>
    <t>Lưu Thị Nhàn</t>
  </si>
  <si>
    <t>12.6086454391, 108.1324081421</t>
  </si>
  <si>
    <t>XH4001.100673</t>
  </si>
  <si>
    <t>BHX Ấp 12, xã Long Trung</t>
  </si>
  <si>
    <t>Ấp 12, xã Long Trung, huyện Cai Lậy, Tỉnh Tiền Giang</t>
  </si>
  <si>
    <t>ST-07F-4008</t>
  </si>
  <si>
    <t>Trần Ngọc Pin</t>
  </si>
  <si>
    <t>10.3115091324, 106.1191406250</t>
  </si>
  <si>
    <t>10.3114700317, 106.1192626953</t>
  </si>
  <si>
    <t>VC5001.44722</t>
  </si>
  <si>
    <t>VM CAN THO</t>
  </si>
  <si>
    <t>Số 2, Đường Hùng Vương, Phường Bình Thới, Quận Ninh Kiều, Tp Cần Thơ</t>
  </si>
  <si>
    <t>ST-10A-4001</t>
  </si>
  <si>
    <t>Nguyễn Phú Thông</t>
  </si>
  <si>
    <t>10.0453329086, 105.7796554565</t>
  </si>
  <si>
    <t>XH4001.124099</t>
  </si>
  <si>
    <t>BHX 173 Thoại Ngọc Hầu</t>
  </si>
  <si>
    <t>173 Thoại Ngọc Hầu, Phường Phú Thạnh, Quận Tân Phú, TP HCM</t>
  </si>
  <si>
    <t>10.7804250717, 106.6340026855</t>
  </si>
  <si>
    <t>10.7804288864, 106.6340179443</t>
  </si>
  <si>
    <t>VI4001.81130</t>
  </si>
  <si>
    <t>CC_TOPAZ_GARDEN_T1BLOCK_A</t>
  </si>
  <si>
    <t>Tầng 1 Block A, Dự Án CC Việt Phát, Số 4 Trịnh Đình Thảo, P Hoà Thạnh, Q Tân Phú, TP HCM</t>
  </si>
  <si>
    <t>10.7753686905, 106.6342086792</t>
  </si>
  <si>
    <t>10.7753486633, 106.6342620850</t>
  </si>
  <si>
    <t>MP20011006</t>
  </si>
  <si>
    <t>303, Chi Lăng, TP Huế, Huế</t>
  </si>
  <si>
    <t>AL-08C-2012</t>
  </si>
  <si>
    <t>16.4850502014, 107.5903778076</t>
  </si>
  <si>
    <t>XH4001.89765</t>
  </si>
  <si>
    <t>BHX 85 Liêu Bình Hương</t>
  </si>
  <si>
    <t>85 Liêu Bình Hương, Ấp Tân Lập, xã Tân Thông Hội, Huyện Củ Chi, TP HCM  </t>
  </si>
  <si>
    <t>10.9632301331, 106.5035095215</t>
  </si>
  <si>
    <t>10.9632358551, 106.5034866333</t>
  </si>
  <si>
    <t>XH4001.85241</t>
  </si>
  <si>
    <t>BHX D1/10C Nguyễn Thị Tú</t>
  </si>
  <si>
    <t>D1/10C Nguyễn Thị Tú, Ấp 4, Xã Vĩnh Lộc B, Huyện Bình Chánh, TP HCM</t>
  </si>
  <si>
    <t>10.8143196106, 106.5819854736</t>
  </si>
  <si>
    <t>10.8143196106, 106.5819931030</t>
  </si>
  <si>
    <t>AA1001113X</t>
  </si>
  <si>
    <t>Định Nhuận</t>
  </si>
  <si>
    <t>tổ 5, P.Tân Thịnh, TP Hòa Bình, Hòa Bình</t>
  </si>
  <si>
    <t>AL-09F-1020</t>
  </si>
  <si>
    <t>Nguyễn Thị Kiều Thu</t>
  </si>
  <si>
    <t>20.8282165527, 105.3372192383</t>
  </si>
  <si>
    <t>08h30 - 13h30</t>
  </si>
  <si>
    <t>9.6040458679, 105.9743423462</t>
  </si>
  <si>
    <t>9.6039915085, 105.9744338989</t>
  </si>
  <si>
    <t>CO4068.88409</t>
  </si>
  <si>
    <t>MARSIX</t>
  </si>
  <si>
    <t>Số 431A Hoàng Văn Thụ, Phường 4, Quận Tân Bình, Tp HCM</t>
  </si>
  <si>
    <t>10.7974758148, 106.6589202881</t>
  </si>
  <si>
    <t>10.7980861664, 106.6586456299</t>
  </si>
  <si>
    <t>Bình Phương</t>
  </si>
  <si>
    <t>BP2001108R</t>
  </si>
  <si>
    <t>Trần Thị Thuỳ Dương</t>
  </si>
  <si>
    <t>Chu Văn An, TT Hồ Xá, H Vĩnh Linh, Quảng Trị</t>
  </si>
  <si>
    <t>AL-05D-2006</t>
  </si>
  <si>
    <t>Nguyễn Thị Manh</t>
  </si>
  <si>
    <t>17.0724048615, 107.0027236938</t>
  </si>
  <si>
    <t>ST-06D-1007</t>
  </si>
  <si>
    <t>Lưu Bá Thịnh</t>
  </si>
  <si>
    <t>20.9646987915, 105.7723999023</t>
  </si>
  <si>
    <t>BR1001.108179</t>
  </si>
  <si>
    <t>BRG 97 Hàng Gai, quận Hoàn Kiếm</t>
  </si>
  <si>
    <t>97 Hàng Gai, quận Hoàn Kiếm, Hà Nội</t>
  </si>
  <si>
    <t>21.0316505432, 105.8495407104</t>
  </si>
  <si>
    <t>21.0316352844, 105.8495712280</t>
  </si>
  <si>
    <t>ST-04F-1002</t>
  </si>
  <si>
    <t>Đinh Thị Thủy</t>
  </si>
  <si>
    <t>21.0278701782, 105.8979644775</t>
  </si>
  <si>
    <t>KG40031DKT</t>
  </si>
  <si>
    <t>Siêu thị GS-25 Số 9, Đoàn Văn Bơ</t>
  </si>
  <si>
    <t>Số 9, Đoàn Văn Bơ, P.12, Q.4, Hồ Chí Minh</t>
  </si>
  <si>
    <t>10.7646780014, 106.7023849487</t>
  </si>
  <si>
    <t>10.7647256851, 106.7023773193</t>
  </si>
  <si>
    <t>ST-09F-3004</t>
  </si>
  <si>
    <t>Lê Thị Diễm Xương</t>
  </si>
  <si>
    <t>10.5984401703, 107.0552520752</t>
  </si>
  <si>
    <t>ST-04G-2001</t>
  </si>
  <si>
    <t>16.0669631958, 108.2135848999</t>
  </si>
  <si>
    <t>AL200110RX</t>
  </si>
  <si>
    <t>Thôn 2, Hòa Thuận, Buôn Ma Thuột, Đăk Lăk</t>
  </si>
  <si>
    <t>AL-04A-2074</t>
  </si>
  <si>
    <t>Trần Nguyễn Anh Thư</t>
  </si>
  <si>
    <t>12.7320327759, 108.1174774170</t>
  </si>
  <si>
    <t>TB2002105Q</t>
  </si>
  <si>
    <t>Hữu Thạnh</t>
  </si>
  <si>
    <t>Trần Hưng Đạo, Kp Long Châu, La Hai , Đồng Xuân, Phú Yên</t>
  </si>
  <si>
    <t>AL-11F-2010</t>
  </si>
  <si>
    <t>Nguyễn Thị Kim Chung</t>
  </si>
  <si>
    <t>13.3803453445, 109.1068801880</t>
  </si>
  <si>
    <t>ST-02D-1002</t>
  </si>
  <si>
    <t>Trần Thị Huyền Minh</t>
  </si>
  <si>
    <t>21.0086250305, 105.7931365967</t>
  </si>
  <si>
    <t>ST-01E-2001</t>
  </si>
  <si>
    <t>You Li Na</t>
  </si>
  <si>
    <t>10.9301624298, 108.1054840088</t>
  </si>
  <si>
    <t>ST-03G-4003</t>
  </si>
  <si>
    <t>Nguyễn Tuấn Duy</t>
  </si>
  <si>
    <t>9.1782674789, 105.1547241211</t>
  </si>
  <si>
    <t>ST-05G-3001</t>
  </si>
  <si>
    <t>10.7419929504, 106.6108627319</t>
  </si>
  <si>
    <t>NC40171JUG</t>
  </si>
  <si>
    <t>Circle K 184, Le Duc Tho</t>
  </si>
  <si>
    <t>184, Le Duc Tho, P.17, Q.Gò Vấp, Hồ Chí Minh</t>
  </si>
  <si>
    <t>10.8366632462, 106.6810073853</t>
  </si>
  <si>
    <t>10.8366355896, 106.6810455322</t>
  </si>
  <si>
    <t>XH4001.85274</t>
  </si>
  <si>
    <t>BHX 61/16 Đường số 48</t>
  </si>
  <si>
    <t xml:space="preserve">61/16 Đường số 48, Khu phố 6, Phường Hiệp Bình Chánh, TP  Thủ Đức, TP  Hồ Chí Minh</t>
  </si>
  <si>
    <t>10.8378448486, 106.7266387939</t>
  </si>
  <si>
    <t>10.8378944397, 106.7266616821</t>
  </si>
  <si>
    <t>MD2003103C</t>
  </si>
  <si>
    <t>Trần Thị Thu Hồng</t>
  </si>
  <si>
    <t>375, Lê Duẩn, Chư Á, Pleiku, Gia Lai</t>
  </si>
  <si>
    <t>AL-07D-2001</t>
  </si>
  <si>
    <t>Nguyễn Thị Anh Thi</t>
  </si>
  <si>
    <t>13.9700994492, 108.0396728516</t>
  </si>
  <si>
    <t>10.7708282471, 106.5514450073</t>
  </si>
  <si>
    <t>10.7598896027, 106.5786361694</t>
  </si>
  <si>
    <t>MK40021HKV</t>
  </si>
  <si>
    <t>Hằng Phi</t>
  </si>
  <si>
    <t>391, Bà Hạt, 8, 10, HCM</t>
  </si>
  <si>
    <t>AL-09A-3019</t>
  </si>
  <si>
    <t>Nguyễn Thị Thanh Ngân</t>
  </si>
  <si>
    <t>10.7659072876, 106.6685333252</t>
  </si>
  <si>
    <t>EB4001.13936</t>
  </si>
  <si>
    <t>BigC TAN HIEP</t>
  </si>
  <si>
    <t>Tầng 1,2 TTTM BigC Tân Hiệp,Số 1135 Nguyễn Ái Quốc,KP 2,P Tân Hiệp,Tp Biên Hòa,Đồng Nai</t>
  </si>
  <si>
    <t>ST-08E-3017</t>
  </si>
  <si>
    <t>10.9661960602, 106.8549880981</t>
  </si>
  <si>
    <t>ST-04A-3207</t>
  </si>
  <si>
    <t>Đỗ Thúy Hằng</t>
  </si>
  <si>
    <t>10.3671798706, 107.0854797363</t>
  </si>
  <si>
    <t>VI3002.91987</t>
  </si>
  <si>
    <t>VMP_DNI_8F2-9F2_DUONG_N4</t>
  </si>
  <si>
    <t xml:space="preserve">8F2-9F2 đường N4, phường Bửu Long, thành phố Biên Hòa, Tỉnh Đồng Nai </t>
  </si>
  <si>
    <t>10.9549856186, 106.8002853394</t>
  </si>
  <si>
    <t>10.9563570023, 106.8038558960</t>
  </si>
  <si>
    <t>EB4001.13928</t>
  </si>
  <si>
    <t>BIGC AN LAC</t>
  </si>
  <si>
    <t>1231QLộ1A,KP5,P Bình Trị Đông B,Bình Tân,TPHCM</t>
  </si>
  <si>
    <t>ST-06D-3005</t>
  </si>
  <si>
    <t>Võ Minh Nhựt</t>
  </si>
  <si>
    <t>10.7316179276, 106.6022872925</t>
  </si>
  <si>
    <t>VM1009.54553</t>
  </si>
  <si>
    <t>VMP_HNI_NGO_2_HOANG_LIET</t>
  </si>
  <si>
    <t>Khu nhà ở thấp tầng Hoàng Liệt, ngõ 2 Hoàng Liệt, phường Hoàng Liệt, quận Hoàng Mai, Hà Nội</t>
  </si>
  <si>
    <t>20.9667263031, 105.8378372192</t>
  </si>
  <si>
    <t>20.9667053223, 105.8378295898</t>
  </si>
  <si>
    <t>CF5001.58734</t>
  </si>
  <si>
    <t>CH_CF_CT_TRAN_VIET_CHAU</t>
  </si>
  <si>
    <t>91 Trần Việt Châu, Phường An Hòa, Quận Ninh Kiều, Tp Cần Thơ</t>
  </si>
  <si>
    <t>10.0486898422, 105.7748260498</t>
  </si>
  <si>
    <t>10.0485305786, 105.7748260498</t>
  </si>
  <si>
    <t>LO500113IO</t>
  </si>
  <si>
    <t>Yến Sang</t>
  </si>
  <si>
    <t>280, Nguyễn Bỉnh Khiêm, P.Vĩnh Quang, TP.Rạch Giá, Kiên Giang</t>
  </si>
  <si>
    <t>AL-04A-4043</t>
  </si>
  <si>
    <t>Trần Phan Uyển Nhi</t>
  </si>
  <si>
    <t>10.0164613724, 105.0799484253</t>
  </si>
  <si>
    <t>ST-04G-3013</t>
  </si>
  <si>
    <t>Huỳnh Ngọc Đào</t>
  </si>
  <si>
    <t>10.9585771561, 106.8342590332</t>
  </si>
  <si>
    <t>EB4001.82074</t>
  </si>
  <si>
    <t>EB_NGUYEN_XIEN</t>
  </si>
  <si>
    <t>Tầng hầm, Tòa nhà Eco Green City đường Nguyễn Xiển, Khu đô thị Tây Nam Kim Giang I, huyện Thanh Trì, TP Ha Noi</t>
  </si>
  <si>
    <t>ST-12E-1012</t>
  </si>
  <si>
    <t>Hoàng Minh Thúy</t>
  </si>
  <si>
    <t>20.9826622009, 105.8082962036</t>
  </si>
  <si>
    <t>VT102510XH</t>
  </si>
  <si>
    <t>Hiền Hà</t>
  </si>
  <si>
    <t>TT Chợ Chu, H. Định Hóa, Thái Nguyên</t>
  </si>
  <si>
    <t>AL-10F-1008</t>
  </si>
  <si>
    <t>Ma Thị Nhung</t>
  </si>
  <si>
    <t>21.9051361084, 105.6415100098</t>
  </si>
  <si>
    <t>ST-06E-3011</t>
  </si>
  <si>
    <t>Mai Thanh Danh</t>
  </si>
  <si>
    <t>10.9054956436, 106.8505859375</t>
  </si>
  <si>
    <t>ST-04E-3033</t>
  </si>
  <si>
    <t>Hoàng Thùy Nụ</t>
  </si>
  <si>
    <t>10.9053316116, 106.8510131836</t>
  </si>
  <si>
    <t>ST-06F-1002</t>
  </si>
  <si>
    <t>Nguyễn Đức Giáp</t>
  </si>
  <si>
    <t>21.0077285767, 105.7928619385</t>
  </si>
  <si>
    <t>VI3004.49739</t>
  </si>
  <si>
    <t>VMP_1003_56_BINH_GIA</t>
  </si>
  <si>
    <t xml:space="preserve">1003/56 Đường Bình Gĩa, Khu Phố 8, Phường Rạch Dừa, TP  Vũng Tàu </t>
  </si>
  <si>
    <t>10.3986063004, 107.1149520874</t>
  </si>
  <si>
    <t>10.3982553482, 107.1151123047</t>
  </si>
  <si>
    <t>ST-12F-2005</t>
  </si>
  <si>
    <t>Lê Thị Chi</t>
  </si>
  <si>
    <t>14.3547916412, 108.0024490356</t>
  </si>
  <si>
    <t>EB4001.17076</t>
  </si>
  <si>
    <t>BIGC BAC GIANG</t>
  </si>
  <si>
    <t>Trung tâm TM Big C Bắc Giang,Xã Tân Tiến,Thành phố Bắc Giang,tỉnh Bắc Giang</t>
  </si>
  <si>
    <t>ST-01G-1003</t>
  </si>
  <si>
    <t>Thân Thị Thực</t>
  </si>
  <si>
    <t>21.2667179108, 106.2088088989</t>
  </si>
  <si>
    <t>KC100110H4</t>
  </si>
  <si>
    <t>PLUS MART Tòa R3</t>
  </si>
  <si>
    <t>Tòa R3,Tầng 1 KĐT Gold Mark,136 Hồ Tùng Mậu, P. Phú Diễn, Q.Bắc Từ Liêm</t>
  </si>
  <si>
    <t>21.0442276001, 105.7680206299</t>
  </si>
  <si>
    <t>21.0442256927, 105.7680206299</t>
  </si>
  <si>
    <t>SG5008.41823</t>
  </si>
  <si>
    <t>SATRA P D PHUNG</t>
  </si>
  <si>
    <t xml:space="preserve">135 Phan Đình Phùng, Phường Tân An, Phường Tân An, Quận Ninh Kiều, TP  Cần Thơ</t>
  </si>
  <si>
    <t>10.0288085938, 105.7862472534</t>
  </si>
  <si>
    <t>10.0288896561, 105.7865219116</t>
  </si>
  <si>
    <t>PH2006103P</t>
  </si>
  <si>
    <t>Phương Thúy</t>
  </si>
  <si>
    <t>6, Phạm Văn Đồng, TT Ea Tling, Cư Jut, Đăk Nông</t>
  </si>
  <si>
    <t>AL-06D-2013</t>
  </si>
  <si>
    <t>12.5903482437, 107.8973083496</t>
  </si>
  <si>
    <t>XH4001.111977</t>
  </si>
  <si>
    <t>BHX Km 44, Quốc Lộ 26</t>
  </si>
  <si>
    <t>Km 44, Quốc Lộ 26, Thôn Chợ, Xã Krông Búk, Huyện Krông Pắc, Tỉnh Đắk Lắk</t>
  </si>
  <si>
    <t>12.7709217072, 108.3886642456</t>
  </si>
  <si>
    <t>12.7707366943, 108.3887100220</t>
  </si>
  <si>
    <t>12.5904035568, 107.8972625732</t>
  </si>
  <si>
    <t>12.5903377533, 107.8973007202</t>
  </si>
  <si>
    <t>ST-04E-4005</t>
  </si>
  <si>
    <t>Vương Thị Ngọc Ánh</t>
  </si>
  <si>
    <t>10.0090055466, 105.0794601440</t>
  </si>
  <si>
    <t>NT302212OH</t>
  </si>
  <si>
    <t>Trang Vân</t>
  </si>
  <si>
    <t>230, Võ Văn Kiệt, Phú Quý, Bình Thuận</t>
  </si>
  <si>
    <t>AL-05F-2005</t>
  </si>
  <si>
    <t>Võ Thị Hưng</t>
  </si>
  <si>
    <t>07h00 - 11h00</t>
  </si>
  <si>
    <t>10.5130882263, 108.9397659302</t>
  </si>
  <si>
    <t>XH4001.100574</t>
  </si>
  <si>
    <t>BHX Số 491 đường 30/04</t>
  </si>
  <si>
    <t>Số 491, đường 30/04, P 10, TP Vũng Tàu, Tỉnh Bà Rịa Vũng Tàu</t>
  </si>
  <si>
    <t>10.3980731964, 107.1122665405</t>
  </si>
  <si>
    <t>10.3980741501, 107.1123046875</t>
  </si>
  <si>
    <t>ST-11F-3007</t>
  </si>
  <si>
    <t>Nguyễn Huyền Xuân Nhân</t>
  </si>
  <si>
    <t>10.7309093475, 106.6046524048</t>
  </si>
  <si>
    <t>VI3003.91445</t>
  </si>
  <si>
    <t>BDG_10/9_NGUYEN_DUC_THIEU</t>
  </si>
  <si>
    <t xml:space="preserve">10/9 Võ Thị Sáu, KP  Tây A, P  Đông Hòa, TX  Dĩ An, Tỉnh Bình Dương</t>
  </si>
  <si>
    <t>10.8994054794, 106.7746963501</t>
  </si>
  <si>
    <t>10.8993930817, 106.7747116089</t>
  </si>
  <si>
    <t>10.8004045486, 105.2473907471</t>
  </si>
  <si>
    <t>10.8004026413, 105.2474288940</t>
  </si>
  <si>
    <t>KC10011035</t>
  </si>
  <si>
    <t>Morgan Mart 88</t>
  </si>
  <si>
    <t>88, Láng hạ,P.Láng Hạ,Q.Đống Đa,Hà Nội</t>
  </si>
  <si>
    <t>21.0123443604, 105.8114013672</t>
  </si>
  <si>
    <t>21.0123310089, 105.8114395142</t>
  </si>
  <si>
    <t>SG4040.48769</t>
  </si>
  <si>
    <t>Satra 25 BUI CONG TRUNG</t>
  </si>
  <si>
    <t xml:space="preserve">25 Bùi Công Trừng, Phường Thạnh Xuân, Quận 12, TP  HCM</t>
  </si>
  <si>
    <t>10.8984031677, 106.6887893677</t>
  </si>
  <si>
    <t>10.8985166550, 106.6888198853</t>
  </si>
  <si>
    <t>VI2003.80980</t>
  </si>
  <si>
    <t>VMP_DNG_17_YEN_THE</t>
  </si>
  <si>
    <t>17 Yên Thế, tổ 18, p Hoà An, Q Cẩm Lệ, TP Đà Nẵng</t>
  </si>
  <si>
    <t>16.0574016571, 108.1761322021</t>
  </si>
  <si>
    <t>16.0573902130, 108.1761398315</t>
  </si>
  <si>
    <t>ST-04G-3016</t>
  </si>
  <si>
    <t>Nguyễn Thanh Long</t>
  </si>
  <si>
    <t>10.7672700882, 106.6862030029</t>
  </si>
  <si>
    <t>VI2007.101332</t>
  </si>
  <si>
    <t>VINMART KONTUM</t>
  </si>
  <si>
    <t xml:space="preserve">Tầng 2, TTTM Vincom PLAZA Kon Tum, 02 Phan Đình Phùng, Phường Quyết Thắng, TP  Kon Tum, Tỉnh Kon Tum</t>
  </si>
  <si>
    <t>ST-12E-2009</t>
  </si>
  <si>
    <t>Trần Thị Mơ</t>
  </si>
  <si>
    <t>14.3485460281, 108.0004959106</t>
  </si>
  <si>
    <t>TA1003121H</t>
  </si>
  <si>
    <t>Gấm</t>
  </si>
  <si>
    <t>Chợ Thượng Thanh, Gia Lâm, Hà Nội</t>
  </si>
  <si>
    <t>21.0641384125, 105.8840408325</t>
  </si>
  <si>
    <t>21.0811138153, 105.9069671631</t>
  </si>
  <si>
    <t>MK40021IMJ</t>
  </si>
  <si>
    <t>BS Mart 173, PHAN VĂN KHỎE</t>
  </si>
  <si>
    <t>173, PHAN VĂN KHỎE, P.5, Q.6, Hồ Chí Minh</t>
  </si>
  <si>
    <t>10.7477188110, 106.6457214355</t>
  </si>
  <si>
    <t>10.7477169037, 106.6457366943</t>
  </si>
  <si>
    <t>VI4001.64038</t>
  </si>
  <si>
    <t>VMP_HCM_958_39_AU_CO</t>
  </si>
  <si>
    <t>958/39 Âu Cơ,phường 14, quận Tân Bình, TP HCM</t>
  </si>
  <si>
    <t>10.7976455688, 106.6391754150</t>
  </si>
  <si>
    <t>10.8066692352, 106.6479263306</t>
  </si>
  <si>
    <t>XH4001.112028</t>
  </si>
  <si>
    <t>BHX Đường Quốc Lộ 80, Ấp Đường Hòn</t>
  </si>
  <si>
    <t>Đường Quốc Lộ 80, Ấp Đường Hòn, Thị Trấn Hòn Đất, Huyện Hòn Đất, Tỉnh Kiên Giang</t>
  </si>
  <si>
    <t>10.1863117218, 104.9291152954</t>
  </si>
  <si>
    <t>10.1863870621, 104.9291229248</t>
  </si>
  <si>
    <t>10.8190383911, 106.6901626587</t>
  </si>
  <si>
    <t>10.8192491531, 106.6902542114</t>
  </si>
  <si>
    <t>ST-04G-3020</t>
  </si>
  <si>
    <t>Trần Lê Thu Thảo</t>
  </si>
  <si>
    <t>10.4895248413, 107.1739654541</t>
  </si>
  <si>
    <t>TA100613C6</t>
  </si>
  <si>
    <t>Thuý Tự</t>
  </si>
  <si>
    <t>Bảo Tháp, Kim Hoa, Mê Linh, Hà Nội</t>
  </si>
  <si>
    <t>AL-09F-1005</t>
  </si>
  <si>
    <t>Trần Thị Ngọc Trà</t>
  </si>
  <si>
    <t>21.2276363373, 105.7354354858</t>
  </si>
  <si>
    <t>10.7732686996, 106.6891021729</t>
  </si>
  <si>
    <t>10.7305088043, 106.7021713257</t>
  </si>
  <si>
    <t>VC1007.63182</t>
  </si>
  <si>
    <t>VINMART_TRUNG_YEN</t>
  </si>
  <si>
    <t xml:space="preserve">Tầng 1, Tòa nhà Trung Yên, Phường Trung Hòa, Quận Cầu Giấy, TP  Hà Nội</t>
  </si>
  <si>
    <t>21.0712375641, 105.7917327881</t>
  </si>
  <si>
    <t>21.0377273560, 105.7938842773</t>
  </si>
  <si>
    <t>VI4001.63660</t>
  </si>
  <si>
    <t>VMP_HCM_82_DUONG_SO_9</t>
  </si>
  <si>
    <t xml:space="preserve">82 đường số 9, KP3, P Bình Hưng Hòa, Q  Bình Tân, TP HCM</t>
  </si>
  <si>
    <t>10.7995061874, 106.6023178101</t>
  </si>
  <si>
    <t>10.7993240356, 106.6022872925</t>
  </si>
  <si>
    <t>ST-03G-3006</t>
  </si>
  <si>
    <t>Nguyễn Minh Toàn</t>
  </si>
  <si>
    <t>10.7374639511, 106.7261505127</t>
  </si>
  <si>
    <t>ST-05C-3009</t>
  </si>
  <si>
    <t>Phan Hoàng Nhi</t>
  </si>
  <si>
    <t>10.7981033325, 106.6890029907</t>
  </si>
  <si>
    <t>KL3001107W</t>
  </si>
  <si>
    <t>Danh Ngôn</t>
  </si>
  <si>
    <t>2428, ấp An Thới, An Tịnh, Trảng Bàng, Tây Ninh</t>
  </si>
  <si>
    <t>AL-10C-3026</t>
  </si>
  <si>
    <t>Nguyễn Thị Quý</t>
  </si>
  <si>
    <t>13h00 - 17h30</t>
  </si>
  <si>
    <t>11.0377159119, 106.3873748779</t>
  </si>
  <si>
    <t>VC2003.44732</t>
  </si>
  <si>
    <t>VinMart Nha Trang</t>
  </si>
  <si>
    <t>Số 60 Thái Nguyên, Phường Phương Sài, Tp Nha Trang,Khánh Hòa</t>
  </si>
  <si>
    <t>ST-03F-2006</t>
  </si>
  <si>
    <t>12.2482137680, 109.1870040894</t>
  </si>
  <si>
    <t>ST-05E-1011</t>
  </si>
  <si>
    <t>Hoàng Thị Thu</t>
  </si>
  <si>
    <t>21.3067264557, 105.4313735962</t>
  </si>
  <si>
    <t>09h00 - 13h00</t>
  </si>
  <si>
    <t>10.8475799561, 106.6645431519</t>
  </si>
  <si>
    <t>10.8476123810, 106.6646118164</t>
  </si>
  <si>
    <t>HN5002107P</t>
  </si>
  <si>
    <t>Bình An Chợ</t>
  </si>
  <si>
    <t>15 16, Ô 3 Khu A, TT.Hậu Nghĩa, H.Đức Hòa, Long An</t>
  </si>
  <si>
    <t>AL-06E-4013</t>
  </si>
  <si>
    <t>10.8991317749, 106.3932952881</t>
  </si>
  <si>
    <t>TN1011137M</t>
  </si>
  <si>
    <t>Tuấn Hoàn</t>
  </si>
  <si>
    <t>Chợ Vạn Phúc, hà Đông, Hà Đông, Hà Nội</t>
  </si>
  <si>
    <t>08h30 - 12h30</t>
  </si>
  <si>
    <t>20.9795398712, 105.7747879028</t>
  </si>
  <si>
    <t>20.9795303345, 105.7748107910</t>
  </si>
  <si>
    <t>10.4540205002, 105.6340255737</t>
  </si>
  <si>
    <t>10.4539966583, 105.6341094971</t>
  </si>
  <si>
    <t>10.7994470596, 106.6023483276</t>
  </si>
  <si>
    <t>10.7993059158, 106.6022491455</t>
  </si>
  <si>
    <t>ST-04G-3011</t>
  </si>
  <si>
    <t>Mai Văn Hải</t>
  </si>
  <si>
    <t>10.7791595459, 106.6311569214</t>
  </si>
  <si>
    <t>12.5413846970, 109.2167358398</t>
  </si>
  <si>
    <t>12.5414361954, 109.2167510986</t>
  </si>
  <si>
    <t>HT40321FD0</t>
  </si>
  <si>
    <t>Khanh Đài</t>
  </si>
  <si>
    <t>367A, Nguyễn Văn Tăng, Long Thạnh Mỹ, 9, HCM</t>
  </si>
  <si>
    <t>AL-09F-3009</t>
  </si>
  <si>
    <t>Lê Thị Thu Ngân</t>
  </si>
  <si>
    <t>10.8411188126, 106.8254547119</t>
  </si>
  <si>
    <t>10.0221490860, 105.7709655762</t>
  </si>
  <si>
    <t>10.0221738815, 105.7709426880</t>
  </si>
  <si>
    <t>XH4001.82231</t>
  </si>
  <si>
    <t>BHX G14 Phạm Thị Nghĩa</t>
  </si>
  <si>
    <t>G14 Phạm Thị Nghĩa, Khu phố 5, Phường Tân Hiệp, Thành phố Biên Hòa, Tỉnh Đồng Nai</t>
  </si>
  <si>
    <t>10.9591960907, 106.8739013672</t>
  </si>
  <si>
    <t>10.9595880508, 106.8481826782</t>
  </si>
  <si>
    <t>ST-04F-3011</t>
  </si>
  <si>
    <t>Nguyễn Minh Triết</t>
  </si>
  <si>
    <t>10.9656629562, 106.6405944824</t>
  </si>
  <si>
    <t>ST-04F-3017</t>
  </si>
  <si>
    <t>Huỳnh Thị Ngọc Trâm</t>
  </si>
  <si>
    <t>10.7673854828, 106.6860809326</t>
  </si>
  <si>
    <t>CF4001.32389</t>
  </si>
  <si>
    <t>CF CONIC</t>
  </si>
  <si>
    <t>B1 03-B1 04 KDC 13B,Conic,Nguyễn Văn Linh,Xã Phong Phú,H Bình Chánh,Tp HCM</t>
  </si>
  <si>
    <t>10.7797746658, 106.6473312378</t>
  </si>
  <si>
    <t>10.7798070908, 106.6473159790</t>
  </si>
  <si>
    <t>PQ5001117F</t>
  </si>
  <si>
    <t>Đông Hương</t>
  </si>
  <si>
    <t>0, Đối Diện Kiên Long, NVC, Chợ An Thới, TT.An Thới, H.Phú Quốc, Kiên Giang</t>
  </si>
  <si>
    <t>AL-05G-4007</t>
  </si>
  <si>
    <t>Bùi Thị Bích My</t>
  </si>
  <si>
    <t>08h00 - 13h00</t>
  </si>
  <si>
    <t>10.0197191238, 104.0163421631</t>
  </si>
  <si>
    <t>10.0189256668, 104.0159530640</t>
  </si>
  <si>
    <t>ST-03E-3001</t>
  </si>
  <si>
    <t>Bùi Phạm Mỹ Duyên</t>
  </si>
  <si>
    <t>10.7811937332, 106.6926422119</t>
  </si>
  <si>
    <t>XH4001.50573</t>
  </si>
  <si>
    <t>BHX Số 248 Nguyễn Văn Tăng</t>
  </si>
  <si>
    <t xml:space="preserve">Số 248 Nguyễn Văn Tăng, Tổ 2, KP  Gò Công, P  Long Thạnh Mỹ, TP  Thủ Đức, TP  Hồ Chí Minh</t>
  </si>
  <si>
    <t>10.8418283463, 106.8210525513</t>
  </si>
  <si>
    <t>10.8418197632, 106.8210449219</t>
  </si>
  <si>
    <t>ST-05F-4002</t>
  </si>
  <si>
    <t>Nguyễn Thị Cẩm Nhi</t>
  </si>
  <si>
    <t>10.0142860413, 105.7840423584</t>
  </si>
  <si>
    <t>NC40171JGN</t>
  </si>
  <si>
    <t>Minh Thuận</t>
  </si>
  <si>
    <t>516, TTH02, Tân Thới Hiệp, 12, HCM</t>
  </si>
  <si>
    <t>10.8711175919, 106.6372222900</t>
  </si>
  <si>
    <t>10.8711557388, 106.6372299194</t>
  </si>
  <si>
    <t>ST-04G-1003</t>
  </si>
  <si>
    <t>Đào Cư Tú</t>
  </si>
  <si>
    <t>20.8451938629, 106.7076339722</t>
  </si>
  <si>
    <t>ST-02F-4003</t>
  </si>
  <si>
    <t>Danh Duy Linh</t>
  </si>
  <si>
    <t>9.9589843750, 105.1180343628</t>
  </si>
  <si>
    <t>VC2003.58423</t>
  </si>
  <si>
    <t>78 - 80, Đường Trần Phú, Phường Lộc Thọ, TP Nha Trang, Tỉnh Khánh Hòa</t>
  </si>
  <si>
    <t>12.2333183289, 109.1971130371</t>
  </si>
  <si>
    <t>ST-04B-2005</t>
  </si>
  <si>
    <t>15.5733051300, 108.4847717285</t>
  </si>
  <si>
    <t>CV100510NS</t>
  </si>
  <si>
    <t>Thúy Linh</t>
  </si>
  <si>
    <t>76, Kim Giang, Thịnh Liệt, Hoàng Mai, Hà Nội</t>
  </si>
  <si>
    <t>AL-04A-1037</t>
  </si>
  <si>
    <t>Đinh Thị Hương</t>
  </si>
  <si>
    <t>20.9827823639, 105.8156127930</t>
  </si>
  <si>
    <t>KC100110DV</t>
  </si>
  <si>
    <t>Kmart Kmart R2-L1-01</t>
  </si>
  <si>
    <t>Kmart R2-L1-01,tầng1,tòanhàRubi2,GoldenmartCity 202 Hồ Tùng Mậu</t>
  </si>
  <si>
    <t>21.0440216064, 105.7674560547</t>
  </si>
  <si>
    <t>ST-04F-3001</t>
  </si>
  <si>
    <t>Lê Mai Anh</t>
  </si>
  <si>
    <t>10.7788381577, 106.6651458740</t>
  </si>
  <si>
    <t>CO4019.5068</t>
  </si>
  <si>
    <t>CM CU CHI</t>
  </si>
  <si>
    <t>Số 357 Quốc lộ 22, Ấp Thượng, X Tân Thông Hội, H Củ Chi, TP HCM</t>
  </si>
  <si>
    <t>ST-07F-3001</t>
  </si>
  <si>
    <t>10.9592351913, 106.5044403076</t>
  </si>
  <si>
    <t>XH4001.79056</t>
  </si>
  <si>
    <t>BHX 797 Hưng Phú</t>
  </si>
  <si>
    <t>797 Hưng Phú, Phường 9, Quận 8, Thành phố Hồ Chí Minh, Việt Nam</t>
  </si>
  <si>
    <t>10.7455368042, 106.6658401489</t>
  </si>
  <si>
    <t>10.7455053329, 106.6658554077</t>
  </si>
  <si>
    <t>VI4001.64028</t>
  </si>
  <si>
    <t>VMP_HCM_75_4B_KHU_PHO_6</t>
  </si>
  <si>
    <t>75/4B Tân Thới Nhất 8, Khu Phố 6, Phường Tân Thời Nhất, Quận 12, TPHCM</t>
  </si>
  <si>
    <t>10.8327064514, 106.6127319336</t>
  </si>
  <si>
    <t>10.8326625824, 106.6126937866</t>
  </si>
  <si>
    <t>XH4001.39937</t>
  </si>
  <si>
    <t xml:space="preserve">BHX 14 - 16 Võ Công Tồn   P Tân Qúy</t>
  </si>
  <si>
    <t xml:space="preserve">14 - 16 Võ Công Tồn   P Tân Qúy, Quận Tân Phú, TP  HCM</t>
  </si>
  <si>
    <t>10.7906408310, 106.6219635010</t>
  </si>
  <si>
    <t>10.7906303406, 106.6219940186</t>
  </si>
  <si>
    <t>ST-10F-3005</t>
  </si>
  <si>
    <t>Đặng Hoài Yên</t>
  </si>
  <si>
    <t>10.7301301956, 106.7033996582</t>
  </si>
  <si>
    <t>CF4001.13216</t>
  </si>
  <si>
    <t>CF GO XOAI</t>
  </si>
  <si>
    <t>233 Gò Xoài,Phường Bình Hưng Hòa,Quận Bình Tân,Tp HCM</t>
  </si>
  <si>
    <t>10.7796993256, 106.6473693848</t>
  </si>
  <si>
    <t>10.7797651291, 106.6473312378</t>
  </si>
  <si>
    <t>16.0668201447, 108.2139816284</t>
  </si>
  <si>
    <t>10.7435302734, 106.7101821899</t>
  </si>
  <si>
    <t>10.7435312271, 106.7101516724</t>
  </si>
  <si>
    <t>Lang Son</t>
  </si>
  <si>
    <t>VC1018.59069</t>
  </si>
  <si>
    <t>VIM_LANG_SON</t>
  </si>
  <si>
    <t>TTTM Vincom Lạng Sơn, Cầu Kỳ Lừa, Phường Chi Lăng, TP Lạng Sơn, Tỉnh Lạng Sơn</t>
  </si>
  <si>
    <t>ST-01E-1003</t>
  </si>
  <si>
    <t>Ngô Thị Hương</t>
  </si>
  <si>
    <t>21.8480777740, 106.7579498291</t>
  </si>
  <si>
    <t>ST-03G-3019</t>
  </si>
  <si>
    <t>Phan Thị Ngọc Linh</t>
  </si>
  <si>
    <t>10.8294830322, 106.6820449829</t>
  </si>
  <si>
    <t>ST-03F-3041</t>
  </si>
  <si>
    <t>Lê Hoàng Thơ</t>
  </si>
  <si>
    <t>10.7373790741, 106.7258300781</t>
  </si>
  <si>
    <t>ST-08D-3023</t>
  </si>
  <si>
    <t>Lương Tuyết Hằng</t>
  </si>
  <si>
    <t>10.8256378174, 106.6802597046</t>
  </si>
  <si>
    <t>NC401717HH</t>
  </si>
  <si>
    <t>Shop Kiều</t>
  </si>
  <si>
    <t>42/481, Lê Đức Thọ , 17, Gò Vấp , HCM</t>
  </si>
  <si>
    <t>AL-09F-3008</t>
  </si>
  <si>
    <t>Đoàn Tuấn Cảnh</t>
  </si>
  <si>
    <t>10.8420629501, 106.6763381958</t>
  </si>
  <si>
    <t>ST-03G-3007</t>
  </si>
  <si>
    <t>Phan Văn Thân</t>
  </si>
  <si>
    <t>10.7704095840, 106.6293182373</t>
  </si>
  <si>
    <t>VM1009.49349</t>
  </si>
  <si>
    <t>VMP_204_THANH_BINH</t>
  </si>
  <si>
    <t>Khu nhà ở Công ty Xây dựng Phát triển hạ tầng và SXVLXD, số 204 đường Thanh Bình, phường Mộ Lao, quận Hà Đông, Hà Nội</t>
  </si>
  <si>
    <t>20.9839363098, 105.7786026001</t>
  </si>
  <si>
    <t>20.9840316772, 105.7786331177</t>
  </si>
  <si>
    <t>CO4037.65053</t>
  </si>
  <si>
    <t>CM_XTRA_PHAM_VAN_DONG</t>
  </si>
  <si>
    <t xml:space="preserve">240-242 Phạm Văn Đồng, Phường Hiệp Bình Chánh, TP  Thủ Đức, TP  Hồ Chí Minh</t>
  </si>
  <si>
    <t>ST-04A-3160</t>
  </si>
  <si>
    <t>Lý Thị Kim Dung</t>
  </si>
  <si>
    <t>10.8280200958, 106.7211990356</t>
  </si>
  <si>
    <t>MT1002.11068</t>
  </si>
  <si>
    <t>METRO_21269_CD Nguyễn Tam Trinh, Yên Sở</t>
  </si>
  <si>
    <t>Nguyễn Tam Trinh, Yên Sở, Hòang Mai, Hà Nội</t>
  </si>
  <si>
    <t>ST-03E-1003</t>
  </si>
  <si>
    <t>Trần Thanh Hoài</t>
  </si>
  <si>
    <t>20.9697036743, 105.8667755127</t>
  </si>
  <si>
    <t>TD500325UJ</t>
  </si>
  <si>
    <t>Lô B8, Chợ 586, P.Phú Thứ, Q.Cái Răng, Cần Thơ</t>
  </si>
  <si>
    <t>AL-11F-4001</t>
  </si>
  <si>
    <t>Danh Hồng Phi</t>
  </si>
  <si>
    <t>10.0042629242, 105.8067016602</t>
  </si>
  <si>
    <t>XH4001.124969</t>
  </si>
  <si>
    <t>BHX 349D Khu phố 3, Phường 8</t>
  </si>
  <si>
    <t>349D Khu phố 3, Phường 8, Thành phố Bến Tre, Tỉnh Bến Tre</t>
  </si>
  <si>
    <t>ST-12F-4004</t>
  </si>
  <si>
    <t>Phan Huy Thức</t>
  </si>
  <si>
    <t>10.2363204956, 106.3830490112</t>
  </si>
  <si>
    <t>10.2363243103, 106.3830490112</t>
  </si>
  <si>
    <t>ST-03G-3021</t>
  </si>
  <si>
    <t>Hà Thanh Khương</t>
  </si>
  <si>
    <t>10.8110780716, 106.7031860352</t>
  </si>
  <si>
    <t>ST-03C-3017</t>
  </si>
  <si>
    <t>Lê Tấn Tài</t>
  </si>
  <si>
    <t>10.7405824661, 106.7028503418</t>
  </si>
  <si>
    <t>TH2010.36322</t>
  </si>
  <si>
    <t>MIEN NUI THANH HOA Siêu Thị Miền Tây Mường Lát: khu 2 thị trấn Mường Lát, h Mường Lát</t>
  </si>
  <si>
    <t>Siêu Thị Miền Tây Mường Lát: khu 2 thị trấn Mường Lát, h Mường Lát, t Thanh Hóa</t>
  </si>
  <si>
    <t>ST-12E-1005</t>
  </si>
  <si>
    <t>Lê Huyền My</t>
  </si>
  <si>
    <t>20.5271167755, 104.6013412476</t>
  </si>
  <si>
    <t>20.5270957947, 104.6014480591</t>
  </si>
  <si>
    <t>ST-08C-3006</t>
  </si>
  <si>
    <t>Trần Đình Sỹ</t>
  </si>
  <si>
    <t>10.8485250473, 106.7731628418</t>
  </si>
  <si>
    <t>ST-05G-3002</t>
  </si>
  <si>
    <t>Nguyễn Quốc Trung</t>
  </si>
  <si>
    <t>10.8027887344, 106.6184844971</t>
  </si>
  <si>
    <t>VI4001.64733</t>
  </si>
  <si>
    <t>VMP_HCM_11_DUONG_SO_15</t>
  </si>
  <si>
    <t>11 Đường Số 15, KP 10, Phường Bình Hưng Hoà, Quận Bình Tân, TPHCM</t>
  </si>
  <si>
    <t>10.8014326096, 106.6077117920</t>
  </si>
  <si>
    <t>10.8013868332, 106.6077041626</t>
  </si>
  <si>
    <t>MT3005.6369</t>
  </si>
  <si>
    <t>METRO BÌNH DƯƠNG</t>
  </si>
  <si>
    <t>Đại lộ Bình Dương,Phường Phú Thọ,Thành phố Thủ Dầu Một,Tỉnh Bình Dương</t>
  </si>
  <si>
    <t>ST-03G-3022</t>
  </si>
  <si>
    <t>Bùi Nguyễn Phát Tài</t>
  </si>
  <si>
    <t>10.9632587433, 106.6875305176</t>
  </si>
  <si>
    <t>ST-04A-2015</t>
  </si>
  <si>
    <t>Phạm Mai Anh</t>
  </si>
  <si>
    <t>16.4603557587, 107.5997009277</t>
  </si>
  <si>
    <t>ST-08E-4004</t>
  </si>
  <si>
    <t>Huỳnh Nữ Diễm Trinh</t>
  </si>
  <si>
    <t>9.7827301025, 105.4665374756</t>
  </si>
  <si>
    <t>XH4001.112032</t>
  </si>
  <si>
    <t xml:space="preserve">BHX KP  Tri Tôn, Thị trấn Hòn Đất</t>
  </si>
  <si>
    <t xml:space="preserve">KP  Tri Tôn, Thị trấn Hòn Đất, Huyện Hòn Đất, Tỉnh Kiên Giang</t>
  </si>
  <si>
    <t>10.1884479523, 104.9251174927</t>
  </si>
  <si>
    <t>10.1884641647, 104.9251098633</t>
  </si>
  <si>
    <t>10.8014278412, 106.6076965332</t>
  </si>
  <si>
    <t>10.8014068604, 106.6076583862</t>
  </si>
  <si>
    <t>HD3001148N</t>
  </si>
  <si>
    <t xml:space="preserve">Kim Hoàng </t>
  </si>
  <si>
    <t>776, Cách Mạng Tháng Tám, KP1, P.4, Tp.Tây Ninh, Tây Ninh</t>
  </si>
  <si>
    <t>AL-07A-3005</t>
  </si>
  <si>
    <t>Nguyễn Thị Loan Anh</t>
  </si>
  <si>
    <t>11.3083038330, 106.1163711548</t>
  </si>
  <si>
    <t>21.2674846649, 106.2080383301</t>
  </si>
  <si>
    <t>21.2670764923, 106.2082443237</t>
  </si>
  <si>
    <t>ST-03E-3016</t>
  </si>
  <si>
    <t>Lã Ngọc Sơn</t>
  </si>
  <si>
    <t>10.8093137741, 106.6780548096</t>
  </si>
  <si>
    <t>ST-01G-4001</t>
  </si>
  <si>
    <t>Khưu Nguyên Bảo</t>
  </si>
  <si>
    <t>10.0144052505, 105.7843017578</t>
  </si>
  <si>
    <t>XH4001.58455</t>
  </si>
  <si>
    <t>BHX 43A - 43B - 45 Bình Thành</t>
  </si>
  <si>
    <t>43A - 43B - 45 Bình Thành, Phường Bình Hưng Hoà B, Quận Bình Tân, TP HCM</t>
  </si>
  <si>
    <t>10.8012790680, 106.5869293213</t>
  </si>
  <si>
    <t>10.8012895584, 106.5869522095</t>
  </si>
  <si>
    <t>KG40031DJU</t>
  </si>
  <si>
    <t>Siêu thị GS-25 132, Bến Vân Đồn</t>
  </si>
  <si>
    <t>132, Bến Vân Đồn, P.6, Q.4, Hồ Chí Minh</t>
  </si>
  <si>
    <t>10.7630729675, 106.6999282837</t>
  </si>
  <si>
    <t>10.7636442184, 106.6993942261</t>
  </si>
  <si>
    <t>10.6315135956, 106.7359390259</t>
  </si>
  <si>
    <t>10.6315231323, 106.7359390259</t>
  </si>
  <si>
    <t>CH-09D-4001</t>
  </si>
  <si>
    <t>Lâm Hoàng Sơn</t>
  </si>
  <si>
    <t>10.0422658920, 105.7673416138</t>
  </si>
  <si>
    <t>ST-02F-3033</t>
  </si>
  <si>
    <t>Nguyễn Thanh Bình</t>
  </si>
  <si>
    <t>10.7708644867, 106.6694412231</t>
  </si>
  <si>
    <t>8.7596130371, 104.9920120239</t>
  </si>
  <si>
    <t>8.7595653534, 104.9919891357</t>
  </si>
  <si>
    <t>TD5003268A</t>
  </si>
  <si>
    <t>Quý Thư</t>
  </si>
  <si>
    <t>B10 đường dẫn, Khu Văn hóa Tây Đô, 0, P.Hưng Thạnh, Q.Cái Răng, Cần Thơ</t>
  </si>
  <si>
    <t>AL-09C-4011</t>
  </si>
  <si>
    <t>Trần Thị Thu Cúc</t>
  </si>
  <si>
    <t>10.0510149002, 105.7614898682</t>
  </si>
  <si>
    <t>10.0987529755, 105.7694854736</t>
  </si>
  <si>
    <t>XH4001.109752</t>
  </si>
  <si>
    <t xml:space="preserve">BHX 1/65B KP  Bình Giao</t>
  </si>
  <si>
    <t xml:space="preserve">1/65B, KP  Bình Giao, Phường Thuận Giao, TP  Thuận An , Tỉnh Bình Dương</t>
  </si>
  <si>
    <t>10.9513959885, 106.6968536377</t>
  </si>
  <si>
    <t>10.9514265060, 106.6968307495</t>
  </si>
  <si>
    <t>ST-12E-3008</t>
  </si>
  <si>
    <t>Phạm Thanh Điền</t>
  </si>
  <si>
    <t>10.7861576080, 106.6751327515</t>
  </si>
  <si>
    <t>DP300711OZ</t>
  </si>
  <si>
    <t>Huỳnh Lợi</t>
  </si>
  <si>
    <t>11A, DT745, Lái Thiêu, TP.Thuận An, Bình Dương</t>
  </si>
  <si>
    <t>AL-07D-3015</t>
  </si>
  <si>
    <t>Huỳnh Văn Thành</t>
  </si>
  <si>
    <t>09h30 - 18h30</t>
  </si>
  <si>
    <t>10.9027481079, 106.7011108398</t>
  </si>
  <si>
    <t>ST-09F-3010</t>
  </si>
  <si>
    <t>10.7599210739, 106.6613388062</t>
  </si>
  <si>
    <t>MK20021VCK</t>
  </si>
  <si>
    <t>Tạp Hóa Nhi</t>
  </si>
  <si>
    <t>25, Phương Sài, Phương Sơn, Nha Trang, Khánh Hòa</t>
  </si>
  <si>
    <t>12.2511796951, 109.1841583252</t>
  </si>
  <si>
    <t>12.2509450912, 109.1843414307</t>
  </si>
  <si>
    <t>KC1001105L</t>
  </si>
  <si>
    <t>Nguyễn Thị Kim Oanh CT8A</t>
  </si>
  <si>
    <t>CT8A, Khu đô thị Dương Nội,P.Yên Nghĩa,Q.Hà Đông,Hà Nội</t>
  </si>
  <si>
    <t>20.9625282288, 105.7455062866</t>
  </si>
  <si>
    <t>20.9624176025, 105.7455749512</t>
  </si>
  <si>
    <t>20.9638767242, 105.8269958496</t>
  </si>
  <si>
    <t>20.9638881683, 105.8270416260</t>
  </si>
  <si>
    <t>HN3002122H</t>
  </si>
  <si>
    <t>Hạnh Dung</t>
  </si>
  <si>
    <t>3/97, Thủ Khoa Huân, KP Bình Thuận 2, Thuận Giao, Thuận An, Bình Dương</t>
  </si>
  <si>
    <t>AL-04A-3185</t>
  </si>
  <si>
    <t>Phạm Mỹ Dung</t>
  </si>
  <si>
    <t>10.9701681137, 106.7139816284</t>
  </si>
  <si>
    <t>HM200513OX</t>
  </si>
  <si>
    <t>Huyền</t>
  </si>
  <si>
    <t>98, CMT8, Khuê Trung , Cẩm Lệ, Đà Nẵng</t>
  </si>
  <si>
    <t>AL-04A-2051</t>
  </si>
  <si>
    <t>16.0220317841, 108.2133255005</t>
  </si>
  <si>
    <t>16.0220088959, 108.2133483887</t>
  </si>
  <si>
    <t>ST-04A-1036</t>
  </si>
  <si>
    <t>Lê Văn Anh</t>
  </si>
  <si>
    <t>21.0518493652, 105.8932876587</t>
  </si>
  <si>
    <t>XH4001.39593</t>
  </si>
  <si>
    <t>BHX 164 Bùi Tư Toàn</t>
  </si>
  <si>
    <t>164 Bùi Tư Toàn, P An Lạc, Q Bình Tân,TP HCM</t>
  </si>
  <si>
    <t>10.7322750092, 106.6183624268</t>
  </si>
  <si>
    <t>10.7322692871, 106.6183624268</t>
  </si>
  <si>
    <t>PH5009103A</t>
  </si>
  <si>
    <t>Nam Nhi</t>
  </si>
  <si>
    <t>260, Chợ Vĩnh Thuận, Vĩnh Phước, TT.Vĩnh Thuận, H.Vĩnh Thuận, Kiên Giang</t>
  </si>
  <si>
    <t>AL-03F-4005</t>
  </si>
  <si>
    <t>Huỳnh Thị Kiều Diểm</t>
  </si>
  <si>
    <t>9.5128765106, 105.2587432861</t>
  </si>
  <si>
    <t>VI3002.91785</t>
  </si>
  <si>
    <t>VMP_17/15A_HUYNH_VAN_NGHE</t>
  </si>
  <si>
    <t xml:space="preserve">17/15A – 15/15B Huỳnh Văn Nghệ, KP2, P Bửu Long, TP  Biên Hòa, Tỉnh Đồng Nai</t>
  </si>
  <si>
    <t>10.9549722672, 106.8002929688</t>
  </si>
  <si>
    <t>XH4001.82399</t>
  </si>
  <si>
    <t>BHX 220 Phạm Văn Chí</t>
  </si>
  <si>
    <t>220 Phạm Văn Chí, Phường 04, Quận 6, TP HCM, Việt Nam</t>
  </si>
  <si>
    <t>10.7453575134, 106.6455230713</t>
  </si>
  <si>
    <t>10.7454929352, 106.6433715820</t>
  </si>
  <si>
    <t>VM1009.28333</t>
  </si>
  <si>
    <t>VM 71 KHUONG THUONG</t>
  </si>
  <si>
    <t>Số 71 phố Khương Thượng, phường Trung Liệt, quận Đống Đa, Hà Nội</t>
  </si>
  <si>
    <t>21.0053577423, 105.8252487183</t>
  </si>
  <si>
    <t>21.0053863525, 105.8251876831</t>
  </si>
  <si>
    <t>LO500110WT</t>
  </si>
  <si>
    <t>Trúc Kiệt</t>
  </si>
  <si>
    <t>129, Mạc Cửu, P.Vĩnh Thanh, TP.Rạch Giá, Kiên Giang</t>
  </si>
  <si>
    <t>ST-04A-4042</t>
  </si>
  <si>
    <t>Hồ Thị Kiều Oanh</t>
  </si>
  <si>
    <t>12h30 - 21h00</t>
  </si>
  <si>
    <t>10.0153026581, 105.0864257813</t>
  </si>
  <si>
    <t>10.7371778488, 106.9444808960</t>
  </si>
  <si>
    <t>10.7372007370, 106.9444961548</t>
  </si>
  <si>
    <t>SG4040.55962</t>
  </si>
  <si>
    <t>SF_730A_HUONG_LO_2</t>
  </si>
  <si>
    <t xml:space="preserve">Số 730A, Hương lộ 2, KP4, P  Bình Trị Đông A, quận Bình Tân, Tp HCM</t>
  </si>
  <si>
    <t>10.7660284042, 106.6050415039</t>
  </si>
  <si>
    <t>10.7659606934, 106.6050491333</t>
  </si>
  <si>
    <t>XH4001.38968</t>
  </si>
  <si>
    <t>BHX 338 Thạch Lam</t>
  </si>
  <si>
    <t>338 Thạch Lam,Phường Phú Thạnh,Quận Tân Phú,TP HCM</t>
  </si>
  <si>
    <t>10.7795124054, 106.6232910156</t>
  </si>
  <si>
    <t>10.7804346085, 106.6339950562</t>
  </si>
  <si>
    <t>XH4001.83730</t>
  </si>
  <si>
    <t>BHX 2/2 Khu phố 7</t>
  </si>
  <si>
    <t>2/2 Khu phố 7, Thị trấn Nhà Bè, Huyện Nhà Bè, Thành phố Hồ Chí Minh, Việt Nam</t>
  </si>
  <si>
    <t>10.6918926239, 106.7410049438</t>
  </si>
  <si>
    <t>10.6918907166, 106.7410202026</t>
  </si>
  <si>
    <t>CF4001.64134</t>
  </si>
  <si>
    <t>CH_CF_NGUYEN_HUU_TIEN_11</t>
  </si>
  <si>
    <t>11 Nguyễn Hữu Tiến, Phường Tây Thạnh, Quận Tân Phú, Tp HCM</t>
  </si>
  <si>
    <t>10.8077859879, 106.6258773804</t>
  </si>
  <si>
    <t>10.8078327179, 106.6259002686</t>
  </si>
  <si>
    <t>TY300113AI</t>
  </si>
  <si>
    <t>Kim Liên</t>
  </si>
  <si>
    <t>D10, Mỹ Phước 1, Bến Cát, Bình Dương</t>
  </si>
  <si>
    <t>AL-01E-3004</t>
  </si>
  <si>
    <t>Nguyễn Văn Thành</t>
  </si>
  <si>
    <t>11.1256036758, 106.6054458618</t>
  </si>
  <si>
    <t>KC100110I4</t>
  </si>
  <si>
    <t>EASY MART R1.L1 Goldmart 136 hồ Tùng Mậu</t>
  </si>
  <si>
    <t xml:space="preserve">R1.L1 Goldmart 136 hồ Tùng Mậu, P. Phú Diễn, Q.Bắc Từ Liêm, Hà Nội </t>
  </si>
  <si>
    <t>21.0432453156, 105.7670364380</t>
  </si>
  <si>
    <t>21.0433425903, 105.7671127319</t>
  </si>
  <si>
    <t>20.8157138824, 106.6064300537</t>
  </si>
  <si>
    <t>20.8156986237, 106.6064147949</t>
  </si>
  <si>
    <t>10.7567052841, 106.5901184082</t>
  </si>
  <si>
    <t>10.7567167282, 106.5901412964</t>
  </si>
  <si>
    <t>TD500325PY</t>
  </si>
  <si>
    <t>Hoa Duy</t>
  </si>
  <si>
    <t>36, Quang Trung, P.Hưng Phú, Q.Cái Răng, Cần Thơ</t>
  </si>
  <si>
    <t>AL-11D-4002</t>
  </si>
  <si>
    <t>Trần Thị Hồng Nhiên</t>
  </si>
  <si>
    <t>12h00 - 21h00</t>
  </si>
  <si>
    <t>10.0190410614, 105.7814254761</t>
  </si>
  <si>
    <t>CF4001.18138</t>
  </si>
  <si>
    <t>CF HANG XANH</t>
  </si>
  <si>
    <t>189-191 Bạch Đằng, P 15, Q Bình Thạnh, Tp HCM</t>
  </si>
  <si>
    <t>10.8220367432, 106.7297439575</t>
  </si>
  <si>
    <t>10.8220520020, 106.7297515869</t>
  </si>
  <si>
    <t>10.8451404572, 106.6124572754</t>
  </si>
  <si>
    <t>10.7897834778, 106.5923995972</t>
  </si>
  <si>
    <t>SG4040.53853</t>
  </si>
  <si>
    <t>SF_QUOC_LO_50_E13_394</t>
  </si>
  <si>
    <t xml:space="preserve">Số E13/394, Quốc Lộ 50, Xã Đa Phước, huyện Bình Chánh, Tp  HCM</t>
  </si>
  <si>
    <t>10.6707563400, 106.6509552002</t>
  </si>
  <si>
    <t>07h00 - 12h30</t>
  </si>
  <si>
    <t>10.8630437851, 106.5696334839</t>
  </si>
  <si>
    <t>10.8630390167, 106.5697250366</t>
  </si>
  <si>
    <t>CO3002.58007</t>
  </si>
  <si>
    <t>COOPMART_GO_DAU</t>
  </si>
  <si>
    <t>Quốc lộ 22B, KP Rạch Sơn, Thị trấn Gò Dầu, Huyện Gò Dầu, Tỉnh Tây Ninh</t>
  </si>
  <si>
    <t>ST-08F-3013</t>
  </si>
  <si>
    <t>11.0895824432, 106.2646255493</t>
  </si>
  <si>
    <t>BO5001131B</t>
  </si>
  <si>
    <t>CH Sữa Gấu Con</t>
  </si>
  <si>
    <t>24C, Đoàn Hoàng Minh, P.5, TP.Bến Tre, Bến Tre</t>
  </si>
  <si>
    <t>AL-09F-4007</t>
  </si>
  <si>
    <t>Võ Thị Kim Xuân</t>
  </si>
  <si>
    <t>10.2369585037, 106.3697967529</t>
  </si>
  <si>
    <t>ST-03G-4004</t>
  </si>
  <si>
    <t>Lê Thị Thu Sương</t>
  </si>
  <si>
    <t>12h30 - 21h30</t>
  </si>
  <si>
    <t>10.2897129059, 105.7581558228</t>
  </si>
  <si>
    <t>HP20021001</t>
  </si>
  <si>
    <t>Hoàng Hạnh</t>
  </si>
  <si>
    <t>196, Lê Lợi, 4, Tuy Hòa, Phú Yên</t>
  </si>
  <si>
    <t>AL-05F-2001</t>
  </si>
  <si>
    <t>Nguyễn Đào Thụy Vi</t>
  </si>
  <si>
    <t>13.0897579193, 109.3092117310</t>
  </si>
  <si>
    <t>13.0934982300, 109.2926177979</t>
  </si>
  <si>
    <t>10.9697237015, 106.4972457886</t>
  </si>
  <si>
    <t>10.9697408676, 106.4972534180</t>
  </si>
  <si>
    <t>21.5749187469, 105.8502273560</t>
  </si>
  <si>
    <t>21.5749168396, 105.8502273560</t>
  </si>
  <si>
    <t>XH4001.122057</t>
  </si>
  <si>
    <t>BHX 29 - 31 Vườn Lài</t>
  </si>
  <si>
    <t>29 - 31 Vườn Lài, Phường An Phú Đông, Quận 12, TP HCM</t>
  </si>
  <si>
    <t>10.8587903976, 106.6922988892</t>
  </si>
  <si>
    <t>10.8588027954, 106.6922988892</t>
  </si>
  <si>
    <t>11.5044422150, 107.4872589111</t>
  </si>
  <si>
    <t>11.5044193268, 107.4872512817</t>
  </si>
  <si>
    <t>09h30 - 12h30</t>
  </si>
  <si>
    <t>10.8655004501, 106.6803665161</t>
  </si>
  <si>
    <t>10.8655014038, 106.6803665161</t>
  </si>
  <si>
    <t>CF4001.4941</t>
  </si>
  <si>
    <t>CF NHA BE</t>
  </si>
  <si>
    <t>12/10A Huỳnh Tấn Phát, Phú Xuân, Nhà Bè</t>
  </si>
  <si>
    <t>10.7071981430, 106.7274017334</t>
  </si>
  <si>
    <t>10.7369375229, 106.7150955200</t>
  </si>
  <si>
    <t>20.7871303558, 106.2444076538</t>
  </si>
  <si>
    <t>20.7870616913, 106.2445068359</t>
  </si>
  <si>
    <t>VM1009.18350</t>
  </si>
  <si>
    <t>VINMART R3-L1-08B, tổ hợp TTTM</t>
  </si>
  <si>
    <t>R3-L1-08B, tổ hợp TTTM, giáo dục và căn hộ Royal City, số 72 Nguyễn Trãi, P Thượng Đình, Q Thanh Xuân, TP Hà Nội</t>
  </si>
  <si>
    <t>21.0026340485, 105.8152008057</t>
  </si>
  <si>
    <t>21.0025386810, 105.8150024414</t>
  </si>
  <si>
    <t>11.2263069153, 108.7278823853</t>
  </si>
  <si>
    <t>11.2263069153, 108.7277908325</t>
  </si>
  <si>
    <t>XH4001.60739</t>
  </si>
  <si>
    <t>BHX Số 07 Ngô Quyền</t>
  </si>
  <si>
    <t xml:space="preserve">Số 07 Ngô Quyền,Kp2 , Phường Hiệp Phú TP  Thủ Đức,TP  Hồ Chí Minh</t>
  </si>
  <si>
    <t>10.8451099396, 106.7747802734</t>
  </si>
  <si>
    <t>10.0042514801, 105.8067016602</t>
  </si>
  <si>
    <t>10.0042695999, 105.8066940308</t>
  </si>
  <si>
    <t>KG40031QA0</t>
  </si>
  <si>
    <t>Family Mart Tầng 1,Trung Tâm Thương Mại Faifo Lane</t>
  </si>
  <si>
    <t>Tầng 1,Trung Tâm Thương Mại Faifo Lane, Số 2 Phan Văn Đáng, P.Thạnh Mỹ Lợi, Q.2, Hồ Chí Minh</t>
  </si>
  <si>
    <t>10.7767543793, 106.7566452026</t>
  </si>
  <si>
    <t>10.7767429352, 106.7566375732</t>
  </si>
  <si>
    <t>SH500417VZ</t>
  </si>
  <si>
    <t>166, Trần Quang Diệu, P.An Thới, Q.Bình Thủy, Cần Thơ</t>
  </si>
  <si>
    <t>AL-04A-4018</t>
  </si>
  <si>
    <t>Nguyễn Thị Chúc Mai</t>
  </si>
  <si>
    <t>10.0474023819, 105.7608108521</t>
  </si>
  <si>
    <t>VI4001.81138</t>
  </si>
  <si>
    <t>CC_RIVA_PAK504_NG_T_THANH</t>
  </si>
  <si>
    <t>504 Nguyễn Tất Thành, P 18, Q 4, TP Hồ Chí Minh</t>
  </si>
  <si>
    <t>10.7549190521, 106.7189102173</t>
  </si>
  <si>
    <t>10.7548265457, 106.7190628052</t>
  </si>
  <si>
    <t>VI4001.81454</t>
  </si>
  <si>
    <t>VMP_HCM_CC_THE_MANOR_2</t>
  </si>
  <si>
    <t>G10 &amp; G11 Tầng Trệt, The Manor Officetel, Số 91 Nguyễn Hữu Cảnh, Phường 22, Q Bình Thạnh, TP HCM ( The Manor 2 )</t>
  </si>
  <si>
    <t>10.7928476334, 106.7180633545</t>
  </si>
  <si>
    <t>10.7928962708, 106.7180328369</t>
  </si>
  <si>
    <t>11.5776882172, 108.9933929443</t>
  </si>
  <si>
    <t>11.5776853561, 108.9934310913</t>
  </si>
  <si>
    <t>XH4001.86143</t>
  </si>
  <si>
    <t>BHX 1033B đường 30/4</t>
  </si>
  <si>
    <t>1033B đường 30/4, Phường 11, Thành phố Vũng Tàu, Tỉnh Bà Rịa - Vũng Tàu</t>
  </si>
  <si>
    <t>10.4098815918, 107.1339645386</t>
  </si>
  <si>
    <t>10.4099159241, 107.1339416504</t>
  </si>
  <si>
    <t>10.8307886124, 106.6693725586</t>
  </si>
  <si>
    <t>10.8191652298, 106.6902465820</t>
  </si>
  <si>
    <t>XH4001.122063</t>
  </si>
  <si>
    <t>BHX Khu phố 1, Thị Trấn Tầm Vu</t>
  </si>
  <si>
    <t>Khu phố 1, Thị Trấn Tầm Vu, Huyện Châu Thành,Tỉnh Long An</t>
  </si>
  <si>
    <t>10.4903116226, 106.4249801636</t>
  </si>
  <si>
    <t>10.4463262558, 106.4679718018</t>
  </si>
  <si>
    <t>13.1121425629, 109.2979354858</t>
  </si>
  <si>
    <t>13.1121397018, 109.2979507446</t>
  </si>
  <si>
    <t>16.0705947876, 108.1479949951</t>
  </si>
  <si>
    <t>16.0705986023, 108.1479873657</t>
  </si>
  <si>
    <t>VM1009.47549</t>
  </si>
  <si>
    <t>VMP HNI CT4 TU HIEP</t>
  </si>
  <si>
    <t>Ki ốt số 08, tầng 1, tòa nhà chung cư CT4, khu đô thị mới Tứ Hiệp, xã Tứ Hiệp, huyện Thanh Trì,  Hà Nội</t>
  </si>
  <si>
    <t>20.9491786957, 105.8535308838</t>
  </si>
  <si>
    <t>20.9850101471, 105.8572463989</t>
  </si>
  <si>
    <t>ST-03F-3024</t>
  </si>
  <si>
    <t>Lê Thái Hoà</t>
  </si>
  <si>
    <t>10.9336805344, 106.7124481201</t>
  </si>
  <si>
    <t>ST-04A-1076</t>
  </si>
  <si>
    <t>Đặng Văn Giáp</t>
  </si>
  <si>
    <t>20.9603137970, 107.1556625366</t>
  </si>
  <si>
    <t>ST-03G-3004</t>
  </si>
  <si>
    <t>Võ Phan Khánh</t>
  </si>
  <si>
    <t>11.3080596924, 106.1087265015</t>
  </si>
  <si>
    <t>ST-12F-4001</t>
  </si>
  <si>
    <t>Quách Ngọc Thuỷ</t>
  </si>
  <si>
    <t>9.6127367020, 105.9692001343</t>
  </si>
  <si>
    <t>ST-02F-3029</t>
  </si>
  <si>
    <t>Huỳnh Tấn Lộc</t>
  </si>
  <si>
    <t>10.7412691116, 106.7025680542</t>
  </si>
  <si>
    <t>10.9206218719, 106.7337799072</t>
  </si>
  <si>
    <t>10.9471330643, 106.7534027100</t>
  </si>
  <si>
    <t>10.8517236710, 106.6653213501</t>
  </si>
  <si>
    <t>CO5021.124843</t>
  </si>
  <si>
    <t>COOP Tháp Mười</t>
  </si>
  <si>
    <t>Đường Hùng Vương, Thị trấn Mỹ An, Huyện Tháp Mười, Tỉnh Đồng Tháp</t>
  </si>
  <si>
    <t>ST-12F-4005</t>
  </si>
  <si>
    <t>Trần Thị Hồng Diễm</t>
  </si>
  <si>
    <t>10.5206832886, 105.8484344482</t>
  </si>
  <si>
    <t>10.8768272400, 106.7468490601</t>
  </si>
  <si>
    <t>10.8768072128, 106.7467803955</t>
  </si>
  <si>
    <t>10.4962558746, 105.4520797729</t>
  </si>
  <si>
    <t>10.4962406158, 105.4520339966</t>
  </si>
  <si>
    <t>VI5018.100386</t>
  </si>
  <si>
    <t>VM+ STG 491 Lê Hồng Phong</t>
  </si>
  <si>
    <t>491 Lê Hồng Phong, khóm 5, phường 3, TP Sóc Trăng, tỉnh Sóc Trăng</t>
  </si>
  <si>
    <t>9.5868997574, 105.9757232666</t>
  </si>
  <si>
    <t>9.5869369507, 105.9757080078</t>
  </si>
  <si>
    <t>CF4001.52042</t>
  </si>
  <si>
    <t>CH_CF_HOAG_ANH_THANH_BINH</t>
  </si>
  <si>
    <t>Tầng 01, Block C, Thuộc khu Hoàng Anh Thanh Bình, P Tân Hưng, Q 7</t>
  </si>
  <si>
    <t>10.7581405640, 106.7065582275</t>
  </si>
  <si>
    <t>10.7458324432, 106.6998825073</t>
  </si>
  <si>
    <t>10.8353948593, 106.6436004639</t>
  </si>
  <si>
    <t>10.8355264664, 106.6436843872</t>
  </si>
  <si>
    <t>10.9338712692, 107.2490921021</t>
  </si>
  <si>
    <t>10.9339494705, 107.2513656616</t>
  </si>
  <si>
    <t>CO4073.92051</t>
  </si>
  <si>
    <t>CM_SCA_PHAM_VAN_CHIEU</t>
  </si>
  <si>
    <t>359 Phạm văn Chiêu , Phường 14 , Quận Gò Vấp , TP HCM</t>
  </si>
  <si>
    <t>10.8506450653, 106.6535568237</t>
  </si>
  <si>
    <t>10.8509263992, 106.6534805298</t>
  </si>
  <si>
    <t>XH4001.86038</t>
  </si>
  <si>
    <t>BHX Thửa đất số 2440, 3086 và 3087</t>
  </si>
  <si>
    <t xml:space="preserve">Thửa đất số 2440, 3086 và 3087, tờ bản đồ số 04, ấp Mỹ Quới, TT  Cây Dương, H  Phụng Hiệp, T  Hậu Giang</t>
  </si>
  <si>
    <t>9.7809419632, 105.7373199463</t>
  </si>
  <si>
    <t>9.7809677124, 105.7371063232</t>
  </si>
  <si>
    <t>9.7809162140, 105.7374038696</t>
  </si>
  <si>
    <t>9.7809944153, 105.7374038696</t>
  </si>
  <si>
    <t>09h00 - 12h30</t>
  </si>
  <si>
    <t>21.0472831726, 105.8478698730</t>
  </si>
  <si>
    <t>21.0472221375, 105.8479385376</t>
  </si>
  <si>
    <t>XH4001.61778</t>
  </si>
  <si>
    <t>BHX 190 QL13, Phường Hiệp Bình Chánh</t>
  </si>
  <si>
    <t xml:space="preserve">190 QL13, Phường Hiệp Bình Chánh, TP  Thủ Đức, TP  Hồ Chí Minh</t>
  </si>
  <si>
    <t>10.8309116364, 106.7143249512</t>
  </si>
  <si>
    <t>10.8309049606, 106.7143325806</t>
  </si>
  <si>
    <t>VI4001.18814</t>
  </si>
  <si>
    <t>VM HOANG DIEU</t>
  </si>
  <si>
    <t xml:space="preserve">97 Hoàng Diệu 2,Phường Linh Trung,TP  Thủ Đức,TP  Hồ Chí Minh</t>
  </si>
  <si>
    <t>10.8566713333, 106.7650985718</t>
  </si>
  <si>
    <t>10.8566989899, 106.7650985718</t>
  </si>
  <si>
    <t>9.9987297058, 105.0948638916</t>
  </si>
  <si>
    <t>9.9987668991, 105.0949096680</t>
  </si>
  <si>
    <t>10.8748607635, 106.9448928833</t>
  </si>
  <si>
    <t>10.8748435974, 106.9448699951</t>
  </si>
  <si>
    <t>XH4001.109185</t>
  </si>
  <si>
    <t>BHX Tổ 8, Ấp 2</t>
  </si>
  <si>
    <t>Tổ 8, Ấp 2, Xã Phước Bình, Huyện Long Thành, Tỉnh Đồng Nai</t>
  </si>
  <si>
    <t>10.6595249176, 107.0367050171</t>
  </si>
  <si>
    <t>10.6595649719, 107.0367355347</t>
  </si>
  <si>
    <t>XH4001.82389</t>
  </si>
  <si>
    <t>BHX Số 296 - 298 đường số 8</t>
  </si>
  <si>
    <t>Số 296 - 298 đường số 8, Phường 11, Quận Gò Vấp, TP HCM, Việt Nam</t>
  </si>
  <si>
    <t>10.8450145721, 106.6594772339</t>
  </si>
  <si>
    <t>10.8449850082, 106.6595230103</t>
  </si>
  <si>
    <t>10.8575525284, 106.6266479492</t>
  </si>
  <si>
    <t>10.8575496674, 106.6266632080</t>
  </si>
  <si>
    <t>PT501713Z1</t>
  </si>
  <si>
    <t>Shop Vạn Thành</t>
  </si>
  <si>
    <t>150, Nguyễn Chí Thanh, P.Rạch Sỏi, TP.Rạch Giá, Kiên Giang</t>
  </si>
  <si>
    <t>AL-04G-4005</t>
  </si>
  <si>
    <t>Dương Kim Thoại</t>
  </si>
  <si>
    <t>9.9526014328, 105.1162796021</t>
  </si>
  <si>
    <t>09h00 - 12h00</t>
  </si>
  <si>
    <t>10.9169960022, 106.7710494995</t>
  </si>
  <si>
    <t>10.9170217514, 106.7710418701</t>
  </si>
  <si>
    <t>11.5628795624, 108.9905395508</t>
  </si>
  <si>
    <t>11.5628614426, 108.9905929565</t>
  </si>
  <si>
    <t>07h30 - 12h00</t>
  </si>
  <si>
    <t>10.4070472717, 107.1898498535</t>
  </si>
  <si>
    <t>10.4077711105, 107.1903686523</t>
  </si>
  <si>
    <t>12.6836748123, 108.0327911377</t>
  </si>
  <si>
    <t>12.6881523132, 108.0525970459</t>
  </si>
  <si>
    <t>10.8358163834, 106.7278823853</t>
  </si>
  <si>
    <t>10.8358001709, 106.7278823853</t>
  </si>
  <si>
    <t>10.6041326523, 107.0538330078</t>
  </si>
  <si>
    <t>10.6041402817, 107.0537948608</t>
  </si>
  <si>
    <t>DT501218OJ</t>
  </si>
  <si>
    <t>Chị Hiền</t>
  </si>
  <si>
    <t>97, Trần Hưng Đạo, P.Mỹ Thới, TP.Long Xuyên, An Giang</t>
  </si>
  <si>
    <t>AL-02B-4001</t>
  </si>
  <si>
    <t>Trần Thị Hậu</t>
  </si>
  <si>
    <t>10.3526659012, 105.4591140747</t>
  </si>
  <si>
    <t>XH4001.106727</t>
  </si>
  <si>
    <t>BHX Thửa đất số 166</t>
  </si>
  <si>
    <t xml:space="preserve">Thửa đất số 166, tờ bản đồ số 15, Đường ĐT 747, KP  Tân Mỹ, P  Thái Hòa, TX  Tân Uyên, Tỉnh Bình Dương</t>
  </si>
  <si>
    <t>10.9753770828, 106.7648544312</t>
  </si>
  <si>
    <t>10.9753351212, 106.7650146484</t>
  </si>
  <si>
    <t>XH4001.83183</t>
  </si>
  <si>
    <t>BHX Thửa đất số 118-321-346, Tờ bản đồ số 36</t>
  </si>
  <si>
    <t>Thửa đất số 118-321-346, Tờ bản đồ số 36, Ấp Hoà Hạ, Xã Kiến An, Huyện Chợ Mới, Tỉnh An Giang</t>
  </si>
  <si>
    <t>10.5541801453, 105.3901748657</t>
  </si>
  <si>
    <t>10.5540924072, 105.3902893066</t>
  </si>
  <si>
    <t>19.1305427551, 105.6161346436</t>
  </si>
  <si>
    <t>19.1305789948, 105.6162033081</t>
  </si>
  <si>
    <t>TL40041AZS</t>
  </si>
  <si>
    <t>Chị Liễu</t>
  </si>
  <si>
    <t>378, Huỳnh Tấn Phát, Bình Thuận, 7, HCM</t>
  </si>
  <si>
    <t>AL-08E-3002</t>
  </si>
  <si>
    <t>Thị Ngọc Yến</t>
  </si>
  <si>
    <t>10.7475118637, 106.7287673950</t>
  </si>
  <si>
    <t>13.0856113434, 109.3017349243</t>
  </si>
  <si>
    <t>13.0856227875, 109.3017425537</t>
  </si>
  <si>
    <t>VM1009.23350</t>
  </si>
  <si>
    <t>VM 138 PHU DIEN</t>
  </si>
  <si>
    <t>138 Phú Diễn,Quận Bắc Từ Liêm,TP Hà Nội</t>
  </si>
  <si>
    <t>21.0447635651, 105.7623596191</t>
  </si>
  <si>
    <t>21.0447597504, 105.7623443604</t>
  </si>
  <si>
    <t>9.2017869949, 105.1613769531</t>
  </si>
  <si>
    <t>9.2017173767, 105.1614074707</t>
  </si>
  <si>
    <t>10.8626832962, 106.9641571045</t>
  </si>
  <si>
    <t>10.8626966476, 106.9641647339</t>
  </si>
  <si>
    <t>XH4001.108787</t>
  </si>
  <si>
    <t>BHX 102/7B, Ấp 7</t>
  </si>
  <si>
    <t>102/7B, Ấp 7, Xã Xuân Thới Thượng, Huyện Hóc Môn, TP HCM</t>
  </si>
  <si>
    <t>10.8497896194, 106.5878372192</t>
  </si>
  <si>
    <t>10.8497877121, 106.5878143311</t>
  </si>
  <si>
    <t>10.9064168930, 106.6495666504</t>
  </si>
  <si>
    <t>10.9064111710, 106.6495895386</t>
  </si>
  <si>
    <t>21.0129947662, 105.7656936646</t>
  </si>
  <si>
    <t>21.0128555298, 105.7656021118</t>
  </si>
  <si>
    <t>TL40041B9S</t>
  </si>
  <si>
    <t>861, Trần Xuân Soạn, Tân Hưng, 7, HCM</t>
  </si>
  <si>
    <t>AL-10B-3010</t>
  </si>
  <si>
    <t>Trần Trúc Ngân</t>
  </si>
  <si>
    <t>10.7517127991, 106.6968460083</t>
  </si>
  <si>
    <t>10.8533678055, 106.6631546021</t>
  </si>
  <si>
    <t>10.8534059525, 106.6631317139</t>
  </si>
  <si>
    <t>LO500113GF</t>
  </si>
  <si>
    <t>Shop ABC</t>
  </si>
  <si>
    <t>64, Nguyễn Trung Trực, P.Vĩnh Lạc, TP.Rạch Giá, Kiên Giang</t>
  </si>
  <si>
    <t>AL-05C-4002</t>
  </si>
  <si>
    <t>Lê Kiều Hoa</t>
  </si>
  <si>
    <t>11h00 - 20h00</t>
  </si>
  <si>
    <t>10.0057172775, 105.0859756470</t>
  </si>
  <si>
    <t>10.8692197800, 107.0883789063</t>
  </si>
  <si>
    <t>10.8692731857, 107.0883865356</t>
  </si>
  <si>
    <t>XH4001.47416</t>
  </si>
  <si>
    <t xml:space="preserve">BHX 105 ĐHT 05, P  Tân Hưng Thuận</t>
  </si>
  <si>
    <t xml:space="preserve">105 ĐHT 05, P  Tân Hưng Thuận, Quận 12, TP  HCM</t>
  </si>
  <si>
    <t>10.8349800110, 106.6230239868</t>
  </si>
  <si>
    <t>10.8349323273, 106.6229782104</t>
  </si>
  <si>
    <t>10.7770195007, 106.7661437988</t>
  </si>
  <si>
    <t>10.7768812180, 106.7660064697</t>
  </si>
  <si>
    <t>MP40021KF5</t>
  </si>
  <si>
    <t>Siêu thị Phúc Lộc 68 B-07 Shophouse valora mizuki,</t>
  </si>
  <si>
    <t>B-07 Shophouse valora mizuki,, Đường số N4, X.Bình Hưng, H.Bình Chánh, Hồ Chí Minh</t>
  </si>
  <si>
    <t>10.7160882950, 106.6627120972</t>
  </si>
  <si>
    <t>10.7178649902, 106.6659469604</t>
  </si>
  <si>
    <t>TL400411NX</t>
  </si>
  <si>
    <t>Chị Xuân</t>
  </si>
  <si>
    <t>511, Hưng Phú, 8, 8, HCM</t>
  </si>
  <si>
    <t>10.7469882965, 106.6727600098</t>
  </si>
  <si>
    <t>10.7469511032, 106.6727828979</t>
  </si>
  <si>
    <t>KC10011043</t>
  </si>
  <si>
    <t>Nguyễn Hiền Giang 28A Lê Trọng Tấn</t>
  </si>
  <si>
    <t>28A Lê Trọng Tấn,P.La Khê,Q.Hà Đông,Hà Nội</t>
  </si>
  <si>
    <t>20.9630031586, 105.7639541626</t>
  </si>
  <si>
    <t>20.9629917145, 105.7638473511</t>
  </si>
  <si>
    <t>16.0761623383, 108.1723251343</t>
  </si>
  <si>
    <t>16.0760917664, 108.1723403931</t>
  </si>
  <si>
    <t>16.0811138153, 108.2173385620</t>
  </si>
  <si>
    <t>16.0803718567, 108.2182922363</t>
  </si>
  <si>
    <t>10.7589082718, 106.6878814697</t>
  </si>
  <si>
    <t>10.7588996887, 106.6878814697</t>
  </si>
  <si>
    <t>XH4001.82061</t>
  </si>
  <si>
    <t>BHX Thửa đất 29, Tờ bản đồ số 55</t>
  </si>
  <si>
    <t>Thửa đất 29, Tờ bản đồ số 55, Khu phố 01, Phường 5, Thị Xã Cai Lậy, Tỉnh Tiền Giang, Việt Nam</t>
  </si>
  <si>
    <t>10.4021329880, 106.1191253662</t>
  </si>
  <si>
    <t>10.4020195007, 106.1191635132</t>
  </si>
  <si>
    <t>ST-10D-3013</t>
  </si>
  <si>
    <t>Trần Hoàng Tú</t>
  </si>
  <si>
    <t>10.9040412903, 106.7682495117</t>
  </si>
  <si>
    <t>NT302212H7</t>
  </si>
  <si>
    <t>Chi Sương</t>
  </si>
  <si>
    <t>22/5, Lê Văn Phấn, Phú Thủy, Phan Thiết, Bình Thuận</t>
  </si>
  <si>
    <t>10.9205169678, 108.0957183838</t>
  </si>
  <si>
    <t>10.9343061447, 108.1125259399</t>
  </si>
  <si>
    <t>21.0432682037, 105.8096237183</t>
  </si>
  <si>
    <t>21.0432662964, 105.8096160889</t>
  </si>
  <si>
    <t>KC100110ES</t>
  </si>
  <si>
    <t>OKONO MART Số 128 ngõ Gốc Đề</t>
  </si>
  <si>
    <t xml:space="preserve">Số 128 ngõ Gốc Đề, Phường Hoàng Văn Thụ,q Hoàng Mai, Hà Nội </t>
  </si>
  <si>
    <t>20.9903392792, 105.8477096558</t>
  </si>
  <si>
    <t>20.9919700623, 105.8531188965</t>
  </si>
  <si>
    <t>TN101116UP</t>
  </si>
  <si>
    <t>86, Lê Trọng Tấn , Thanh Xuân, Hà Nội</t>
  </si>
  <si>
    <t>AL-08C-1008</t>
  </si>
  <si>
    <t>Đặng Thị Hằng</t>
  </si>
  <si>
    <t>20.9986991882, 105.8285980225</t>
  </si>
  <si>
    <t>12.2670621872, 109.1969375610</t>
  </si>
  <si>
    <t>12.2670602798, 109.1969528198</t>
  </si>
  <si>
    <t>13.9798860550, 107.9957656860</t>
  </si>
  <si>
    <t>13.9798622131, 107.9961090088</t>
  </si>
  <si>
    <t>XH4001.66067</t>
  </si>
  <si>
    <t>BHX Thửa đất số 213, Tờ bản đồ số 5</t>
  </si>
  <si>
    <t>Thửa đất số 213, Tờ bản đồ số 5, Đường Đoàn Hoàng Minh, Phường 5,Thành phố Bến Tre, Tỉnh Bến Tre</t>
  </si>
  <si>
    <t>10.2373914719, 106.3689880371</t>
  </si>
  <si>
    <t>10.2373704910, 106.3689880371</t>
  </si>
  <si>
    <t>21.0760650635, 105.6965103149</t>
  </si>
  <si>
    <t>21.0760574341, 105.6965332031</t>
  </si>
  <si>
    <t>Hoàng Vũ</t>
  </si>
  <si>
    <t>HV50051002</t>
  </si>
  <si>
    <t>Long Thành</t>
  </si>
  <si>
    <t>9, Đường 29/3, KP 3, Ba Tri, Ba Tri, Bến Tre</t>
  </si>
  <si>
    <t>AL-07E-4002</t>
  </si>
  <si>
    <t>Phạm Thị Thiên Hương</t>
  </si>
  <si>
    <t>12h00 - 20h30</t>
  </si>
  <si>
    <t>10.0417871475, 106.5933380127</t>
  </si>
  <si>
    <t>10.8350467682, 106.6430892944</t>
  </si>
  <si>
    <t>10.8350086212, 106.6430358887</t>
  </si>
  <si>
    <t>XH4001.64357</t>
  </si>
  <si>
    <t>BHX 71 đường Hiệp Bình</t>
  </si>
  <si>
    <t xml:space="preserve">71 đường Hiệp Bình, Khu phố 7, phường Hiệp Bình Chánh, TP  Thủ Đức, TP  Hồ Chí Minh</t>
  </si>
  <si>
    <t>10.8419284821, 106.7311859131</t>
  </si>
  <si>
    <t>10.8419332504, 106.7312088013</t>
  </si>
  <si>
    <t>LK300112VI</t>
  </si>
  <si>
    <t>Baby Hồng Ngọc</t>
  </si>
  <si>
    <t>Chợ Quang Vinh, DT746, Khánh Bình, Tân Uyên, Bình Dương</t>
  </si>
  <si>
    <t>11.0487928391, 106.7512893677</t>
  </si>
  <si>
    <t>11.0488433838, 106.7512664795</t>
  </si>
  <si>
    <t>10.9350986481, 108.1294479370</t>
  </si>
  <si>
    <t>10.9351692200, 108.1294860840</t>
  </si>
  <si>
    <t>16.0683822632, 108.1994552612</t>
  </si>
  <si>
    <t>16.0684146881, 108.1993560791</t>
  </si>
  <si>
    <t>10.7920637131, 106.9475097656</t>
  </si>
  <si>
    <t>10.7920627594, 106.9475021362</t>
  </si>
  <si>
    <t>ST-12F-3013</t>
  </si>
  <si>
    <t>Phan Văn Lộc</t>
  </si>
  <si>
    <t>10.8376293182, 106.6709594727</t>
  </si>
  <si>
    <t>10.8145132065, 106.6951751709</t>
  </si>
  <si>
    <t>10.8146047592, 106.6951828003</t>
  </si>
  <si>
    <t>21.4734096527, 105.8440170288</t>
  </si>
  <si>
    <t>21.4733695984, 105.8441390991</t>
  </si>
  <si>
    <t>21.0636425018, 105.8959274292</t>
  </si>
  <si>
    <t>21.0636482239, 105.8959350586</t>
  </si>
  <si>
    <t>12.6824541092, 108.0363082886</t>
  </si>
  <si>
    <t>12.6824312210, 108.0363235474</t>
  </si>
  <si>
    <t>10.6771211624, 106.7492294312</t>
  </si>
  <si>
    <t>10.6784496307, 106.7494506836</t>
  </si>
  <si>
    <t>MT5001159F</t>
  </si>
  <si>
    <t>Thiên Khánh</t>
  </si>
  <si>
    <t>799, Ấp Phong Thuận, Tân Mỹ Chánh, TP Mỹ Tho, Tiền Giang</t>
  </si>
  <si>
    <t>AL-01B-4009</t>
  </si>
  <si>
    <t>Nguyễn Thị Kim Thắm</t>
  </si>
  <si>
    <t>10.3511466980, 106.3939666748</t>
  </si>
  <si>
    <t>XH4001.57291</t>
  </si>
  <si>
    <t>BHX 119A Trần Mai Ninh</t>
  </si>
  <si>
    <t>119A Trần Mai Ninh , Phường 11, Quận Tân Bình, Tp Hồ Chí Minh</t>
  </si>
  <si>
    <t>10.8043804169, 106.6429901123</t>
  </si>
  <si>
    <t>10.7969465256, 106.6377182007</t>
  </si>
  <si>
    <t>KC1001107J</t>
  </si>
  <si>
    <t>Circle K 177</t>
  </si>
  <si>
    <t>177, Xuân Thủy,P.Dịch Vọng,Q.Cầu Giấy,Hà Nội</t>
  </si>
  <si>
    <t>21.0364475250, 105.7847290039</t>
  </si>
  <si>
    <t>21.0364475250, 105.7847213745</t>
  </si>
  <si>
    <t>10.5840406418, 105.3617935181</t>
  </si>
  <si>
    <t>10.5840482712, 105.3617935181</t>
  </si>
  <si>
    <t>20.9819030762, 105.8168640137</t>
  </si>
  <si>
    <t>20.9818077087, 105.8169631958</t>
  </si>
  <si>
    <t>10.5507612228, 105.4002685547</t>
  </si>
  <si>
    <t>10.5507555008, 105.4002838135</t>
  </si>
  <si>
    <t>XH4001.124267</t>
  </si>
  <si>
    <t>BHX 948-948A Tân Kỳ Tân Quý</t>
  </si>
  <si>
    <t>948-948A Tân Kỳ Tân Quý, Khu phố 5, Phường Bình Hưng Hòa, Quận Bình Tân, TP HCM</t>
  </si>
  <si>
    <t>10.7877635956, 106.5986785889</t>
  </si>
  <si>
    <t>10.7878932953, 106.5986709595</t>
  </si>
  <si>
    <t>CF4001.58539</t>
  </si>
  <si>
    <t>CH_CO_OP_FOOD_TAN_XUAN</t>
  </si>
  <si>
    <t>33/4A Ấp Mới 1, Xã Tân Xuân, Huyện Hóc Môn, Tp HCM</t>
  </si>
  <si>
    <t>10.8739709854, 106.6039886475</t>
  </si>
  <si>
    <t>10.8740377426, 106.6039352417</t>
  </si>
  <si>
    <t>TL400411O0</t>
  </si>
  <si>
    <t>Anh Nghĩa</t>
  </si>
  <si>
    <t>407A, Liên Tỉnh 5, 5, 8, HCM</t>
  </si>
  <si>
    <t>AL-03C-3015</t>
  </si>
  <si>
    <t>Huỳnh Thị Ngọc Hạnh</t>
  </si>
  <si>
    <t>10.7327432632, 106.6561203003</t>
  </si>
  <si>
    <t>10.9354343414, 107.2520294189</t>
  </si>
  <si>
    <t>10.9354600906, 107.2520217896</t>
  </si>
  <si>
    <t>10.8452024460, 106.7277603149</t>
  </si>
  <si>
    <t>10.8451986313, 106.7277450562</t>
  </si>
  <si>
    <t>10.7909221649, 106.5153198242</t>
  </si>
  <si>
    <t>10.7909412384, 106.5152893066</t>
  </si>
  <si>
    <t>15.1182680130, 108.7815246582</t>
  </si>
  <si>
    <t>15.1182556152, 108.7815246582</t>
  </si>
  <si>
    <t>13.9739723206, 108.0102462769</t>
  </si>
  <si>
    <t>13.9700202942, 108.0397796631</t>
  </si>
  <si>
    <t>NC401710BJ</t>
  </si>
  <si>
    <t>Kim Oanh -Q12</t>
  </si>
  <si>
    <t>515, Lê Văn Khương, 12, HCM</t>
  </si>
  <si>
    <t>10.8820028305, 106.6486358643</t>
  </si>
  <si>
    <t>10.8820419312, 106.6486434937</t>
  </si>
  <si>
    <t>21.2820892334, 105.3054122925</t>
  </si>
  <si>
    <t>21.2821254730, 105.3054122925</t>
  </si>
  <si>
    <t>VM1009.45324</t>
  </si>
  <si>
    <t>VMP HNI 443 DOI CAN</t>
  </si>
  <si>
    <t xml:space="preserve">443 Đội Cấn, phường Vĩnh Phúc, quận Ba Đình, Thành phố Hà Nội </t>
  </si>
  <si>
    <t>21.0379428864, 105.8106079102</t>
  </si>
  <si>
    <t>21.0379428864, 105.8106155396</t>
  </si>
  <si>
    <t>10.7368774414, 106.6712570190</t>
  </si>
  <si>
    <t>10.7366247177, 106.6714401245</t>
  </si>
  <si>
    <t>07h00 - 12h00</t>
  </si>
  <si>
    <t>10.9813623428, 106.6526489258</t>
  </si>
  <si>
    <t>10.9826087952, 106.6688232422</t>
  </si>
  <si>
    <t>CO4049.5098</t>
  </si>
  <si>
    <t>CM TRANG BANG</t>
  </si>
  <si>
    <t>Khu phố Lộc An, Phường Trảng Bàng, Thị xã Trảng Bàng,Tỉnh Tây Ninh</t>
  </si>
  <si>
    <t>ST-04A-3196</t>
  </si>
  <si>
    <t>Nguyễn Thị Thanh Xuân</t>
  </si>
  <si>
    <t>11.0308465958, 106.3563003540</t>
  </si>
  <si>
    <t>10.8151397705, 106.5862960815</t>
  </si>
  <si>
    <t>10.8151321411, 106.5862655640</t>
  </si>
  <si>
    <t>10.9207067490, 106.7312469482</t>
  </si>
  <si>
    <t>10.9208402634, 106.7313156128</t>
  </si>
  <si>
    <t>16.0551929474, 108.2373657227</t>
  </si>
  <si>
    <t>16.0552082062, 108.2373428345</t>
  </si>
  <si>
    <t>MK20021USK</t>
  </si>
  <si>
    <t>88A, Phương Sài, Nha Trang, Khánh Hòa</t>
  </si>
  <si>
    <t>12.2524318695, 109.1830368042</t>
  </si>
  <si>
    <t>12.2524547577, 109.1830520630</t>
  </si>
  <si>
    <t>10.9681072235, 106.8886108398</t>
  </si>
  <si>
    <t>10.9679164886, 106.8886032104</t>
  </si>
  <si>
    <t>21.1402149200, 105.7818908691</t>
  </si>
  <si>
    <t>21.1418418884, 105.7810058594</t>
  </si>
  <si>
    <t>10.4141054153, 107.2014465332</t>
  </si>
  <si>
    <t>10.4140863419, 107.2014541626</t>
  </si>
  <si>
    <t>10.3631048203, 107.0929565430</t>
  </si>
  <si>
    <t>10.3630561829, 107.0929641724</t>
  </si>
  <si>
    <t>08h30 - 12h00</t>
  </si>
  <si>
    <t>10.8348007202, 106.6064605713</t>
  </si>
  <si>
    <t>10.8348436356, 106.6063613892</t>
  </si>
  <si>
    <t>21.0534858704, 105.8390426636</t>
  </si>
  <si>
    <t>21.0534553528, 105.8390045166</t>
  </si>
  <si>
    <t>10.7907342911, 106.6223220825</t>
  </si>
  <si>
    <t>10.7907533646, 106.6223144531</t>
  </si>
  <si>
    <t>12.5544939041, 108.1697311401</t>
  </si>
  <si>
    <t>12.5459613800, 108.1696777344</t>
  </si>
  <si>
    <t>XH4001.104431</t>
  </si>
  <si>
    <t xml:space="preserve">BHX Đường Quốc Lộ 80, KP  Thị Tứ</t>
  </si>
  <si>
    <t xml:space="preserve">Đường Quốc Lộ 80, KP  Thị Tứ, TT  Sóc Sơn, Huyện Hòn Đất, Tỉnh Kiên Giang</t>
  </si>
  <si>
    <t>10.1234292984, 105.0155029297</t>
  </si>
  <si>
    <t>10.1235113144, 105.0156173706</t>
  </si>
  <si>
    <t>11.1398611069, 106.5619201660</t>
  </si>
  <si>
    <t>11.1399402618, 106.5619277954</t>
  </si>
  <si>
    <t>CT300210G0</t>
  </si>
  <si>
    <t>Đài Nguyên</t>
  </si>
  <si>
    <t>284, Thống Nhất, Liên Nghĩa, Đức Trọng, Lâm Đồng</t>
  </si>
  <si>
    <t>AL-09D-2009</t>
  </si>
  <si>
    <t>Trịnh Thị Tú Quyên</t>
  </si>
  <si>
    <t>11.7234506607, 108.3771286011</t>
  </si>
  <si>
    <t>10.8579826355, 106.6923446655</t>
  </si>
  <si>
    <t>10.8580951691, 106.6924285889</t>
  </si>
  <si>
    <t>11.0794067383, 106.6634063721</t>
  </si>
  <si>
    <t>11.0794010162, 106.6633987427</t>
  </si>
  <si>
    <t>10.9347095490, 107.2529754639</t>
  </si>
  <si>
    <t>10.9346837997, 107.2527847290</t>
  </si>
  <si>
    <t>11.7234268188, 108.3772125244</t>
  </si>
  <si>
    <t>11.7234563828, 108.3771362305</t>
  </si>
  <si>
    <t>G74003.42594</t>
  </si>
  <si>
    <t>G7 MINISTOP 192A Hoàng Diệu, p 9</t>
  </si>
  <si>
    <t>192A Hoàng Diệu, p 9, q 4, tp HCM</t>
  </si>
  <si>
    <t>10.7625465393, 106.7025833130</t>
  </si>
  <si>
    <t>10.7625865936, 106.7026138306</t>
  </si>
  <si>
    <t>12.6686000824, 108.0265274048</t>
  </si>
  <si>
    <t>12.6684465408, 108.0264968872</t>
  </si>
  <si>
    <t>TL4004129T</t>
  </si>
  <si>
    <t>Chị Bích</t>
  </si>
  <si>
    <t>24A, Lương Văn Can, 15, 8, HCM</t>
  </si>
  <si>
    <t>AL-08C-3031</t>
  </si>
  <si>
    <t>Trần Thị Tuyết Nhung</t>
  </si>
  <si>
    <t>10.7350397110, 106.6396636963</t>
  </si>
  <si>
    <t>14.3488130569, 108.0043487549</t>
  </si>
  <si>
    <t>14.3488302231, 108.0043716431</t>
  </si>
  <si>
    <t>XH4001.62108</t>
  </si>
  <si>
    <t>BHX 602 ,Nguyễn Duy Trinh</t>
  </si>
  <si>
    <t xml:space="preserve">602 Nguyễn Duy Trinh-Kp2-Phường Bình Trưng Đông-TP  Thủ Đức-TP  Hồ Chí Minh</t>
  </si>
  <si>
    <t>10.7883539200, 106.7771987915</t>
  </si>
  <si>
    <t>10.7883920670, 106.7771606445</t>
  </si>
  <si>
    <t>16.4854774475, 107.5901184082</t>
  </si>
  <si>
    <t>16.4850482941, 107.5903854370</t>
  </si>
  <si>
    <t>10.9552230835, 106.8511199951</t>
  </si>
  <si>
    <t>10.9552068710, 106.8511428833</t>
  </si>
  <si>
    <t>10.9773063660, 106.8656463623</t>
  </si>
  <si>
    <t>10.9772748947, 106.8656463623</t>
  </si>
  <si>
    <t>NT405415OS</t>
  </si>
  <si>
    <t>Cô Hiếu</t>
  </si>
  <si>
    <t>606, Nguyễn Kiệm, 4, Phú Nhuận, HCM</t>
  </si>
  <si>
    <t>10.8055686951, 106.6785278320</t>
  </si>
  <si>
    <t>10.8057098389, 106.6785736084</t>
  </si>
  <si>
    <t>16.4463043213, 107.5863800049</t>
  </si>
  <si>
    <t>16.4463825226, 107.5863876343</t>
  </si>
  <si>
    <t>VM1009.113879</t>
  </si>
  <si>
    <t>Vinmart+ Lô1-3/E-F, Tòa nhà MD Complex Tower</t>
  </si>
  <si>
    <t xml:space="preserve">Lô1-3/E-F, Tòa nhà MD Complex Tower, 68 Nguyễn Cơ Thạch, P  Cầu Diễn, Q  Nam Từ Liêm, TP Hà Nội</t>
  </si>
  <si>
    <t>21.0343418121, 105.7649307251</t>
  </si>
  <si>
    <t>21.0343990326, 105.7648696899</t>
  </si>
  <si>
    <t>11.0398530960, 107.2838363647</t>
  </si>
  <si>
    <t>11.0398712158, 107.2837982178</t>
  </si>
  <si>
    <t>11.0046329498, 106.7202529907</t>
  </si>
  <si>
    <t>11.0045547485, 106.7202453613</t>
  </si>
  <si>
    <t>13.8269901276, 109.1686706543</t>
  </si>
  <si>
    <t>13.8268871307, 109.1686248779</t>
  </si>
  <si>
    <t>10.7590169907, 106.9324645996</t>
  </si>
  <si>
    <t>10.7591152191, 106.9323806763</t>
  </si>
  <si>
    <t>20.4299354553, 106.1740951538</t>
  </si>
  <si>
    <t>20.4299278259, 106.1740646362</t>
  </si>
  <si>
    <t>15.8836879730, 108.3496932983</t>
  </si>
  <si>
    <t>15.8836832047, 108.3496932983</t>
  </si>
  <si>
    <t>NT40541E33</t>
  </si>
  <si>
    <t>Circle K 17, Cao Thắng</t>
  </si>
  <si>
    <t>17, Cao Thắng, P.2, Q.3, Hồ Chí Minh</t>
  </si>
  <si>
    <t>10.7699270248, 106.6820373535</t>
  </si>
  <si>
    <t>10.7690629959, 106.6832656860</t>
  </si>
  <si>
    <t>10.9694728851, 106.8963317871</t>
  </si>
  <si>
    <t>10.9722747803, 106.8946228027</t>
  </si>
  <si>
    <t>10.5503740311, 105.4010086060</t>
  </si>
  <si>
    <t>10.5503911972, 105.4010162354</t>
  </si>
  <si>
    <t>10.9469518661, 106.8168945313</t>
  </si>
  <si>
    <t>10.9469823837, 106.8168716431</t>
  </si>
  <si>
    <t>15.1239690781, 108.8063735962</t>
  </si>
  <si>
    <t>15.1239652634, 108.8063888550</t>
  </si>
  <si>
    <t>20.9111919403, 105.6454620361</t>
  </si>
  <si>
    <t>10.0057897568, 105.0859756470</t>
  </si>
  <si>
    <t>10.0057954788, 105.0859756470</t>
  </si>
  <si>
    <t>10.9300422668, 107.2450714111</t>
  </si>
  <si>
    <t>10.9300470352, 107.2450714111</t>
  </si>
  <si>
    <t>16.0828933716, 108.1458740234</t>
  </si>
  <si>
    <t>16.0852012634, 108.1443023682</t>
  </si>
  <si>
    <t>9.6049184799, 105.9724731445</t>
  </si>
  <si>
    <t>9.6049175262, 105.9724655151</t>
  </si>
  <si>
    <t>11.3217000961, 106.6334915161</t>
  </si>
  <si>
    <t>11.3217153549, 106.6334381104</t>
  </si>
  <si>
    <t>SG4040.44860</t>
  </si>
  <si>
    <t>Satra 173 DUONG 5C</t>
  </si>
  <si>
    <t xml:space="preserve">173 đường 5C, P  Bình Hưng Hòa B, Q  Bình Tân, TP  HCM</t>
  </si>
  <si>
    <t>10.8091545105, 106.5893707275</t>
  </si>
  <si>
    <t>10.8091354370, 106.5892486572</t>
  </si>
  <si>
    <t>11.3100748062, 106.0864028931</t>
  </si>
  <si>
    <t>11.3100690842, 106.0864028931</t>
  </si>
  <si>
    <t>16.0584697723, 108.1774291992</t>
  </si>
  <si>
    <t>16.0584030151, 108.1773071289</t>
  </si>
  <si>
    <t>NT30221080</t>
  </si>
  <si>
    <t>Hồng Hằng</t>
  </si>
  <si>
    <t>37, Trần Phú, Đức Nghĩa, Phan Thiết, Bình Thuận</t>
  </si>
  <si>
    <t>10.9240083694, 108.0953674316</t>
  </si>
  <si>
    <t>10.9239816666, 108.0953979492</t>
  </si>
  <si>
    <t>10.7815818787, 106.6060562134</t>
  </si>
  <si>
    <t>10.7815771103, 106.6060638428</t>
  </si>
  <si>
    <t>10.7594404221, 106.6574707031</t>
  </si>
  <si>
    <t>10.7594423294, 106.6574859619</t>
  </si>
  <si>
    <t>PH5002100F</t>
  </si>
  <si>
    <t>Sơn Hằng</t>
  </si>
  <si>
    <t>111, 111-Trần Quốc Toản, P.11, TP.Cao Lãnh, Đồng Tháp</t>
  </si>
  <si>
    <t>AL-06D-4003</t>
  </si>
  <si>
    <t>Huỳnh Thị Thùy Châu</t>
  </si>
  <si>
    <t>11h45 - 20h15</t>
  </si>
  <si>
    <t>10.4855976105, 105.5801086426</t>
  </si>
  <si>
    <t>10.8288335800, 106.5850296021</t>
  </si>
  <si>
    <t>10.8288249969, 106.5849685669</t>
  </si>
  <si>
    <t>10.9662113190, 106.8861770630</t>
  </si>
  <si>
    <t>10.9661684036, 106.8861846924</t>
  </si>
  <si>
    <t>TL2014103K</t>
  </si>
  <si>
    <t>Nguyễn Xuân Phúc</t>
  </si>
  <si>
    <t>Chợ Hà Nha, Đại hồng, Đại Lộc, Quảng Nam</t>
  </si>
  <si>
    <t>AL-07D-2007</t>
  </si>
  <si>
    <t>Hồ Thị Yến Ly</t>
  </si>
  <si>
    <t>15.8777790070, 108.0674057007</t>
  </si>
  <si>
    <t>NC40171J6C</t>
  </si>
  <si>
    <t>Trung Đức</t>
  </si>
  <si>
    <t>175/5 C, Song Hành, Đông Hưng Thuận, 12, HCM</t>
  </si>
  <si>
    <t>10.8307857513, 106.6246719360</t>
  </si>
  <si>
    <t>10.8308219910, 106.6246643066</t>
  </si>
  <si>
    <t>11.7759780884, 108.2895202637</t>
  </si>
  <si>
    <t>VM1009.23326</t>
  </si>
  <si>
    <t>VM 347 BACH MAI</t>
  </si>
  <si>
    <t>347 Bạch Mai,P Bạch Mai,Q Hai Bà Trưng, Hà Nội</t>
  </si>
  <si>
    <t>20.9731845856, 105.8455352783</t>
  </si>
  <si>
    <t>20.9752445221, 105.8449630737</t>
  </si>
  <si>
    <t>15.8777732849, 108.0674133301</t>
  </si>
  <si>
    <t>15.8777723312, 108.0674057007</t>
  </si>
  <si>
    <t>MK40021HK0</t>
  </si>
  <si>
    <t>Hoàng Dung</t>
  </si>
  <si>
    <t>666/56, Đường 3/2, 14, 10, HCM</t>
  </si>
  <si>
    <t>AL-04F-3005</t>
  </si>
  <si>
    <t>Võ Phương Na</t>
  </si>
  <si>
    <t>10.7675104141, 106.6605224609</t>
  </si>
  <si>
    <t>10.9528551102, 106.8779067993</t>
  </si>
  <si>
    <t>10.9527368546, 106.8777999878</t>
  </si>
  <si>
    <t>MK20021V02</t>
  </si>
  <si>
    <t>Trang</t>
  </si>
  <si>
    <t>131, Trần Nhật Duật, Nha Trang, Khánh Hòa</t>
  </si>
  <si>
    <t>12.2684679031, 109.1945648193</t>
  </si>
  <si>
    <t>12.2365989685, 109.1856079102</t>
  </si>
  <si>
    <t>10.6890373230, 106.6537094116</t>
  </si>
  <si>
    <t>10.6890153885, 106.6537017822</t>
  </si>
  <si>
    <t>CF4001.15501</t>
  </si>
  <si>
    <t>CF NGUYEN VAN TANG</t>
  </si>
  <si>
    <t>437 Nguyễn Văn Tăng, Ấp 1, Phường Long Thạnh Mỹ, TP. Thủ Đức, TP. Hồ Chí Minh</t>
  </si>
  <si>
    <t>11.2586593628, 106.1384124756</t>
  </si>
  <si>
    <t>11.2586650848, 106.1383743286</t>
  </si>
  <si>
    <t>NT405415UI</t>
  </si>
  <si>
    <t>Anh Huy</t>
  </si>
  <si>
    <t>460, Nguyễn Kiệm, 3, Phú Nhuận, HCM</t>
  </si>
  <si>
    <t>AL-07F-3002</t>
  </si>
  <si>
    <t>Đoàn Thị Thảo</t>
  </si>
  <si>
    <t>10.8022871017, 106.6791839600</t>
  </si>
  <si>
    <t>10.8023138046, 106.6791763306</t>
  </si>
  <si>
    <t>10.9571180344, 106.8360061646</t>
  </si>
  <si>
    <t>10.9571514130, 106.8361053467</t>
  </si>
  <si>
    <t>10.3950023651, 107.1343460083</t>
  </si>
  <si>
    <t>10.3953475952, 107.1339492798</t>
  </si>
  <si>
    <t>10.9267435074, 108.0959930420</t>
  </si>
  <si>
    <t>10.9312963486, 108.1053085327</t>
  </si>
  <si>
    <t>21.0175113678, 105.8555145264</t>
  </si>
  <si>
    <t>21.0177288055, 105.8555831909</t>
  </si>
  <si>
    <t>XH4001.47469</t>
  </si>
  <si>
    <t>BHX Số 305 Khu phố 1</t>
  </si>
  <si>
    <t xml:space="preserve">Số 305 Khu phố 1, P  Tân Thới Hiệp, Quận 12, TP  HCMS_BHX 305 KP1</t>
  </si>
  <si>
    <t>10.8631362915, 106.6384429932</t>
  </si>
  <si>
    <t>10.8631753922, 106.6384582520</t>
  </si>
  <si>
    <t>10.8724422455, 106.6206283569</t>
  </si>
  <si>
    <t>10.8724431992, 106.6206359863</t>
  </si>
  <si>
    <t>16.0546264648, 108.1833114624</t>
  </si>
  <si>
    <t>KC100110HQ</t>
  </si>
  <si>
    <t>T-Mart 47 Tân Xuân</t>
  </si>
  <si>
    <t xml:space="preserve">47 Tân Xuân, P. Đông Ngạc, Q.Bắc Từ Liêm, Hà Nội </t>
  </si>
  <si>
    <t>21.0882701874, 105.7857742310</t>
  </si>
  <si>
    <t>21.0883159637, 105.7858200073</t>
  </si>
  <si>
    <t>12.2798347473, 109.1949844360</t>
  </si>
  <si>
    <t>12.2800264359, 109.1949234009</t>
  </si>
  <si>
    <t>10.8495779037, 106.6509704590</t>
  </si>
  <si>
    <t>10.8495397568, 106.6508712769</t>
  </si>
  <si>
    <t>11.0359296799, 107.1737213135</t>
  </si>
  <si>
    <t>11.0359382629, 107.1737213135</t>
  </si>
  <si>
    <t>MP40021IGD</t>
  </si>
  <si>
    <t>Vân Sơn</t>
  </si>
  <si>
    <t>696, Tân Kỳ Tân Quý, Bình Hưng Hòa, Bình Tân, HCM</t>
  </si>
  <si>
    <t>10.7922058105, 106.6061477661</t>
  </si>
  <si>
    <t>10.7921991348, 106.6061325073</t>
  </si>
  <si>
    <t>15.8883934021, 108.3226013184</t>
  </si>
  <si>
    <t>15.8883752823, 108.3225021362</t>
  </si>
  <si>
    <t>12.7094745636, 108.3037185669</t>
  </si>
  <si>
    <t>12.7095088959, 108.3037109375</t>
  </si>
  <si>
    <t>10.9430141449, 107.0673599243</t>
  </si>
  <si>
    <t>10.9430065155, 107.0673599243</t>
  </si>
  <si>
    <t>16.4734210968, 107.5888900757</t>
  </si>
  <si>
    <t>16.4728908539, 107.5885467529</t>
  </si>
  <si>
    <t>21.2264347076, 105.7337112427</t>
  </si>
  <si>
    <t>15.9687547684, 108.1817474365</t>
  </si>
  <si>
    <t>15.9687242508, 108.1817855835</t>
  </si>
  <si>
    <t>10.6804666519, 106.6139144897</t>
  </si>
  <si>
    <t>10.6804485321, 106.6139068604</t>
  </si>
  <si>
    <t>21.1332073212, 105.9467773438</t>
  </si>
  <si>
    <t>21.1332416534, 105.9467315674</t>
  </si>
  <si>
    <t>VI4001.80293</t>
  </si>
  <si>
    <t>VMP_CC_36_TRINH_DINH_THAO</t>
  </si>
  <si>
    <t>Khu TM Tầng trệt, tháp A, KCH 36 Trịnh Đình Thảo, P Hòa Thạnh, Q Tân Phú, TP Hồ Chí Minh</t>
  </si>
  <si>
    <t>10.7746219635, 106.6358566284</t>
  </si>
  <si>
    <t>10.7745809555, 106.6358642578</t>
  </si>
  <si>
    <t>10.8913412094, 106.7846298218</t>
  </si>
  <si>
    <t>10.8913516998, 106.7846374512</t>
  </si>
  <si>
    <t>12.2506380081, 109.1877212524</t>
  </si>
  <si>
    <t>12.2505578995, 109.1874694824</t>
  </si>
  <si>
    <t>10.8797540665, 106.6359405518</t>
  </si>
  <si>
    <t>10.8797264099, 106.6359329224</t>
  </si>
  <si>
    <t>10.9541053772, 106.6014175415</t>
  </si>
  <si>
    <t>10.9540920258, 106.6014099121</t>
  </si>
  <si>
    <t>10.9468545914, 106.9872741699</t>
  </si>
  <si>
    <t>10.9468441010, 106.9872589111</t>
  </si>
  <si>
    <t>10.9338321686, 107.2531890869</t>
  </si>
  <si>
    <t>10.9338397980, 107.2532119751</t>
  </si>
  <si>
    <t>12.6801128387, 108.0493164063</t>
  </si>
  <si>
    <t>12.6801023483, 108.0493240356</t>
  </si>
  <si>
    <t>22.3377799988, 103.8484039307</t>
  </si>
  <si>
    <t>22.3377838135, 103.8483963013</t>
  </si>
  <si>
    <t>10.2548017502, 105.9710540771</t>
  </si>
  <si>
    <t>10.2547550201, 105.9709625244</t>
  </si>
  <si>
    <t>10.9052000046, 106.7568588257</t>
  </si>
  <si>
    <t>10.9051733017, 106.7568664551</t>
  </si>
  <si>
    <t>20.9436626434, 105.7403106689</t>
  </si>
  <si>
    <t>20.9436264038, 105.7403030396</t>
  </si>
  <si>
    <t>15.1221103668, 108.8079757690</t>
  </si>
  <si>
    <t>15.1221179962, 108.8079376221</t>
  </si>
  <si>
    <t>9.9980382919, 105.0962753296</t>
  </si>
  <si>
    <t>9.9980401993, 105.0962905884</t>
  </si>
  <si>
    <t>21.8726406097, 105.7490844727</t>
  </si>
  <si>
    <t>21.8726482391, 105.7490844727</t>
  </si>
  <si>
    <t>16.4720935822, 107.5822525024</t>
  </si>
  <si>
    <t>16.4719257355, 107.5821762085</t>
  </si>
  <si>
    <t>10.8067750931, 105.3445281982</t>
  </si>
  <si>
    <t>10.8067464828, 105.3445587158</t>
  </si>
  <si>
    <t>9.2923669815, 105.7163619995</t>
  </si>
  <si>
    <t>9.2923841476, 105.7163696289</t>
  </si>
  <si>
    <t>TL40041KUA</t>
  </si>
  <si>
    <t>TH Cao Phát</t>
  </si>
  <si>
    <t>360, Huỳnh Tấn Phát, Bình Thuận, 7, HCM</t>
  </si>
  <si>
    <t>AL-05G-3008</t>
  </si>
  <si>
    <t>Nguyễn Thị Tuyết Mai</t>
  </si>
  <si>
    <t>10.7480468750, 106.7288055420</t>
  </si>
  <si>
    <t>11.5785350800, 108.9950485229</t>
  </si>
  <si>
    <t>11.5785341263, 108.9950485229</t>
  </si>
  <si>
    <t>11.5985221863, 109.0365905762</t>
  </si>
  <si>
    <t>11.5985002518, 109.0365219116</t>
  </si>
  <si>
    <t>10.8441915512, 106.5998992920</t>
  </si>
  <si>
    <t>10.8441915512, 106.5999145508</t>
  </si>
  <si>
    <t>16.0669841766, 108.2136383057</t>
  </si>
  <si>
    <t>16.0669479370, 108.2135086060</t>
  </si>
  <si>
    <t>MK40021JK5</t>
  </si>
  <si>
    <t>Anh Duy</t>
  </si>
  <si>
    <t>84A, Tôn Thất Hiệp, 13, 11, HCM</t>
  </si>
  <si>
    <t>AL-07D-3014</t>
  </si>
  <si>
    <t>Nguyễn Thị Ngọc Diễm</t>
  </si>
  <si>
    <t>10.7645244598, 106.6535491943</t>
  </si>
  <si>
    <t>TB101212N9</t>
  </si>
  <si>
    <t>Cô Hương (DNTN Thu</t>
  </si>
  <si>
    <t>305, Tôn Đức Thắng, Quang Trung, Đống Đa, Hà Nội</t>
  </si>
  <si>
    <t>AL-04A-1048</t>
  </si>
  <si>
    <t>21.0196590424, 105.8304824829</t>
  </si>
  <si>
    <t>21.0196495056, 105.8304672241</t>
  </si>
  <si>
    <t>13.0882558823, 109.3097839355</t>
  </si>
  <si>
    <t>13.1094875336, 109.2872924805</t>
  </si>
  <si>
    <t>VI2003.83255</t>
  </si>
  <si>
    <t>VMP_DNG_69_NGUYEN_HOANG</t>
  </si>
  <si>
    <t>69 Nguyễn Hoàng, Phường Hải Châu 2, Quận Hải Châu, Đà Nẵng</t>
  </si>
  <si>
    <t>16.0574378967, 108.2130661011</t>
  </si>
  <si>
    <t>16.0633144379, 108.2141952515</t>
  </si>
  <si>
    <t>12.6917762756, 108.0628890991</t>
  </si>
  <si>
    <t>12.6920557022, 108.0629119873</t>
  </si>
  <si>
    <t>MK40021QUJ</t>
  </si>
  <si>
    <t>Chị Ly</t>
  </si>
  <si>
    <t>76, Bùi Thế Mỹ, 10, Tân Bình, HCM</t>
  </si>
  <si>
    <t>07h45 - 11h45</t>
  </si>
  <si>
    <t>10.7922449112, 106.6163940430</t>
  </si>
  <si>
    <t>10.7855567932, 106.6483306885</t>
  </si>
  <si>
    <t>16.0429935455, 108.2114257813</t>
  </si>
  <si>
    <t>16.0429954529, 108.2114257813</t>
  </si>
  <si>
    <t>10.8077945709, 106.7053985596</t>
  </si>
  <si>
    <t>10.8078765869, 106.7053756714</t>
  </si>
  <si>
    <t>14.0305747986, 107.9882583618</t>
  </si>
  <si>
    <t>14.0306282043, 107.9883270264</t>
  </si>
  <si>
    <t>16.0159816742, 108.2050476074</t>
  </si>
  <si>
    <t>16.0157890320, 108.2051315308</t>
  </si>
  <si>
    <t>10.9701919556, 106.7139892578</t>
  </si>
  <si>
    <t>10.9701719284, 106.7139892578</t>
  </si>
  <si>
    <t>PT403513BN</t>
  </si>
  <si>
    <t>Mi Mi</t>
  </si>
  <si>
    <t>78, Trường Chinh, 12, Tân Bình, HCM</t>
  </si>
  <si>
    <t>10.7938470840, 106.6516265869</t>
  </si>
  <si>
    <t>10.7938833237, 106.6515808105</t>
  </si>
  <si>
    <t>10.9806766510, 106.8918685913</t>
  </si>
  <si>
    <t>10.9808683395, 106.8919296265</t>
  </si>
  <si>
    <t>20.4164562225, 106.1834640503</t>
  </si>
  <si>
    <t>20.4164619446, 106.1835098267</t>
  </si>
  <si>
    <t>12.2135810852, 109.1973953247</t>
  </si>
  <si>
    <t>12.2135581970, 109.1974182129</t>
  </si>
  <si>
    <t>TA100313OH</t>
  </si>
  <si>
    <t>Bi mini mart</t>
  </si>
  <si>
    <t>178, Ngọc Thụy, Ngọc Lâm, Long Biên, Hà Nội</t>
  </si>
  <si>
    <t>21.0534782410, 105.8645248413</t>
  </si>
  <si>
    <t>21.0534858704, 105.8644485474</t>
  </si>
  <si>
    <t>11.5499744415, 107.8135604858</t>
  </si>
  <si>
    <t>11.5500984192, 107.8135223389</t>
  </si>
  <si>
    <t>13.9090881348, 108.9158020020</t>
  </si>
  <si>
    <t>13.9090595245, 108.9158248901</t>
  </si>
  <si>
    <t>10.5857343674, 107.2085418701</t>
  </si>
  <si>
    <t>10.5858049393, 107.2085266113</t>
  </si>
  <si>
    <t>11.1598482132, 107.2619552612</t>
  </si>
  <si>
    <t>11.1598348618, 107.2619171143</t>
  </si>
  <si>
    <t>12.6684789658, 108.0382614136</t>
  </si>
  <si>
    <t>12.6684932709, 108.0382003784</t>
  </si>
  <si>
    <t>VC3002.48051</t>
  </si>
  <si>
    <t>Vinmart Biên Hòa</t>
  </si>
  <si>
    <t>TTTM Vincom Biên Hòa-Đồng Nai,1096 Phạm Văn Thuận,KP 2,Tân Mai,TP Biên Hoà,Đồng Nai</t>
  </si>
  <si>
    <t>10.9575471878, 106.8433761597</t>
  </si>
  <si>
    <t>10.9575214386, 106.8433456421</t>
  </si>
  <si>
    <t>10.4133892059, 107.2195281982</t>
  </si>
  <si>
    <t>10.4133872986, 107.2195205688</t>
  </si>
  <si>
    <t>MK400213AD</t>
  </si>
  <si>
    <t>101, Phạm Văn Hai, 3, Tân Bình, HCM</t>
  </si>
  <si>
    <t>10.7932271957, 106.6626052856</t>
  </si>
  <si>
    <t>10.7931909561, 106.6625900269</t>
  </si>
  <si>
    <t>10.8320188522, 106.6776123047</t>
  </si>
  <si>
    <t>10.8321428299, 106.6775741577</t>
  </si>
  <si>
    <t>16.4727993011, 107.5885009766</t>
  </si>
  <si>
    <t>16.4727764130, 107.5884933472</t>
  </si>
  <si>
    <t>17.7565956116, 106.4222717285</t>
  </si>
  <si>
    <t>17.7566928864, 106.4222183228</t>
  </si>
  <si>
    <t>AL20011157</t>
  </si>
  <si>
    <t>TP Ut Hiên</t>
  </si>
  <si>
    <t>26, Quốc Lộ 14, Hòa Thuận, Đạt Lý, Đăk Lăk</t>
  </si>
  <si>
    <t>AL-08C-2049</t>
  </si>
  <si>
    <t>Nguyễn Thảo Tiên</t>
  </si>
  <si>
    <t>12.6722211838, 108.0295257568</t>
  </si>
  <si>
    <t>21.0874404907, 105.6611633301</t>
  </si>
  <si>
    <t>21.0874385834, 105.6611633301</t>
  </si>
  <si>
    <t>20.9516525269, 105.8081588745</t>
  </si>
  <si>
    <t>20.9516010284, 105.8081893921</t>
  </si>
  <si>
    <t>16.4644393921, 107.6001434326</t>
  </si>
  <si>
    <t>16.4645195007, 107.6001586914</t>
  </si>
  <si>
    <t>MK20021271</t>
  </si>
  <si>
    <t>12.2771720886, 109.1969299316</t>
  </si>
  <si>
    <t>12.2771406174, 109.1968307495</t>
  </si>
  <si>
    <t>10.9726810455, 106.4800338745</t>
  </si>
  <si>
    <t>10.9726991653, 106.4800491333</t>
  </si>
  <si>
    <t>TA10031096</t>
  </si>
  <si>
    <t>Co Cham</t>
  </si>
  <si>
    <t>so nha 76 ngo 1 phu vien, bo de, long bien, Ha noi</t>
  </si>
  <si>
    <t>21.0386981964, 105.8674545288</t>
  </si>
  <si>
    <t>21.0385684967, 105.8675689697</t>
  </si>
  <si>
    <t>10.8085889816, 106.6951370239</t>
  </si>
  <si>
    <t>10.8085803986, 106.6950836182</t>
  </si>
  <si>
    <t>20.9491577148, 105.8450622559</t>
  </si>
  <si>
    <t>20.9491558075, 105.8450546265</t>
  </si>
  <si>
    <t>10.5635328293, 107.4232940674</t>
  </si>
  <si>
    <t>10.5635280609, 107.4233245850</t>
  </si>
  <si>
    <t>PT4035131S</t>
  </si>
  <si>
    <t>Quỳnh Hương (Chị Hồng)</t>
  </si>
  <si>
    <t>128, Huỳnh Văn Nghệ, 15, Tân Bình, HCM</t>
  </si>
  <si>
    <t>10.8295612335, 106.6393890381</t>
  </si>
  <si>
    <t>10.8295602798, 106.6394271851</t>
  </si>
  <si>
    <t>14.3501005173, 108.0027084351</t>
  </si>
  <si>
    <t>14.3500957489, 108.0027084351</t>
  </si>
  <si>
    <t>10.7632207870, 106.7039413452</t>
  </si>
  <si>
    <t>10.7632160187, 106.7039642334</t>
  </si>
  <si>
    <t>XH4001.109325</t>
  </si>
  <si>
    <t>BHX Số 191-193-193A-195 Hoàng Hữu Nam</t>
  </si>
  <si>
    <t xml:space="preserve">Số 191-193-193A-195 Hoàng Hữu Nam, KP 5, P  Tân Phú, TP  Thủ Đức, TP  Hồ Chí Minh</t>
  </si>
  <si>
    <t>10.8581523895, 106.8135147095</t>
  </si>
  <si>
    <t>10.8581714630, 106.8135452271</t>
  </si>
  <si>
    <t>LD5004104R</t>
  </si>
  <si>
    <t>Dũ Đức</t>
  </si>
  <si>
    <t>343, Trần Hưng Đạo, P.I, TP.Vị Thanh, Hậu Giang</t>
  </si>
  <si>
    <t>AL-04A-4034</t>
  </si>
  <si>
    <t>Huỳnh Diệu Xuân</t>
  </si>
  <si>
    <t>9.7822494507, 105.4655532837</t>
  </si>
  <si>
    <t>9.7822723389, 105.4655227661</t>
  </si>
  <si>
    <t>PT40351Q12</t>
  </si>
  <si>
    <t>Bé Yêu</t>
  </si>
  <si>
    <t>72, Thống Nhất, P Tân Thành, Tân Phú, HCM</t>
  </si>
  <si>
    <t>10.7910013199, 106.6331024170</t>
  </si>
  <si>
    <t>10.7910013199, 106.6330337524</t>
  </si>
  <si>
    <t>10.9012708664, 106.7614746094</t>
  </si>
  <si>
    <t>10.9011316299, 106.7614822388</t>
  </si>
  <si>
    <t>16.1008434296, 108.2503890991</t>
  </si>
  <si>
    <t>16.1008548737, 108.2503814697</t>
  </si>
  <si>
    <t>20.9458198547, 105.8076248169</t>
  </si>
  <si>
    <t>20.9458293915, 105.8076248169</t>
  </si>
  <si>
    <t>07h15 - 12h00</t>
  </si>
  <si>
    <t>20.8952922821, 105.8877182007</t>
  </si>
  <si>
    <t>20.8952941895, 105.8877410889</t>
  </si>
  <si>
    <t>CO5008.18229</t>
  </si>
  <si>
    <t>COOP BEN TRE</t>
  </si>
  <si>
    <t>26A Trần Quốc Tuấn,Phường 4,Thành phố Bến Tre,Tỉnh Bến Tre</t>
  </si>
  <si>
    <t>ST-04A-4032</t>
  </si>
  <si>
    <t>Nguyễn Thị Trúc</t>
  </si>
  <si>
    <t>10.2415733337, 106.3771286011</t>
  </si>
  <si>
    <t>21.0207195282, 105.8154220581</t>
  </si>
  <si>
    <t>21.0206928253, 105.8153991699</t>
  </si>
  <si>
    <t>10.7061309814, 106.5978240967</t>
  </si>
  <si>
    <t>10.7060003281, 106.5979385376</t>
  </si>
  <si>
    <t>RV300112IT</t>
  </si>
  <si>
    <t>Ngọc Bảo</t>
  </si>
  <si>
    <t>787, Binh Gia, 10, Vung Tau, Ba Ria - Vung Tau</t>
  </si>
  <si>
    <t>10.3842773438, 107.1156234741</t>
  </si>
  <si>
    <t>10.3842754364, 107.1156387329</t>
  </si>
  <si>
    <t>10.8494424820, 106.6507644653</t>
  </si>
  <si>
    <t>10.8494482040, 106.6507415771</t>
  </si>
  <si>
    <t>10.3441705704, 107.0813217163</t>
  </si>
  <si>
    <t>10.3442020416, 107.0813140869</t>
  </si>
  <si>
    <t>11.9117259979, 109.1516265869</t>
  </si>
  <si>
    <t>11.9116344452, 109.1515731812</t>
  </si>
  <si>
    <t>12.2136020660, 109.1974563599</t>
  </si>
  <si>
    <t>12.2135572433, 109.1974258423</t>
  </si>
  <si>
    <t>ST-08D-4012</t>
  </si>
  <si>
    <t>Lê Thị Mỹ Duyên</t>
  </si>
  <si>
    <t>10.2546072006, 106.3597717285</t>
  </si>
  <si>
    <t>XH4001.82440</t>
  </si>
  <si>
    <t>BHX Thửa đất số 743, Tờ bản đồ số 11</t>
  </si>
  <si>
    <t xml:space="preserve">Thửa đất số 743, Tờ bản đồ số 11, đường ĐH20, Ấp An Lộc Thị, Xã An Thạnh, H  Mỏ Cày Nam, Tỉnh Bến Tre</t>
  </si>
  <si>
    <t>10.0989542007, 106.2912750244</t>
  </si>
  <si>
    <t>10.0989265442, 106.2913055420</t>
  </si>
  <si>
    <t>11.2771177292, 106.1300964355</t>
  </si>
  <si>
    <t>11.2770481110, 106.1300888062</t>
  </si>
  <si>
    <t>SG4040.31088</t>
  </si>
  <si>
    <t>SF CU CHI 3</t>
  </si>
  <si>
    <t xml:space="preserve">67 Tỉnh lộ 8, Phường Tân Thạnh Tây, Huyện Củ Chi, Tp  HCM</t>
  </si>
  <si>
    <t>10.9837293625, 106.5738220215</t>
  </si>
  <si>
    <t>10.9837360382, 106.5738449097</t>
  </si>
  <si>
    <t>11.0512609482, 106.9195709229</t>
  </si>
  <si>
    <t>11.0513753891, 106.9194946289</t>
  </si>
  <si>
    <t>KT3006108M</t>
  </si>
  <si>
    <t>Lâm Thuận</t>
  </si>
  <si>
    <t>6, Phan Đình Phùng, Thanh Bình, Biên Hòa, Đồng Nai</t>
  </si>
  <si>
    <t>AL-06F-3009</t>
  </si>
  <si>
    <t>10.9476032257, 106.8165206909</t>
  </si>
  <si>
    <t>10.9475784302, 106.8165206909</t>
  </si>
  <si>
    <t>11.7279653549, 108.3726501465</t>
  </si>
  <si>
    <t>11.7279672623, 108.3726654053</t>
  </si>
  <si>
    <t>10.9733877182, 106.8671035767</t>
  </si>
  <si>
    <t>10.9734134674, 106.8671112061</t>
  </si>
  <si>
    <t>PT2001111L</t>
  </si>
  <si>
    <t>Diễm</t>
  </si>
  <si>
    <t>152, Nguyễn Hữu Thọ, Hòa Thuận Tây, Hải Châu, Đà Nẵng</t>
  </si>
  <si>
    <t>16.0437812805, 108.2102203369</t>
  </si>
  <si>
    <t>XH4001.109222</t>
  </si>
  <si>
    <t>BHX 635 Tổ 14, Ấp Ngãi Hội 1</t>
  </si>
  <si>
    <t>635 Tổ 14, Ấp Ngãi Hội 1, Thị Trấn Đại Ngãi, Huyện Long Phú, Tỉnh Sóc Trăng</t>
  </si>
  <si>
    <t>9.7308149338, 106.0728988647</t>
  </si>
  <si>
    <t>9.7307682037, 106.0728530884</t>
  </si>
  <si>
    <t>10.7958164215, 106.6187896729</t>
  </si>
  <si>
    <t>10.7957944870, 106.6188201904</t>
  </si>
  <si>
    <t>11.9401540756, 108.4323730469</t>
  </si>
  <si>
    <t>11.9401807785, 108.4323425293</t>
  </si>
  <si>
    <t>20.9164066315, 105.8724441528</t>
  </si>
  <si>
    <t>20.9164123535, 105.8724517822</t>
  </si>
  <si>
    <t>TA1003122W</t>
  </si>
  <si>
    <t>43, Chợ Gia Lâm, Long Biên, Hà Nội</t>
  </si>
  <si>
    <t>21.0466842651, 105.8755569458</t>
  </si>
  <si>
    <t>21.0466690063, 105.8755187988</t>
  </si>
  <si>
    <t>GD4018.5629</t>
  </si>
  <si>
    <t>S_HOME PRESH MART 27 Lô M đường số 3,Khu dân cư PhúMỹ</t>
  </si>
  <si>
    <t>27 Lô M đường số 3,Khu dân cư PhúMỹ,P PhúMỹ,Q 7,Tp HCM</t>
  </si>
  <si>
    <t>10.7137718201, 106.7322998047</t>
  </si>
  <si>
    <t>10.7137517929, 106.7323074341</t>
  </si>
  <si>
    <t>13.7542552948, 109.2078399658</t>
  </si>
  <si>
    <t>13.7541437149, 109.2078704834</t>
  </si>
  <si>
    <t>XH4001.89793</t>
  </si>
  <si>
    <t>BHX Tổ 1 Khu Phố 5</t>
  </si>
  <si>
    <t xml:space="preserve">Tổ 1, Khu Phố 5, P  Hắc Dịch, TX  Phú Mỹ, Tỉnh Bà Rịa - Vũng Tàu</t>
  </si>
  <si>
    <t>10.6419820786, 107.1221466064</t>
  </si>
  <si>
    <t>10.6419916153, 107.1221313477</t>
  </si>
  <si>
    <t>TT100713KO</t>
  </si>
  <si>
    <t>Bảo Ngân</t>
  </si>
  <si>
    <t>767, Vũ Hữu Lợi, X.Nam Vân, TP.Nam Định, Nam Định</t>
  </si>
  <si>
    <t>20.3988780975, 106.1802825928</t>
  </si>
  <si>
    <t>20.3988838196, 106.1802444458</t>
  </si>
  <si>
    <t>13.0897197723, 109.3093490601</t>
  </si>
  <si>
    <t>13.0897207260, 109.3093643188</t>
  </si>
  <si>
    <t>PT40351F02</t>
  </si>
  <si>
    <t>Shop Kim Lợi</t>
  </si>
  <si>
    <t>70_70A, Tân Kỳ Tân Quý, Tây Thạnh, Tân Phú, HCM</t>
  </si>
  <si>
    <t>AL-04A-3108</t>
  </si>
  <si>
    <t>Đinh Thụy Hoàng Anh</t>
  </si>
  <si>
    <t>10.8038482666, 106.6339492798</t>
  </si>
  <si>
    <t>PT4035140B</t>
  </si>
  <si>
    <t>Minh Anh</t>
  </si>
  <si>
    <t>80, Thân Nhân Trung, 13, Tân Bình, HCM</t>
  </si>
  <si>
    <t>10.8046541214, 106.6425399780</t>
  </si>
  <si>
    <t>10.8046474457, 106.6425552368</t>
  </si>
  <si>
    <t>15.4379491806, 108.6482772827</t>
  </si>
  <si>
    <t>15.4379634857, 108.6483078003</t>
  </si>
  <si>
    <t>16.4103736877, 107.6793060303</t>
  </si>
  <si>
    <t>16.3543434143, 107.7366638184</t>
  </si>
  <si>
    <t>10.3573274612, 106.3669281006</t>
  </si>
  <si>
    <t>10.3574275970, 106.3667984009</t>
  </si>
  <si>
    <t>16.0138950348, 108.2058258057</t>
  </si>
  <si>
    <t>16.0137557983, 108.2056655884</t>
  </si>
  <si>
    <t>10.5346117020, 107.4007415771</t>
  </si>
  <si>
    <t>10.5346145630, 107.4007644653</t>
  </si>
  <si>
    <t>ST-06B-4001</t>
  </si>
  <si>
    <t>Võ Thị Kiều Phương</t>
  </si>
  <si>
    <t>10.6376228333, 106.4824981689</t>
  </si>
  <si>
    <t>VI4001.50785</t>
  </si>
  <si>
    <t>VMP_79_LIEN_KHU_5_6</t>
  </si>
  <si>
    <t xml:space="preserve">79 liên khu 5-6 KP 5, Phường Bình Hưng Hòa, Quận Bình Tân , TP  HCM</t>
  </si>
  <si>
    <t>10.7901439667, 106.5912857056</t>
  </si>
  <si>
    <t>10.7901172638, 106.5913772583</t>
  </si>
  <si>
    <t>TN101116LF</t>
  </si>
  <si>
    <t xml:space="preserve">Nguyễn Thị Liễu </t>
  </si>
  <si>
    <t>83, Hạ Đình, Thanh Xuân, Hà Nội</t>
  </si>
  <si>
    <t>20.9909343719, 105.8067703247</t>
  </si>
  <si>
    <t>20.9909458160, 105.8067626953</t>
  </si>
  <si>
    <t>VM1009.40555</t>
  </si>
  <si>
    <t>VM 67 TO NGOC VAN</t>
  </si>
  <si>
    <t>Số 16 ngõ 67 Tô Ngọc Vân, Quảng An, Tây Hồ, Hà Nội</t>
  </si>
  <si>
    <t>21.0675773621, 105.8261413574</t>
  </si>
  <si>
    <t>21.0676651001, 105.8261032104</t>
  </si>
  <si>
    <t>16.0864582062, 108.2395553589</t>
  </si>
  <si>
    <t>16.0863456726, 108.2395553589</t>
  </si>
  <si>
    <t>MK40021RP0</t>
  </si>
  <si>
    <t>Circle K 150, Nguyễn Thị Nhỏ</t>
  </si>
  <si>
    <t>150, Nguyễn Thị Nhỏ, P.15, Q.11, Hồ Chí Minh</t>
  </si>
  <si>
    <t>10.7738590240, 106.6530914307</t>
  </si>
  <si>
    <t>10.7738485336, 106.6530838013</t>
  </si>
  <si>
    <t>KC100110GV</t>
  </si>
  <si>
    <t>OKONO MART 202 Trương Định</t>
  </si>
  <si>
    <t xml:space="preserve">202 Trương Định, P.Tương Mai, Q.Hoàng Mai, Hà Nội </t>
  </si>
  <si>
    <t>20.9903755188, 105.8477478027</t>
  </si>
  <si>
    <t>ST-05F-4005</t>
  </si>
  <si>
    <t>10.5443429947, 106.4172515869</t>
  </si>
  <si>
    <t>TC40021GZO</t>
  </si>
  <si>
    <t>Hồng Phát</t>
  </si>
  <si>
    <t>153/4A, Song Hành (Nguyễn Ảnh Thủ), X.Trung Chánh, Hóc Môn, HCM</t>
  </si>
  <si>
    <t>AL-03G-3008</t>
  </si>
  <si>
    <t>Lê Thị Chiêu Thanh</t>
  </si>
  <si>
    <t>10.8573989868, 106.6084747314</t>
  </si>
  <si>
    <t>10.8574590683, 106.6083679199</t>
  </si>
  <si>
    <t>VM1009.65669</t>
  </si>
  <si>
    <t>VMP_HNI_R1_ROYAL_CITY</t>
  </si>
  <si>
    <t xml:space="preserve">SO05 tầng 1 tòa R1 Royal City, 72A Nguyễn Trãi, P Thượng Đình, Q  Thanh Xuân, Hà Nội</t>
  </si>
  <si>
    <t>21.0038661957, 105.8146972656</t>
  </si>
  <si>
    <t>21.0039463043, 105.8147354126</t>
  </si>
  <si>
    <t>10.9648113251, 106.9493942261</t>
  </si>
  <si>
    <t>10.9647979736, 106.9494018555</t>
  </si>
  <si>
    <t>10.7477970123, 106.6819686890</t>
  </si>
  <si>
    <t>10.7477836609, 106.6819763184</t>
  </si>
  <si>
    <t>ST50011129</t>
  </si>
  <si>
    <t>Cô Thắt</t>
  </si>
  <si>
    <t>04, 30 Tháng 04, P.1, TX.Cai Lậy, Tiền Giang</t>
  </si>
  <si>
    <t>AL-01E-4003</t>
  </si>
  <si>
    <t>Trần Ngọc Nhiên</t>
  </si>
  <si>
    <t>10.4087219238, 106.1191787720</t>
  </si>
  <si>
    <t>PT5017119K</t>
  </si>
  <si>
    <t>Thu Nga</t>
  </si>
  <si>
    <t>10, Nguyễn Chí Thanh, P.Rạch Sỏi, TP.Rạch Giá, Kiên Giang</t>
  </si>
  <si>
    <t>AL-03F-4006</t>
  </si>
  <si>
    <t>Nguyễn Bích Thùy</t>
  </si>
  <si>
    <t>9.9542169571, 105.1203689575</t>
  </si>
  <si>
    <t>CF5001.58745</t>
  </si>
  <si>
    <t>CH_CF_CT_TRAN_QUANG_DIEU</t>
  </si>
  <si>
    <t>154B Trần Quang Diệu, Phường An thới, quận Bình Thủy, Tp Cần Thơ</t>
  </si>
  <si>
    <t>10.0587835312, 105.7608871460</t>
  </si>
  <si>
    <t>10.0588884354, 105.7611999512</t>
  </si>
  <si>
    <t>10.5634660721, 107.4238662720</t>
  </si>
  <si>
    <t>10.5634593964, 107.4238586426</t>
  </si>
  <si>
    <t>20.8281230927, 105.3373260498</t>
  </si>
  <si>
    <t>20.8281707764, 105.3372497559</t>
  </si>
  <si>
    <t>XP200210J3</t>
  </si>
  <si>
    <t>Cô Ý</t>
  </si>
  <si>
    <t>354, Trần Hưng Đạo, Lê Hồng Phong, Quy Nhơn, Bình Định</t>
  </si>
  <si>
    <t>AL-03D-2001</t>
  </si>
  <si>
    <t>Võ Thị Hiếu</t>
  </si>
  <si>
    <t>13.7781343460, 109.2271957397</t>
  </si>
  <si>
    <t>13.0789995193, 109.2883911133</t>
  </si>
  <si>
    <t>13.0789794922, 109.2883758545</t>
  </si>
  <si>
    <t>DL100413ZB</t>
  </si>
  <si>
    <t>C Lan</t>
  </si>
  <si>
    <t>288, Trung Lực, P.Đằng Lâm, Q.Hải An, Hải Phòng</t>
  </si>
  <si>
    <t>20.8290958405, 106.7102508545</t>
  </si>
  <si>
    <t>20.8291053772, 106.7102203369</t>
  </si>
  <si>
    <t>10.8444623947, 106.7760467529</t>
  </si>
  <si>
    <t>10.8444461823, 106.7760467529</t>
  </si>
  <si>
    <t>13.7781343460, 109.2271881104</t>
  </si>
  <si>
    <t>13.7781362534, 109.2271957397</t>
  </si>
  <si>
    <t>XH4001.89797</t>
  </si>
  <si>
    <t>BHX Thửa 4396, Tờ bản đồ số 02</t>
  </si>
  <si>
    <t xml:space="preserve">Thửa 4396, Tờ bản đồ số 02, Ấp Long Hòa, TT  Chợ Mới, H  Chợ Mới, Tỉnh An Giang</t>
  </si>
  <si>
    <t>10.5478582382, 105.4035263062</t>
  </si>
  <si>
    <t>10.5541791916, 105.3901672363</t>
  </si>
  <si>
    <t>10.7919311523, 106.6353225708</t>
  </si>
  <si>
    <t>10.7919092178, 106.6352996826</t>
  </si>
  <si>
    <t>12.2558193207, 109.0992660522</t>
  </si>
  <si>
    <t>12.2558526993, 109.0993041992</t>
  </si>
  <si>
    <t>10.9086141586, 106.6433029175</t>
  </si>
  <si>
    <t>10.9084672928, 106.6435165405</t>
  </si>
  <si>
    <t>MP40021KFP</t>
  </si>
  <si>
    <t>WIN MART Căn hộ tầng trệt MP2.001.02 và MP2.001.03, Khu căn hộ Flora Miziki</t>
  </si>
  <si>
    <t>Căn hộ tầng trệt MP2.001.02 và MP2.001.03, Khu căn hộ Flora Miziki, Block MP2, Khu Mizuki Park, X.Bình Hưng, H.Bình Chánh, Hồ Chí Minh</t>
  </si>
  <si>
    <t>10.7146081924, 106.6635437012</t>
  </si>
  <si>
    <t>10.7149505615, 106.6629486084</t>
  </si>
  <si>
    <t>VI2009.64587</t>
  </si>
  <si>
    <t xml:space="preserve">Vinmart Plus BT01-18- KĐT Phước Long- P  Phước Long, TP Nha Trang</t>
  </si>
  <si>
    <t xml:space="preserve">BT01-18- KĐT Phước Long- P  Phước Long, TP Nha Trang, Tỉnh Khánh Hoà</t>
  </si>
  <si>
    <t>12.2133951187, 109.1930999756</t>
  </si>
  <si>
    <t>12.2155981064, 109.1886367798</t>
  </si>
  <si>
    <t>10.9403209686, 107.1408462524</t>
  </si>
  <si>
    <t>10.9403343201, 107.1408462524</t>
  </si>
  <si>
    <t>NT3022117H</t>
  </si>
  <si>
    <t>373, Trần Quí Cáp, Tiến Lợi, Phan Thiết, Bình Thuận</t>
  </si>
  <si>
    <t>AL-03E-2004</t>
  </si>
  <si>
    <t>Hồ Thị Thiên Lý</t>
  </si>
  <si>
    <t>10.9235076904, 108.0712890625</t>
  </si>
  <si>
    <t>10.9235076904, 108.0713119507</t>
  </si>
  <si>
    <t>10.9235086441, 108.0712966919</t>
  </si>
  <si>
    <t>13.9991559982, 109.0575180054</t>
  </si>
  <si>
    <t>13.9991436005, 109.0575180054</t>
  </si>
  <si>
    <t>15.1253557205, 108.7977752686</t>
  </si>
  <si>
    <t>15.1253099442, 108.7977600098</t>
  </si>
  <si>
    <t>13.7737064362, 109.2354888916</t>
  </si>
  <si>
    <t>13.7737321854, 109.2353439331</t>
  </si>
  <si>
    <t>10.7901153564, 106.5913696289</t>
  </si>
  <si>
    <t>10.7900905609, 106.5913848877</t>
  </si>
  <si>
    <t>10.9066848755, 106.7704849243</t>
  </si>
  <si>
    <t>10.9066829681, 106.7705001831</t>
  </si>
  <si>
    <t>TC40021CNA</t>
  </si>
  <si>
    <t>Hoàng Chi</t>
  </si>
  <si>
    <t>4/18, Ấp Nam Thới (Thới Tứ), X.Thới Tam Thôn, Hóc Môn, HCM</t>
  </si>
  <si>
    <t>AL-04A-3004</t>
  </si>
  <si>
    <t>Phạm Thu Hiền</t>
  </si>
  <si>
    <t>06h00 - 12h00</t>
  </si>
  <si>
    <t>10.8884906769, 106.6004638672</t>
  </si>
  <si>
    <t>10.8885488510, 106.6004638672</t>
  </si>
  <si>
    <t>Cty TNHH TMDV Toàn Tâm</t>
  </si>
  <si>
    <t>TT1013104G</t>
  </si>
  <si>
    <t>Dũng Lợi</t>
  </si>
  <si>
    <t>Kênh Giang, Thủy Nguyên, Hải Phòng</t>
  </si>
  <si>
    <t>AL-04A-1076</t>
  </si>
  <si>
    <t>20.9488544464, 106.6228942871</t>
  </si>
  <si>
    <t>20.9489459991, 106.6227416992</t>
  </si>
  <si>
    <t>KC1001109Q</t>
  </si>
  <si>
    <t>Siêu Thị Mường Thanh Tầng 1</t>
  </si>
  <si>
    <t>Tầng 1,tòa nhà HH2,lô CC6, Khu DVTH và nhà ở hồ Linh Đàm,P.Hoàng Liệt,Q.Hoàng Mai,Hà Nội</t>
  </si>
  <si>
    <t>20.9647293091, 105.8275375366</t>
  </si>
  <si>
    <t>20.9646682739, 105.8273544312</t>
  </si>
  <si>
    <t>10.6472377777, 107.2453918457</t>
  </si>
  <si>
    <t>10.6472415924, 107.2453994751</t>
  </si>
  <si>
    <t>MP400218QI</t>
  </si>
  <si>
    <t>Ngọc Nhân</t>
  </si>
  <si>
    <t>481, Tỉnh Lộ 10, Bình Trị Đông B, Bình Tân, HCM</t>
  </si>
  <si>
    <t>AL-02F-3006</t>
  </si>
  <si>
    <t>Võ Thị Kiều Ngân</t>
  </si>
  <si>
    <t>10.7572174072, 106.6189804077</t>
  </si>
  <si>
    <t>XH4001.80401</t>
  </si>
  <si>
    <t>BHX Thửa đất số 108, tờ bản đồ số 02 và thửa đất số 65</t>
  </si>
  <si>
    <t>Thửa đất số 108, tờ bản đồ số 02 và thửa đất số 65, 241, tờ bản đồ số 11, Nguyễn Văn Linh, Phường Hưng Lợi, Quận Ninh Kiều, Tp Cần Thơ</t>
  </si>
  <si>
    <t>10.0218830109, 105.7642440796</t>
  </si>
  <si>
    <t>10.0218572617, 105.7641830444</t>
  </si>
  <si>
    <t>Phúc Hà</t>
  </si>
  <si>
    <t>PH50021001</t>
  </si>
  <si>
    <t>Shop Kim Ngân</t>
  </si>
  <si>
    <t>1339, Quốc Lộ 30, P 11, TP Cao Lãnh, Đồng Tháp</t>
  </si>
  <si>
    <t>AL-09E-4009</t>
  </si>
  <si>
    <t>Nguyễn Thị Hồng Gấm</t>
  </si>
  <si>
    <t>10.4856462479, 105.5813064575</t>
  </si>
  <si>
    <t>XH4001.42866</t>
  </si>
  <si>
    <t>BHX Số 5A Đường Vườn Lài</t>
  </si>
  <si>
    <t xml:space="preserve">Số 5A, Đường Vườn Lài, Phường Phú Thọ Hòa, Quận Tân Phú, TP  HCM</t>
  </si>
  <si>
    <t>10.7865877151, 106.6361694336</t>
  </si>
  <si>
    <t>10.7865772247, 106.6361465454</t>
  </si>
  <si>
    <t>10.8057184219, 106.8180007935</t>
  </si>
  <si>
    <t>10.8053102493, 106.8169174194</t>
  </si>
  <si>
    <t>ST-04A-4004</t>
  </si>
  <si>
    <t>Nguyễn Lâm Chí Trung</t>
  </si>
  <si>
    <t>10.0231800079, 105.7602157593</t>
  </si>
  <si>
    <t>9.1558847427, 105.1395721436</t>
  </si>
  <si>
    <t>9.1559247971, 105.1396102905</t>
  </si>
  <si>
    <t>14.4315032959, 109.0158462524</t>
  </si>
  <si>
    <t>14.4315366745, 109.0158309937</t>
  </si>
  <si>
    <t>21.0257472992, 105.9911804199</t>
  </si>
  <si>
    <t>21.0258140564, 105.9911956787</t>
  </si>
  <si>
    <t>CO5013.50287</t>
  </si>
  <si>
    <t xml:space="preserve">COOP CAI LAY </t>
  </si>
  <si>
    <t>Số 79, đường 30/4, khu phố 2, Phường 1, Thị xã Cai Lậy, Tỉnh Tiền Giang</t>
  </si>
  <si>
    <t>ST-03D-4004</t>
  </si>
  <si>
    <t>Đoàn Thị Diễm Sương</t>
  </si>
  <si>
    <t>10.4080972672, 106.1196975708</t>
  </si>
  <si>
    <t>15.8824329376, 108.1171188354</t>
  </si>
  <si>
    <t>15.8824825287, 108.1170272827</t>
  </si>
  <si>
    <t>13.7573986053, 109.2097549438</t>
  </si>
  <si>
    <t>13.7667741776, 109.2163925171</t>
  </si>
  <si>
    <t>10.0433034897, 105.7657012939</t>
  </si>
  <si>
    <t>10.0432815552, 105.7657012939</t>
  </si>
  <si>
    <t>21.3273162842, 105.5654678345</t>
  </si>
  <si>
    <t>21.3273601532, 105.5654525757</t>
  </si>
  <si>
    <t>07h40 - 11h40</t>
  </si>
  <si>
    <t>21.1434001923, 105.9288253784</t>
  </si>
  <si>
    <t>21.1110496521, 105.9956283569</t>
  </si>
  <si>
    <t>SG5008.43265</t>
  </si>
  <si>
    <t>SATRA NG VAN LINH</t>
  </si>
  <si>
    <t xml:space="preserve">307/9D, Nguyễn Văn Linh, Phường An Khánh, Quận Ninh Kiều, TP  Cần Thơ</t>
  </si>
  <si>
    <t>10.0296306610, 105.7531356812</t>
  </si>
  <si>
    <t>10.0296792984, 105.7530746460</t>
  </si>
  <si>
    <t>10.0501680374, 105.7561492920</t>
  </si>
  <si>
    <t>10.0501585007, 105.7562561035</t>
  </si>
  <si>
    <t>TA100313DC</t>
  </si>
  <si>
    <t>Bỉm Sữa</t>
  </si>
  <si>
    <t>424, Ngô Gia Tự, Ngô Gia Tự, Gia Lâm, Hà Nội</t>
  </si>
  <si>
    <t>21.0708827972, 105.9035186768</t>
  </si>
  <si>
    <t>21.0709133148, 105.9034881592</t>
  </si>
  <si>
    <t>LO500113QO</t>
  </si>
  <si>
    <t>Minh Khoa</t>
  </si>
  <si>
    <t>735, Nguyễn Trung Trực, P.An Hòa, TP.Rạch Giá, Kiên Giang</t>
  </si>
  <si>
    <t>AL-08B-4005</t>
  </si>
  <si>
    <t>Trương Thị Quai</t>
  </si>
  <si>
    <t>9.9733695984, 105.1079635620</t>
  </si>
  <si>
    <t>BR1001.125191</t>
  </si>
  <si>
    <t>BRG Số 53 Đinh Tiên Hoàng, Phường Hàng Bạc</t>
  </si>
  <si>
    <t>Số 53 Đinh Tiên Hoàng, Phường Hàng Bạc, Quận Hoàn Kiếm, TP Hà Nội</t>
  </si>
  <si>
    <t>21.0318527222, 105.8530807495</t>
  </si>
  <si>
    <t>21.0318088531, 105.8530731201</t>
  </si>
  <si>
    <t>VI5003.50807</t>
  </si>
  <si>
    <t>VMP_53_64_NG_VIET_DUNG</t>
  </si>
  <si>
    <t xml:space="preserve">53/64 Đường Nguyễn Việt Dũng, Phường An Thới , Quận Bình Thủy, TP  Cần Thơ</t>
  </si>
  <si>
    <t>10.0597753525, 105.7626190186</t>
  </si>
  <si>
    <t>10.0597190857, 105.7625503540</t>
  </si>
  <si>
    <t>XH4001.107407</t>
  </si>
  <si>
    <t>BHX Tổ 1, ấp Long Phú</t>
  </si>
  <si>
    <t>Tổ 1, ấp Long Phú, xã Phước Thái, huyện Long Thành, Tỉnh Đồng Nai</t>
  </si>
  <si>
    <t>10.6892337799, 107.0202407837</t>
  </si>
  <si>
    <t>10.6893367767, 107.0204162598</t>
  </si>
  <si>
    <t>07h00 - 11h30</t>
  </si>
  <si>
    <t>11.0049095154, 106.7192687988</t>
  </si>
  <si>
    <t>11.0049419403, 106.7192840576</t>
  </si>
  <si>
    <t>11.5219764709, 108.9237289429</t>
  </si>
  <si>
    <t>11.5220117569, 108.9237213135</t>
  </si>
  <si>
    <t>VI4001.40597</t>
  </si>
  <si>
    <t>VM 1323 NG DUY TRINH</t>
  </si>
  <si>
    <t xml:space="preserve">1323 Nguyễn Duy Trinh, khu phố Phước Lai,phường Long Trường, TP  Thủ Đức, TP  Hồ Chí Minh</t>
  </si>
  <si>
    <t>10.8048467636, 106.8162765503</t>
  </si>
  <si>
    <t>10.8049421310, 106.8163757324</t>
  </si>
  <si>
    <t>16.0713024139, 108.1484222412</t>
  </si>
  <si>
    <t>16.0712127686, 108.1483840942</t>
  </si>
  <si>
    <t>10.8410358429, 106.8261566162</t>
  </si>
  <si>
    <t>10.8410539627, 106.8261718750</t>
  </si>
  <si>
    <t>VT300213Q1</t>
  </si>
  <si>
    <t>Đồng Hưng</t>
  </si>
  <si>
    <t>533, Hùng Vương, Di Linh, Di Linh, Lâm Đồng</t>
  </si>
  <si>
    <t>AL-10F-2004</t>
  </si>
  <si>
    <t>11.5896282196, 108.0787887573</t>
  </si>
  <si>
    <t>10.8049306870, 106.8163146973</t>
  </si>
  <si>
    <t>10.8049621582, 106.8162841797</t>
  </si>
  <si>
    <t>XH4001.78901</t>
  </si>
  <si>
    <t>BHX Thửa đất số 118, tờ bản đồ số 5</t>
  </si>
  <si>
    <t>Thửa đất số 118, tờ bản đồ số 5, thị trấn Cần Đước, huyện Cần Đước, tỉnh Long An</t>
  </si>
  <si>
    <t>10.5034980774, 106.6057891846</t>
  </si>
  <si>
    <t>10.5033969879, 106.6057586670</t>
  </si>
  <si>
    <t>KC100110KA</t>
  </si>
  <si>
    <t>KIDS PLAZA Số 158</t>
  </si>
  <si>
    <t>Số 158, Vạn Phúc, Hà Đông, Hà Nội</t>
  </si>
  <si>
    <t>20.9818058014, 105.7709808350</t>
  </si>
  <si>
    <t>20.9817657471, 105.7709960938</t>
  </si>
  <si>
    <t>TA10031215</t>
  </si>
  <si>
    <t>Thanh Hưng</t>
  </si>
  <si>
    <t>41, Thượng Cát, Tổ 15, Thượng Thanh, Long Biên, Hà Nội</t>
  </si>
  <si>
    <t>21.0594654083, 105.8866424561</t>
  </si>
  <si>
    <t>21.0594902039, 105.8866882324</t>
  </si>
  <si>
    <t>21.0235214233, 105.9167098999</t>
  </si>
  <si>
    <t>21.0233497620, 105.9165802002</t>
  </si>
  <si>
    <t>PL2001112Z</t>
  </si>
  <si>
    <t>Yến Trang</t>
  </si>
  <si>
    <t>199, Hùng Vương, TT Ba Đồn, H Quảng Trạch, Quảng Bình</t>
  </si>
  <si>
    <t>AL-03B-1008</t>
  </si>
  <si>
    <t>Phạm Thị Thùy</t>
  </si>
  <si>
    <t>17.7550716400, 106.4185943604</t>
  </si>
  <si>
    <t>ST-04A-3094</t>
  </si>
  <si>
    <t>Đặng Tuấn Anh</t>
  </si>
  <si>
    <t>10.5343532562, 106.4100952148</t>
  </si>
  <si>
    <t>12.4443769455, 107.6255493164</t>
  </si>
  <si>
    <t>12.4443092346, 107.6255798340</t>
  </si>
  <si>
    <t>10.7580347061, 106.9285354614</t>
  </si>
  <si>
    <t>10.7580251694, 106.9285583496</t>
  </si>
  <si>
    <t>HN50011154</t>
  </si>
  <si>
    <t>Xuân Hồng Hoa</t>
  </si>
  <si>
    <t>30, Lý Thường Kiệt, P.1, TX.Sa Đéc, Đồng Tháp</t>
  </si>
  <si>
    <t>AL-03E-4013</t>
  </si>
  <si>
    <t>Nguyễn Hồng Nương</t>
  </si>
  <si>
    <t>10.2933263779, 105.7679443359</t>
  </si>
  <si>
    <t>VM1009.51949</t>
  </si>
  <si>
    <t>VMP_CT4_VIMECO</t>
  </si>
  <si>
    <t>Ô V3, tầng 1, Tòa nhà hỗn hợp CT4-VIMECO, Lô H1, đường Nguyễn Chánh, phường Trung Hòa, quận Cầu Giấy, Hà Nội</t>
  </si>
  <si>
    <t>21.0090122223, 105.7931594849</t>
  </si>
  <si>
    <t>21.0091590881, 105.7931671143</t>
  </si>
  <si>
    <t>CF4001.4970</t>
  </si>
  <si>
    <t>CF TRAN XUAN SOAN</t>
  </si>
  <si>
    <t>851 Trần Xuân Soạn P Tân Hưng Q 7 Tp HCM</t>
  </si>
  <si>
    <t>10.7515239716, 106.6970520020</t>
  </si>
  <si>
    <t>10.8801689148, 107.4432525635</t>
  </si>
  <si>
    <t>10.8757371902, 107.4491806030</t>
  </si>
  <si>
    <t>17.7550506592, 106.4186553955</t>
  </si>
  <si>
    <t>DT1001.14050</t>
  </si>
  <si>
    <t>DUC THANH Tầng 1+2 tòa nhà TTTM và Nhà ở Xa La,P Phúc La</t>
  </si>
  <si>
    <t>Tầng 1+2 tòa nhà TTTM và Nhà ở Xa La,P Phúc La,Q Hà Đông,Hà Nội</t>
  </si>
  <si>
    <t>20.9615077972, 105.7939071655</t>
  </si>
  <si>
    <t>20.9614810944, 105.7938919067</t>
  </si>
  <si>
    <t>CV10051UUR</t>
  </si>
  <si>
    <t>2/293, Tam Trinh, Lĩnh Nam, Hoàng Mai, Hà Nội</t>
  </si>
  <si>
    <t>20.9879798889, 105.8629760742</t>
  </si>
  <si>
    <t>20.9877071381, 105.8638458252</t>
  </si>
  <si>
    <t>16.0652332306, 108.2409439087</t>
  </si>
  <si>
    <t>16.0652198792, 108.2408905029</t>
  </si>
  <si>
    <t>10.1154050827, 105.6215820313</t>
  </si>
  <si>
    <t>10.1154279709, 105.6215744019</t>
  </si>
  <si>
    <t>11.2650737762, 107.4287109375</t>
  </si>
  <si>
    <t>11.2650833130, 107.4286804199</t>
  </si>
  <si>
    <t>LA5001104D</t>
  </si>
  <si>
    <t xml:space="preserve">Cô Một </t>
  </si>
  <si>
    <t>48A, Đường Trần Văn Giàu, Khu phố 2, Tỉnh lộ 827, Tầm Vu, Châu Thành, Long An</t>
  </si>
  <si>
    <t>AL-11D-4004</t>
  </si>
  <si>
    <t>Trương Thị Kim Ngân</t>
  </si>
  <si>
    <t>10.4404926300, 106.4666976929</t>
  </si>
  <si>
    <t>21.3984870911, 105.2242050171</t>
  </si>
  <si>
    <t>21.3985214233, 105.2243347168</t>
  </si>
  <si>
    <t>KC100110E5</t>
  </si>
  <si>
    <t>OKONO MART 24 Trần Quốc Vượng</t>
  </si>
  <si>
    <t xml:space="preserve">24 Trần Quốc Vượng, Xuân Thủy,  Cầu Giấy, Hà Nội </t>
  </si>
  <si>
    <t>21.0351867676, 105.7850875854</t>
  </si>
  <si>
    <t>XH4001.41789</t>
  </si>
  <si>
    <t>BHX Số 54 Đường Lê Tấn Bê</t>
  </si>
  <si>
    <t>Số 54 Đường Lê Tấn Bê, P An Lạc, Q Bình Tân,TP HCM</t>
  </si>
  <si>
    <t>10.7321195602, 106.6152496338</t>
  </si>
  <si>
    <t>10.7322731018, 106.6183624268</t>
  </si>
  <si>
    <t>VM1009.82694</t>
  </si>
  <si>
    <t>VMP_HNI_38BT1_PHAP_VAN</t>
  </si>
  <si>
    <t xml:space="preserve">Ô số 38 BT1, Khu ĐTM  Pháp Vân - Tứ Hiệp, phường Hoàng Liệt, quận Hoàng Mai, thành phố Hà Nội </t>
  </si>
  <si>
    <t>20.9561557770, 105.8480987549</t>
  </si>
  <si>
    <t>20.9562263489, 105.8481063843</t>
  </si>
  <si>
    <t>PL5001108M</t>
  </si>
  <si>
    <t>Tấn Phát</t>
  </si>
  <si>
    <t>64C, Trưng Nữ Vương, P.1, TP.Vĩnh Long, Vĩnh Long</t>
  </si>
  <si>
    <t>10.2535629272, 105.9711456299</t>
  </si>
  <si>
    <t>10.2536354065, 105.9711990356</t>
  </si>
  <si>
    <t>VI4001.56577</t>
  </si>
  <si>
    <t>VMP_HCM_A01_11DREAM_HOME</t>
  </si>
  <si>
    <t>A01-11, Tầng Trệt chung cư Dream Home Residence, Phường 14, Quận Gò Vấp, TPHCM</t>
  </si>
  <si>
    <t>10.8555698395, 106.6530151367</t>
  </si>
  <si>
    <t>10.8555803299, 106.6530380249</t>
  </si>
  <si>
    <t>08h30 - 11h30</t>
  </si>
  <si>
    <t>16.4777202606, 107.5780258179</t>
  </si>
  <si>
    <t>16.4777431488, 107.5780868530</t>
  </si>
  <si>
    <t>VI2003.100738</t>
  </si>
  <si>
    <t>Vinmart Plus 124 Nguyễn Đức Trung, Phường Thanh Khê Đông</t>
  </si>
  <si>
    <t xml:space="preserve">124 Nguyễn Đức Trung, Phường Thanh Khê Đông, Q Thanh Khê, TP  Đà Nẵng</t>
  </si>
  <si>
    <t>16.0665645599, 108.1883850098</t>
  </si>
  <si>
    <t>16.0664501190, 108.1884460449</t>
  </si>
  <si>
    <t>MB00KC100110EM</t>
  </si>
  <si>
    <t>Circle K 98 Mã Mây, Hoàn Kiếm</t>
  </si>
  <si>
    <t>21.0348281860, 105.8526306152</t>
  </si>
  <si>
    <t>21.0359992981, 105.8528289795</t>
  </si>
  <si>
    <t>NT40541DI8</t>
  </si>
  <si>
    <t>Family Mart 14B9, Ngô Tất Tố</t>
  </si>
  <si>
    <t>14B9, Ngô Tất Tố, P.19, Q.Bình Thạnh, Hồ Chí Minh</t>
  </si>
  <si>
    <t>10.7930927277, 106.7103042603</t>
  </si>
  <si>
    <t>10.7930927277, 106.7103195190</t>
  </si>
  <si>
    <t>KC10011073</t>
  </si>
  <si>
    <t>Circle K 38</t>
  </si>
  <si>
    <t>38, Đào Duy Từ,P.Hàng Buồm,Q.Hoàn Kiếm,Hà Nội</t>
  </si>
  <si>
    <t>21.0347232819, 105.8522644043</t>
  </si>
  <si>
    <t>ST-04A-2033</t>
  </si>
  <si>
    <t>13.9869508743, 108.0080947876</t>
  </si>
  <si>
    <t>10.3539524078, 106.4607162476</t>
  </si>
  <si>
    <t>10.3540124893, 106.4606399536</t>
  </si>
  <si>
    <t>21.2103023529, 105.9850692749</t>
  </si>
  <si>
    <t>21.2102985382, 105.9850692749</t>
  </si>
  <si>
    <t>10.3649892807, 107.0858459473</t>
  </si>
  <si>
    <t>10.3649234772, 107.0858306885</t>
  </si>
  <si>
    <t>10.8896474838, 106.8621139526</t>
  </si>
  <si>
    <t>10.8895235062, 106.8619918823</t>
  </si>
  <si>
    <t>19.8198013306, 105.7855911255</t>
  </si>
  <si>
    <t>19.8199348450, 105.7854003906</t>
  </si>
  <si>
    <t>10.7735557556, 106.6217117310</t>
  </si>
  <si>
    <t>10.7735576630, 106.6217193604</t>
  </si>
  <si>
    <t>MT2005.6349</t>
  </si>
  <si>
    <t>MEGA ĐÀ NẴNG</t>
  </si>
  <si>
    <t>Đường Cách Mạng Tháng Tám,Phường Khuê Trung,Quận Cẩm Lệ,Thành phố Đà Nẵng</t>
  </si>
  <si>
    <t>16.0248908997, 108.2193374634</t>
  </si>
  <si>
    <t>16.0248813629, 108.2200546265</t>
  </si>
  <si>
    <t>16.0661449432, 108.1869735718</t>
  </si>
  <si>
    <t>16.0663795471, 108.1870574951</t>
  </si>
  <si>
    <t>21.2014484406, 105.5260543823</t>
  </si>
  <si>
    <t>21.2015724182, 105.5258178711</t>
  </si>
  <si>
    <t>20.3681201935, 105.9743347168</t>
  </si>
  <si>
    <t>20.3681316376, 105.9743423462</t>
  </si>
  <si>
    <t>20.3906631470, 105.6272201538</t>
  </si>
  <si>
    <t>20.3896541595, 105.6272048950</t>
  </si>
  <si>
    <t>CO2001.5044</t>
  </si>
  <si>
    <t>COOP HUẾ</t>
  </si>
  <si>
    <t>TTTM Trường Tiền Plaza,6 Trần Hưng Đạo,Phường Phú Hòa,Tp Huế,TT Huế</t>
  </si>
  <si>
    <t>16.4708824158, 107.5874557495</t>
  </si>
  <si>
    <t>16.4709243774, 107.5877304077</t>
  </si>
  <si>
    <t>14.3546762466, 108.0025558472</t>
  </si>
  <si>
    <t>14.3547611237, 108.0024566650</t>
  </si>
  <si>
    <t>11.1523170471, 106.5898895264</t>
  </si>
  <si>
    <t>11.1523151398, 106.5898971558</t>
  </si>
  <si>
    <t>KG40031D2R</t>
  </si>
  <si>
    <t>Family Mart 300AB, Nguyễn Tất Thành</t>
  </si>
  <si>
    <t>300AB, Nguyễn Tất Thành, P.13, Q.4, Hồ Chí Minh</t>
  </si>
  <si>
    <t>10.7610044479, 106.7106933594</t>
  </si>
  <si>
    <t>10.7610607147, 106.7107238770</t>
  </si>
  <si>
    <t>20.1196899414, 106.1185989380</t>
  </si>
  <si>
    <t>20.1196804047, 106.1185302734</t>
  </si>
  <si>
    <t>VI4001.81452</t>
  </si>
  <si>
    <t>VMP_HCM_CC_THE_MANOR_</t>
  </si>
  <si>
    <t>91 Nguyễn Hữu Cảnh, P22, Q Bình Thạnh, TP HCM ( CC The Manor )</t>
  </si>
  <si>
    <t>10.7979965210, 106.7177429199</t>
  </si>
  <si>
    <t>10.7941513062, 106.7179031372</t>
  </si>
  <si>
    <t>NT40541DIP</t>
  </si>
  <si>
    <t>Circle K 257A, Nguyễn Trãi</t>
  </si>
  <si>
    <t>257A, Nguyễn Trãi, P.Nguyễn Cư Trinh, Q.1, Hồ Chí Minh</t>
  </si>
  <si>
    <t>10.7646188736, 106.6876220703</t>
  </si>
  <si>
    <t>10.7646455765, 106.6875991821</t>
  </si>
  <si>
    <t>11.5225830078, 108.9224166870</t>
  </si>
  <si>
    <t>11.5225763321, 108.9224090576</t>
  </si>
  <si>
    <t>21.2972240448, 105.5607147217</t>
  </si>
  <si>
    <t>21.2971897125, 105.5606918335</t>
  </si>
  <si>
    <t>17.0726337433, 107.0022354126</t>
  </si>
  <si>
    <t>17.0725536346, 107.0022659302</t>
  </si>
  <si>
    <t>14.8185043335, 108.9533767700</t>
  </si>
  <si>
    <t>14.8190011978, 108.9532394409</t>
  </si>
  <si>
    <t>G74003.91715</t>
  </si>
  <si>
    <t>G7 MINISTOP 56 Hoàng Diệu 2, Phường Linh Chiểu</t>
  </si>
  <si>
    <t xml:space="preserve">56 Hoàng Diệu 2, Phường Linh Chiểu, TP  Thủ Đức, TP  Hồ Chí Minh</t>
  </si>
  <si>
    <t>10.8577766418, 106.7634811401</t>
  </si>
  <si>
    <t>10.8577947617, 106.7634582520</t>
  </si>
  <si>
    <t>13.9352998734, 109.1419143677</t>
  </si>
  <si>
    <t>13.9353122711, 109.1419296265</t>
  </si>
  <si>
    <t>13.1096000671, 107.8638000488</t>
  </si>
  <si>
    <t>13.1096057892, 107.8638000488</t>
  </si>
  <si>
    <t>ST-02E-2003</t>
  </si>
  <si>
    <t>16.0669651031, 108.2136917114</t>
  </si>
  <si>
    <t>XH4001.92250</t>
  </si>
  <si>
    <t>BHX Thửa đất 690 và 687, Tờ bản đồ số 33</t>
  </si>
  <si>
    <t xml:space="preserve">Thửa đất 690 và 687, Tờ bản đồ số 33, Xã Vĩnh Ngọc, TP  Nha Trang, Tỉnh Khánh Hoà</t>
  </si>
  <si>
    <t>12.2664680481, 109.1619644165</t>
  </si>
  <si>
    <t>12.2665119171, 109.1619262695</t>
  </si>
  <si>
    <t>XH4001.127003</t>
  </si>
  <si>
    <t>CÔNG TY CỔ PHẦN THƯƠNG MẠI BÁCH HOÁ XANH</t>
  </si>
  <si>
    <t>834 Lê Văn Lương, Ấp 5, Xã Phước Kiển, Huyện Nhà Bè, TP.HCM</t>
  </si>
  <si>
    <t>10.7181119919, 106.6991729736</t>
  </si>
  <si>
    <t>10.7182331085, 106.6993408203</t>
  </si>
  <si>
    <t>11.9572811127, 106.7989501953</t>
  </si>
  <si>
    <t>11.9573144913, 106.7989501953</t>
  </si>
  <si>
    <t>MP40021257</t>
  </si>
  <si>
    <t>B4/32, Võ Văn Vân, X Vĩnh Lộc B, Bình Chánh, HCM</t>
  </si>
  <si>
    <t>10.7920598984, 106.5763092041</t>
  </si>
  <si>
    <t>10.7920627594, 106.5763015747</t>
  </si>
  <si>
    <t>13.6909799576, 108.0785980225</t>
  </si>
  <si>
    <t>13.6909303665, 108.0786056519</t>
  </si>
  <si>
    <t>16.4552307129, 107.5835723877</t>
  </si>
  <si>
    <t>16.4553241730, 107.5836181641</t>
  </si>
  <si>
    <t>21.2202529907, 105.9706268311</t>
  </si>
  <si>
    <t>21.2202434540, 105.9706115723</t>
  </si>
  <si>
    <t>VI1102.88965</t>
  </si>
  <si>
    <t>VMP_NAN_70_NGUYEN_TRAI</t>
  </si>
  <si>
    <t>70 Nguyễn Trãi, Phường Hà Huy Tập, TP. Vinh, Tỉnh Nghệ An</t>
  </si>
  <si>
    <t>18.7019042969, 105.6736297607</t>
  </si>
  <si>
    <t>18.7019023895, 105.6736297607</t>
  </si>
  <si>
    <t>VC1007.35069</t>
  </si>
  <si>
    <t>VINMART Tầng hầm B1, N05</t>
  </si>
  <si>
    <t>Tầng hầm B1, N05, Đường Hoàng Đạo Thúy, Khu đô thị Trung Hòa, Quận Thanh Xuân, Hà Nội</t>
  </si>
  <si>
    <t>21.0077381134, 105.8022232056</t>
  </si>
  <si>
    <t>21.0079555511, 105.8020324707</t>
  </si>
  <si>
    <t>10.7999477386, 106.5868835449</t>
  </si>
  <si>
    <t>10.7999382019, 106.5869216919</t>
  </si>
  <si>
    <t>15.8929977417, 108.2469940186</t>
  </si>
  <si>
    <t>15.8930072784, 108.2470016479</t>
  </si>
  <si>
    <t>12.6086578369, 108.1324081421</t>
  </si>
  <si>
    <t>16.4300174713, 107.6363525391</t>
  </si>
  <si>
    <t>16.4299526215, 107.6362380981</t>
  </si>
  <si>
    <t>13.9998378754, 109.0592193604</t>
  </si>
  <si>
    <t>13.9997205734, 109.0592422485</t>
  </si>
  <si>
    <t>16.0942268372, 108.2427215576</t>
  </si>
  <si>
    <t>16.0943508148, 108.2428207397</t>
  </si>
  <si>
    <t>10.8194341660, 106.6051940918</t>
  </si>
  <si>
    <t>10.8194646835, 106.6052169800</t>
  </si>
  <si>
    <t>21.9051322937, 105.6412658691</t>
  </si>
  <si>
    <t>21.9050331116, 105.6415100098</t>
  </si>
  <si>
    <t>20.7331295013, 106.3942031860</t>
  </si>
  <si>
    <t>20.7331218719, 106.3941879272</t>
  </si>
  <si>
    <t>11.5304756165, 107.7754821777</t>
  </si>
  <si>
    <t>11.5304651260, 107.7754745483</t>
  </si>
  <si>
    <t>20.8809108734, 105.6703872681</t>
  </si>
  <si>
    <t>20.8809051514, 105.6701278687</t>
  </si>
  <si>
    <t>12.7320318222, 108.1174621582</t>
  </si>
  <si>
    <t>12.7320327759, 108.1174621582</t>
  </si>
  <si>
    <t>15.1208257675, 108.8066101074</t>
  </si>
  <si>
    <t>15.1208982468, 108.8065338135</t>
  </si>
  <si>
    <t>13.9870223999, 108.0080184937</t>
  </si>
  <si>
    <t>13.9874200821, 108.0081710815</t>
  </si>
  <si>
    <t>10.9835205078, 106.9633712769</t>
  </si>
  <si>
    <t>10.9835128784, 106.9633712769</t>
  </si>
  <si>
    <t>16.0411758423, 108.1879119873</t>
  </si>
  <si>
    <t>16.0411663055, 108.1879196167</t>
  </si>
  <si>
    <t>9.9069948196, 105.3117828369</t>
  </si>
  <si>
    <t>9.9069995880, 105.3117828369</t>
  </si>
  <si>
    <t>KC100110HJ</t>
  </si>
  <si>
    <t>Organica 5A1 Ngõ 192 Thái Thịnh</t>
  </si>
  <si>
    <t>5A1 Ngõ 192 Thái Thịnh, P.Ngã Tư Sở, Q.Đống Đa</t>
  </si>
  <si>
    <t>21.0136299133, 105.8157348633</t>
  </si>
  <si>
    <t>21.0136165619, 105.8157272339</t>
  </si>
  <si>
    <t>18.4486484528, 105.7794799805</t>
  </si>
  <si>
    <t>18.4488124847, 105.7793731689</t>
  </si>
  <si>
    <t>10.3969383240, 107.2286682129</t>
  </si>
  <si>
    <t>10.3969478607, 107.2286148071</t>
  </si>
  <si>
    <t>PT40351RAW</t>
  </si>
  <si>
    <t>Chị Thảo</t>
  </si>
  <si>
    <t>33-35 Phạm Vấn, P.Phú Thọ Hòa, Q.Tân Phú</t>
  </si>
  <si>
    <t>10.7850742340, 106.6246948242</t>
  </si>
  <si>
    <t>10.7851390839, 106.6247329712</t>
  </si>
  <si>
    <t>10.5071620941, 105.4909591675</t>
  </si>
  <si>
    <t>10.5071792603, 105.4910049438</t>
  </si>
  <si>
    <t>16.0252780914, 108.2201766968</t>
  </si>
  <si>
    <t>16.0251712799, 108.2200241089</t>
  </si>
  <si>
    <t>VI3003.57439</t>
  </si>
  <si>
    <t>VMP_BDG_27_NGUYEN_DU</t>
  </si>
  <si>
    <t>27 Nguyễn Du, Khu Phố Thắng Lợi 1, Phường Dĩ An, Thị Xã Dĩ An, Tỉnh Bình Dương</t>
  </si>
  <si>
    <t>10.9108667374, 106.7685394287</t>
  </si>
  <si>
    <t>10.9109859467, 106.7684249878</t>
  </si>
  <si>
    <t>TA1003121G</t>
  </si>
  <si>
    <t>35, Hẻm 99/1/4, Tổ 29, Thượng Thanh, Long Biên, Hà Nội</t>
  </si>
  <si>
    <t>21.0644187927, 105.8836364746</t>
  </si>
  <si>
    <t>21.0644302368, 105.8836212158</t>
  </si>
  <si>
    <t>10.7531023026, 106.5907821655</t>
  </si>
  <si>
    <t>10.7531337738, 106.5907135010</t>
  </si>
  <si>
    <t>XH4001.112824</t>
  </si>
  <si>
    <t>BHX Tổ 1 (Thửa đất số 652, Tờ bản đồ 12)</t>
  </si>
  <si>
    <t>Tổ 1 (Thửa đất số 652, Tờ bản đồ 12), Ấp An Hòa, Xã Phú Đức, Huyện Long Hồ, Tỉnh Vĩnh Long</t>
  </si>
  <si>
    <t>10.2577314377, 105.9999389648</t>
  </si>
  <si>
    <t>10.2577495575, 105.9999313354</t>
  </si>
  <si>
    <t>15.8968267441, 108.2451858521</t>
  </si>
  <si>
    <t>15.8967847824, 108.2451934814</t>
  </si>
  <si>
    <t>21.8354015350, 105.1714401245</t>
  </si>
  <si>
    <t>21.8353977203, 105.1714324951</t>
  </si>
  <si>
    <t>21.2202377319, 105.9706268311</t>
  </si>
  <si>
    <t>21.2202281952, 105.9706954956</t>
  </si>
  <si>
    <t>20.9855613708, 106.3477478027</t>
  </si>
  <si>
    <t>20.9855155945, 106.3477401733</t>
  </si>
  <si>
    <t>KA500314JD</t>
  </si>
  <si>
    <t>Kim Ngân 3</t>
  </si>
  <si>
    <t>0, Chợ Phường 5, Trần Hưng Đạo, P.5, TP.Cà Mau, Cà Mau</t>
  </si>
  <si>
    <t>9.1816482544, 105.1586074829</t>
  </si>
  <si>
    <t>10.9833936691, 106.6777343750</t>
  </si>
  <si>
    <t>10.9833631516, 106.6778106689</t>
  </si>
  <si>
    <t>19.8209400177, 105.7743225098</t>
  </si>
  <si>
    <t>19.8209743500, 105.7743301392</t>
  </si>
  <si>
    <t>10.9625196457, 107.4048309326</t>
  </si>
  <si>
    <t>10.9648437500, 107.4005889893</t>
  </si>
  <si>
    <t>12.4932422638, 109.1275253296</t>
  </si>
  <si>
    <t>12.4932355881, 109.1275405884</t>
  </si>
  <si>
    <t>11.2003250122, 107.3567428589</t>
  </si>
  <si>
    <t>11.2003145218, 107.3568878174</t>
  </si>
  <si>
    <t>NT40541F4G</t>
  </si>
  <si>
    <t>Circle K 45, CAO THẮNG</t>
  </si>
  <si>
    <t>45, CAO THẮNG, P.6, Q.3, Hồ Chí Minh</t>
  </si>
  <si>
    <t>10.7698421478, 106.6820068359</t>
  </si>
  <si>
    <t>10.7699213028, 106.6819992065</t>
  </si>
  <si>
    <t>11.2241573334, 108.7300033569</t>
  </si>
  <si>
    <t>11.2241544724, 108.7300033569</t>
  </si>
  <si>
    <t>KA5003108V</t>
  </si>
  <si>
    <t>69, Phan Bội Châu, P.7, TP.Cà Mau, Cà Mau</t>
  </si>
  <si>
    <t>AL-04A-4031</t>
  </si>
  <si>
    <t>Phan Ngọc Lý</t>
  </si>
  <si>
    <t>9.1742238998, 105.1470031738</t>
  </si>
  <si>
    <t>9.1742200851, 105.1470108032</t>
  </si>
  <si>
    <t>21.2616310120, 104.6444168091</t>
  </si>
  <si>
    <t>21.2616195679, 104.6443786621</t>
  </si>
  <si>
    <t>XH4001.87768</t>
  </si>
  <si>
    <t>BHX 60 Đường số 39</t>
  </si>
  <si>
    <t xml:space="preserve">60 Đường số 39, Khu phố 1, Phường Bình Trưng Tây, TP  Thủ Đức, TP  Hồ Chí Minh</t>
  </si>
  <si>
    <t>10.7835607529, 106.7653732300</t>
  </si>
  <si>
    <t>10.7833385468, 106.7654953003</t>
  </si>
  <si>
    <t>VI4001.49317</t>
  </si>
  <si>
    <t>VMP_LO_13B_KDC_CONIC</t>
  </si>
  <si>
    <t>G-1-02, Tại Tầng 1 căn số 02 khu chung cư block G Thuộc, Khu BS, Lô 13 , khu chung cư CONIC , Xã Phong Phú Huyện Bình Chánh- khu đô thị mới Nam Sài Gòn, TP HCM</t>
  </si>
  <si>
    <t>10.7103376389, 106.6425247192</t>
  </si>
  <si>
    <t>10.7103433609, 106.6425323486</t>
  </si>
  <si>
    <t>15.5732517242, 108.4843978882</t>
  </si>
  <si>
    <t>15.5733537674, 108.4843444824</t>
  </si>
  <si>
    <t>10.9306526184, 106.7635803223</t>
  </si>
  <si>
    <t>10.9306182861, 106.7636108398</t>
  </si>
  <si>
    <t>16.0711936951, 108.2311172485</t>
  </si>
  <si>
    <t>16.0715713501, 108.2302017212</t>
  </si>
  <si>
    <t>14.9566335678, 108.8873214722</t>
  </si>
  <si>
    <t>14.9570913315, 108.8889465332</t>
  </si>
  <si>
    <t>SH50041149</t>
  </si>
  <si>
    <t>Chi Hường</t>
  </si>
  <si>
    <t>366, Đường 30/04, P.Hưng Lợi, Q.Ninh Kiều, Cần Thơ</t>
  </si>
  <si>
    <t>AL-09B-4001</t>
  </si>
  <si>
    <t>Nguyễn Thị Ngọc Diệp</t>
  </si>
  <si>
    <t>11h30 - 20h00</t>
  </si>
  <si>
    <t>10.0221490860, 105.7709197998</t>
  </si>
  <si>
    <t>10.5345964432, 107.4007492065</t>
  </si>
  <si>
    <t>10.5346021652, 107.4007644653</t>
  </si>
  <si>
    <t>EB4001.14024</t>
  </si>
  <si>
    <t>BIG C NAM ĐỊNH</t>
  </si>
  <si>
    <t>TTTM Siêu Thị Thiên Trường,Xã Lộc Hòa,Thành Phố Nam Định</t>
  </si>
  <si>
    <t>20.4384727478, 106.1525039673</t>
  </si>
  <si>
    <t>DL2004128H</t>
  </si>
  <si>
    <t>Tạp Hóa Xuyên</t>
  </si>
  <si>
    <t>Lý Thái Tổ, Buôn Ma Thuột, Đăk Lăk</t>
  </si>
  <si>
    <t>AL-06C-2003</t>
  </si>
  <si>
    <t>Hồ Thị Kiều</t>
  </si>
  <si>
    <t>12h00 - 17h30</t>
  </si>
  <si>
    <t>12.7042398453, 108.0640182495</t>
  </si>
  <si>
    <t>ST-04A-2045</t>
  </si>
  <si>
    <t>11.5753650665, 108.9884262085</t>
  </si>
  <si>
    <t>15.1240739822, 108.8070068359</t>
  </si>
  <si>
    <t>15.1240453720, 108.8068771362</t>
  </si>
  <si>
    <t>12.6754093170, 109.2124328613</t>
  </si>
  <si>
    <t>12.6753892899, 109.2124481201</t>
  </si>
  <si>
    <t>VI1123.90853</t>
  </si>
  <si>
    <t>VM_HTH_261B_HAI_T_LAN_ONG</t>
  </si>
  <si>
    <t>261B Hải Thượng Lãn Ông, Phường Tân Giang, TP Hà Tĩnh, Tỉnh Hà Tĩnh</t>
  </si>
  <si>
    <t>18.3454246521, 105.9034957886</t>
  </si>
  <si>
    <t>18.3454284668, 105.9034576416</t>
  </si>
  <si>
    <t>10.0340948105, 105.7859344482</t>
  </si>
  <si>
    <t>10.0344753265, 105.7865371704</t>
  </si>
  <si>
    <t>10.9619541168, 107.4075698853</t>
  </si>
  <si>
    <t>10.9614381790, 107.4065017700</t>
  </si>
  <si>
    <t>XH4001.81542</t>
  </si>
  <si>
    <t>BHX 44 Huỳnh Tất Phát</t>
  </si>
  <si>
    <t xml:space="preserve">44 Huỳnh Tất Phát, TT  Nhà Bè, H  Nhà Bè, TP  HCM</t>
  </si>
  <si>
    <t>10.7015237808, 106.7380676270</t>
  </si>
  <si>
    <t>10.7015142441, 106.7381134033</t>
  </si>
  <si>
    <t>DT501210AF</t>
  </si>
  <si>
    <t>Minh Triết</t>
  </si>
  <si>
    <t>Lô 1, Chợ Trà Mơn, X.Mỹ Hòa Hưng, TP.Long Xuyên, An Giang</t>
  </si>
  <si>
    <t>10.4105186462, 105.4313583374</t>
  </si>
  <si>
    <t>10.4104852676, 105.4313278198</t>
  </si>
  <si>
    <t>9.2378816605, 105.4555969238</t>
  </si>
  <si>
    <t>9.2377319336, 105.4555892944</t>
  </si>
  <si>
    <t>12.0063209534, 107.6836547852</t>
  </si>
  <si>
    <t>12.0063295364, 107.6837997437</t>
  </si>
  <si>
    <t>15.8420543671, 108.2827987671</t>
  </si>
  <si>
    <t>15.8420438766, 108.2827529907</t>
  </si>
  <si>
    <t>11.9643192291, 108.4432296753</t>
  </si>
  <si>
    <t>11.9643812180, 108.4430923462</t>
  </si>
  <si>
    <t>TT10071001</t>
  </si>
  <si>
    <t>323, Hoàng Văn Thụ, P.Bà Triệu, TP.Nam Định, Nam Định</t>
  </si>
  <si>
    <t>20.4299297333, 106.1739959717</t>
  </si>
  <si>
    <t>20.4300155640, 106.1740264893</t>
  </si>
  <si>
    <t>12.7018508911, 109.2278518677</t>
  </si>
  <si>
    <t>12.7017698288, 109.2278213501</t>
  </si>
  <si>
    <t>AM1001107Q</t>
  </si>
  <si>
    <t>Phúc Anh</t>
  </si>
  <si>
    <t>Sơn Tây, Sơn Tây, Hà Nội</t>
  </si>
  <si>
    <t>21.1123142242, 105.4952774048</t>
  </si>
  <si>
    <t>21.1123275757, 105.4953308105</t>
  </si>
  <si>
    <t>KC1001106Y</t>
  </si>
  <si>
    <t>T-Mart CT1</t>
  </si>
  <si>
    <t>CT1, Ngô Thì Nhậm,P.La Khê,Q.Hà Đông,Hà Nội</t>
  </si>
  <si>
    <t>20.9693717957, 105.7685546875</t>
  </si>
  <si>
    <t>20.9692420959, 105.7685012817</t>
  </si>
  <si>
    <t>VM2014.64953</t>
  </si>
  <si>
    <t>VINMART_QUANG_NGAI</t>
  </si>
  <si>
    <t>TTTM Vincom Plaza Quảng Ngãi, số 26 đường Lê Thánh Tôn, P Nghĩa Chánh, TP Quảng Ngãi, Quảng Ngãi</t>
  </si>
  <si>
    <t>15.1133747101, 108.8100662231</t>
  </si>
  <si>
    <t>15.1132316589, 108.8102493286</t>
  </si>
  <si>
    <t>11.0111341476, 106.8377075195</t>
  </si>
  <si>
    <t>11.0111236572, 106.8375701904</t>
  </si>
  <si>
    <t>12.6518039703, 108.0228042603</t>
  </si>
  <si>
    <t>12.6517610550, 108.0228500366</t>
  </si>
  <si>
    <t>TA100610NF</t>
  </si>
  <si>
    <t>Đông Năng</t>
  </si>
  <si>
    <t>Cổng chợ sau Sóc Sơn, TT.Sóc Sơn, Sóc Sơn, Hà Nội</t>
  </si>
  <si>
    <t>21.2563209534, 105.8514556885</t>
  </si>
  <si>
    <t>21.2570915222, 105.8516006470</t>
  </si>
  <si>
    <t>AM100110GB</t>
  </si>
  <si>
    <t>Anh Đông</t>
  </si>
  <si>
    <t>Chợ Quảng Oai, TT Tây Đằng , Ba Vì, Hà Nội</t>
  </si>
  <si>
    <t>21.1996917725, 105.4243698120</t>
  </si>
  <si>
    <t>21.1996765137, 105.4243621826</t>
  </si>
  <si>
    <t>10.6401443481, 106.4862442017</t>
  </si>
  <si>
    <t>10.6400985718, 106.4863433838</t>
  </si>
  <si>
    <t>20.3031940460, 106.3288421631</t>
  </si>
  <si>
    <t>20.3030242920, 106.3288040161</t>
  </si>
  <si>
    <t>14.3545913696, 108.0023345947</t>
  </si>
  <si>
    <t>14.3547496796, 108.0021743774</t>
  </si>
  <si>
    <t>14.3484735489, 108.0005798340</t>
  </si>
  <si>
    <t>14.3486766815, 108.0006256104</t>
  </si>
  <si>
    <t>15.9950752258, 108.2568206787</t>
  </si>
  <si>
    <t>15.9951896667, 108.2567977905</t>
  </si>
  <si>
    <t>RV300112H4</t>
  </si>
  <si>
    <t>Vạn Thọ</t>
  </si>
  <si>
    <t>1018, Duong 30/4, 11, Vung Tau, Ba Ria - Vung Tau</t>
  </si>
  <si>
    <t>10.4099636078, 107.1344680786</t>
  </si>
  <si>
    <t>10.4099588394, 107.1344909668</t>
  </si>
  <si>
    <t>13.9196949005, 109.0893096924</t>
  </si>
  <si>
    <t>13.9197473526, 109.0893402100</t>
  </si>
  <si>
    <t>RV300111YR</t>
  </si>
  <si>
    <t>Mini Mart Chị Huyền</t>
  </si>
  <si>
    <t>A7/11/9, DT Chi Linh, Nguyen An Ninh, Vung Tau, Ba Ria - Vung Tau</t>
  </si>
  <si>
    <t>10.3780469894, 107.1098556519</t>
  </si>
  <si>
    <t>10.3779115677, 107.1099014282</t>
  </si>
  <si>
    <t>21.1938323975, 105.9546661377</t>
  </si>
  <si>
    <t>21.1938285828, 105.9546661377</t>
  </si>
  <si>
    <t>10.4222269058, 105.0008087158</t>
  </si>
  <si>
    <t>10.4222154617, 105.0008087158</t>
  </si>
  <si>
    <t>12.6924514771, 108.0618515015</t>
  </si>
  <si>
    <t>12.6920032501, 108.0617828369</t>
  </si>
  <si>
    <t>CF4001.32391</t>
  </si>
  <si>
    <t>CF BINH PHU 1</t>
  </si>
  <si>
    <t>65-67 Đường 20,Phường 11,Quận 6,Tp HCM</t>
  </si>
  <si>
    <t>10.8189544678, 106.7008590698</t>
  </si>
  <si>
    <t>10.8189496994, 106.7008361816</t>
  </si>
  <si>
    <t>DT1002119C</t>
  </si>
  <si>
    <t>Nguyễn Văn Khánh</t>
  </si>
  <si>
    <t>737, Lý Bôn, P.Trần Lãm, TP.Thái Bình, Thái Bình</t>
  </si>
  <si>
    <t>20.4323043823, 106.3438262939</t>
  </si>
  <si>
    <t>20.4323272705, 106.3438186646</t>
  </si>
  <si>
    <t>11.5756816864, 108.9889907837</t>
  </si>
  <si>
    <t>11.5753612518, 108.9884033203</t>
  </si>
  <si>
    <t>VI4001.60051</t>
  </si>
  <si>
    <t>VMP_HCM_38_DUONG_TTN02</t>
  </si>
  <si>
    <t>38 Đường TTN02, Khu Phố 7, Phường Tân Thới Nhất, Quận 12, TPHCM</t>
  </si>
  <si>
    <t>10.8351259232, 106.6140289307</t>
  </si>
  <si>
    <t>10.8351755142, 106.6139907837</t>
  </si>
  <si>
    <t>15.0912160873, 108.8226089478</t>
  </si>
  <si>
    <t>15.0912084579, 108.8226089478</t>
  </si>
  <si>
    <t>ST-04A-2021</t>
  </si>
  <si>
    <t>15.1209211349, 108.8065719604</t>
  </si>
  <si>
    <t>15.1210222244, 108.8065414429</t>
  </si>
  <si>
    <t>13.3803443909, 109.1068878174</t>
  </si>
  <si>
    <t>13.3803329468, 109.1068649292</t>
  </si>
  <si>
    <t>20.9446144104, 106.3280258179</t>
  </si>
  <si>
    <t>20.9446067810, 106.3280258179</t>
  </si>
  <si>
    <t>20.6597805023, 105.0829620361</t>
  </si>
  <si>
    <t>10.8777551651, 106.6397552490</t>
  </si>
  <si>
    <t>10.9357376099, 106.8041458130</t>
  </si>
  <si>
    <t>10.9357385635, 106.8041534424</t>
  </si>
  <si>
    <t>AM100310XV</t>
  </si>
  <si>
    <t>Tho Tuyet</t>
  </si>
  <si>
    <t>xa Hop hoa, huyen Tam duong, tinh Vinh phuc</t>
  </si>
  <si>
    <t>21.3782691956, 105.5398712158</t>
  </si>
  <si>
    <t>21.3784217834, 105.5399398804</t>
  </si>
  <si>
    <t>08h30 - 11h00</t>
  </si>
  <si>
    <t>12.6976108551, 108.0794067383</t>
  </si>
  <si>
    <t>12.7042617798, 108.0640640259</t>
  </si>
  <si>
    <t>XH4001.38060</t>
  </si>
  <si>
    <t>BHX Số 155 Lê Văn Quới</t>
  </si>
  <si>
    <t xml:space="preserve">Số 155 Lê Văn Quới, KP 2, Phường Bình Trị Đông, Quận Bình Tân, TP  HCM</t>
  </si>
  <si>
    <t>10.7748804092, 106.6172714233</t>
  </si>
  <si>
    <t>10.7749080658, 106.6172943115</t>
  </si>
  <si>
    <t>DT50121509</t>
  </si>
  <si>
    <t>Hiệp Vân</t>
  </si>
  <si>
    <t>13J1, Chợ Mỹ Quý, P.Mỹ Quý, TP.Long Xuyên, An Giang</t>
  </si>
  <si>
    <t>10.3646383286, 105.4483947754</t>
  </si>
  <si>
    <t>10.3646306992, 105.4484024048</t>
  </si>
  <si>
    <t>RV30011065</t>
  </si>
  <si>
    <t>Huy Phát</t>
  </si>
  <si>
    <t>286, Trương Công Định, 3, Vũng Tàu, Bà Rịa - Vũng Tàu</t>
  </si>
  <si>
    <t>10.3545989990, 107.0848083496</t>
  </si>
  <si>
    <t>10.3546075821, 107.0848007202</t>
  </si>
  <si>
    <t>VI3002.36624</t>
  </si>
  <si>
    <t>VM 468 H V NGHE</t>
  </si>
  <si>
    <t>468 đường Huỳnh Văn Nghệ,KP 9,P Bửu Long,TP Biên Hòa,Đồng Nai</t>
  </si>
  <si>
    <t>10.9558897018, 106.7923660278</t>
  </si>
  <si>
    <t>10.9558305740, 106.7924575806</t>
  </si>
  <si>
    <t>MK20021265</t>
  </si>
  <si>
    <t>Quang Kiều</t>
  </si>
  <si>
    <t>24, Nguyễn Bỉnh Khiêm, Nha Trang, Khánh Hòa</t>
  </si>
  <si>
    <t>12.2562141418, 109.1922760010</t>
  </si>
  <si>
    <t>12.2571382523, 109.1934204102</t>
  </si>
  <si>
    <t>XH4001.113165</t>
  </si>
  <si>
    <t>BHX 73 Đường số 78</t>
  </si>
  <si>
    <t>73 Đường số 78, Xã Tân Phú Trung, Huyện Củ Chi, TP HCM</t>
  </si>
  <si>
    <t>10.9444141388, 106.5408020020</t>
  </si>
  <si>
    <t>10.9444274902, 106.5407791138</t>
  </si>
  <si>
    <t>XH4001.88395</t>
  </si>
  <si>
    <t>BHX Thửa đất số 180, tờ bản đồ số 193 (D1)</t>
  </si>
  <si>
    <t>Thửa đất số 180, tờ bản đồ số 193 (D1), khu phố Bình Giao, phường Thuận Giao, Thị xã Thuận An, Tỉnh Bình Dương</t>
  </si>
  <si>
    <t>10.9404973984, 106.7079010010</t>
  </si>
  <si>
    <t>10.9405336380, 106.7079238892</t>
  </si>
  <si>
    <t>21.4002895355, 105.1881637573</t>
  </si>
  <si>
    <t>21.4003715515, 105.1880493164</t>
  </si>
  <si>
    <t>18.6849803925, 105.5664443970</t>
  </si>
  <si>
    <t>18.6849842072, 105.5664443970</t>
  </si>
  <si>
    <t>TT1007111E</t>
  </si>
  <si>
    <t>Thanh Hằng</t>
  </si>
  <si>
    <t>Chợ Sét, Mỹ Hà, Xã Mỹ Hà, H.Mỹ Lộc (xoa), Nam Định</t>
  </si>
  <si>
    <t>20.4840316772, 106.1366577148</t>
  </si>
  <si>
    <t>20.4840278625, 106.1366653442</t>
  </si>
  <si>
    <t>XH4001.63246</t>
  </si>
  <si>
    <t>BHX 1470 Lê Đức Thọ</t>
  </si>
  <si>
    <t>1470 Lê Đức Thọ, Phường 13, Quận Gò Vấp, TP Hồ Chí Minh</t>
  </si>
  <si>
    <t>10.8583316803, 106.6523971558</t>
  </si>
  <si>
    <t>10.8582916260, 106.6525268555</t>
  </si>
  <si>
    <t>18.6621208191, 105.7013320923</t>
  </si>
  <si>
    <t>18.6621303558, 105.7013320923</t>
  </si>
  <si>
    <t>10.9276552200, 108.1036758423</t>
  </si>
  <si>
    <t>10.9279260635, 108.1040496826</t>
  </si>
  <si>
    <t>18.4483757019, 105.7799224854</t>
  </si>
  <si>
    <t>18.4483680725, 105.7798995972</t>
  </si>
  <si>
    <t>10.9247493744, 106.7569274902</t>
  </si>
  <si>
    <t>10.9248008728, 106.7569732666</t>
  </si>
  <si>
    <t>VS4019.38471</t>
  </si>
  <si>
    <t>VISSAN 420 Nơ Trang Long, P13</t>
  </si>
  <si>
    <t xml:space="preserve">420 Nơ Trang Long, P13, Q  Bình Thạnh (Vissan)</t>
  </si>
  <si>
    <t>10.8170251846, 106.6985931396</t>
  </si>
  <si>
    <t>10.8203144073, 106.7067184448</t>
  </si>
  <si>
    <t>10.2960529327, 105.7650756836</t>
  </si>
  <si>
    <t>10.2960681915, 105.7649993896</t>
  </si>
  <si>
    <t>KG40031CWS</t>
  </si>
  <si>
    <t>Circle K 129F/95i, Bến Vân Đồn</t>
  </si>
  <si>
    <t>129F/95i, Bến Vân Đồn, P.8, Q.4, Hồ Chí Minh</t>
  </si>
  <si>
    <t>10.7616491318, 106.7020263672</t>
  </si>
  <si>
    <t>10.7617273331, 106.7020721436</t>
  </si>
  <si>
    <t xml:space="preserve">Vinh Thắng </t>
  </si>
  <si>
    <t>VT1003114T</t>
  </si>
  <si>
    <t>Thùy Dương 1</t>
  </si>
  <si>
    <t>171, Nguyễn Cao, Ninh Xá, TP Bắc Ninh, Bắc Ninh</t>
  </si>
  <si>
    <t>AL-08C-1046</t>
  </si>
  <si>
    <t>Nguyễn Thị Thêm</t>
  </si>
  <si>
    <t>08h30 - 18h00</t>
  </si>
  <si>
    <t>21.1759414673, 106.0611114502</t>
  </si>
  <si>
    <t>XH4001.75942</t>
  </si>
  <si>
    <t>BHX 135B -135C Bình Long</t>
  </si>
  <si>
    <t>135B -135C Bình Long, Phường Bình Hưng Hòa A, Quận Bình Tân, Tp HCM</t>
  </si>
  <si>
    <t>10.7796258926, 106.6203842163</t>
  </si>
  <si>
    <t>10.7794599533, 106.6232070923</t>
  </si>
  <si>
    <t>11.9661798477, 109.1939239502</t>
  </si>
  <si>
    <t>11.9661750793, 109.1939315796</t>
  </si>
  <si>
    <t>SG4040.34147</t>
  </si>
  <si>
    <t>SATRA 64 DANG VAN BI</t>
  </si>
  <si>
    <t xml:space="preserve">64 Đặng Văn Bi, Khu phố 4, Phường Bình Thọ, TP  Thủ Đức, TP  Hồ Chí Minh</t>
  </si>
  <si>
    <t>10.8421802521, 106.7635192871</t>
  </si>
  <si>
    <t>10.8421812057, 106.7635498047</t>
  </si>
  <si>
    <t>SG4040.32554</t>
  </si>
  <si>
    <t>SF TAN HUONG</t>
  </si>
  <si>
    <t>121-121A, Tân Hương, Phường Tân Quý, Quận Tân Phú, TP HCM</t>
  </si>
  <si>
    <t>10.7896022797, 106.6251983643</t>
  </si>
  <si>
    <t>10.7879362106, 106.6318283081</t>
  </si>
  <si>
    <t>XH4001.113627</t>
  </si>
  <si>
    <t>BHX 124 Đường 30/4, Khu Phố 2</t>
  </si>
  <si>
    <t>124 Đường 30/4, Khu Phố 2, Phường 1, Thị Xã Cai Lậy, Tỉnh Tiền Giang</t>
  </si>
  <si>
    <t>10.4060621262, 106.1187896729</t>
  </si>
  <si>
    <t>10.4060678482, 106.1187820435</t>
  </si>
  <si>
    <t>BR1001.85455</t>
  </si>
  <si>
    <t>BRG E7 Bách Khoa, Quận Hai Bà Trưng</t>
  </si>
  <si>
    <t>E7 Bách Khoa, Quận Hai Bà Trưng, Hà Nội</t>
  </si>
  <si>
    <t>21.0018939972, 105.8493423462</t>
  </si>
  <si>
    <t>21.0019149780, 105.8493576050</t>
  </si>
  <si>
    <t>10.7041387558, 107.2444839478</t>
  </si>
  <si>
    <t>10.7041358948, 107.2444839478</t>
  </si>
  <si>
    <t>VI4001.48425</t>
  </si>
  <si>
    <t>VMP_173_LIEN_KHU_4_5</t>
  </si>
  <si>
    <t>173 Liên khu 4-5, Phường Bình Hưng Hòa, Quận Bình Tân, TP HCM</t>
  </si>
  <si>
    <t>10.7995338440, 106.5866622925</t>
  </si>
  <si>
    <t>10.7994976044, 106.5866317749</t>
  </si>
  <si>
    <t>15.0985050201, 108.8179931641</t>
  </si>
  <si>
    <t>15.1010084152, 108.8172073364</t>
  </si>
  <si>
    <t>VM1014.82721</t>
  </si>
  <si>
    <t>Vinmart 113 Trần Hưng Đạo, p.Quảng Tiến</t>
  </si>
  <si>
    <t>113 Trần Hưng Đạo, p.Quảng Tiến, Tp.Sầm Sơn, Thanh Hóa.</t>
  </si>
  <si>
    <t>19.7497158051, 105.8991928101</t>
  </si>
  <si>
    <t>19.7991142273, 105.7763900757</t>
  </si>
  <si>
    <t>10.7995319366, 106.5866851807</t>
  </si>
  <si>
    <t>10.7994565964, 106.5866241455</t>
  </si>
  <si>
    <t>9.5129604340, 105.2586746216</t>
  </si>
  <si>
    <t>9.5127449036, 105.2588577271</t>
  </si>
  <si>
    <t>VC4001.34708</t>
  </si>
  <si>
    <t>VM THAO DIEN</t>
  </si>
  <si>
    <t xml:space="preserve">TTTM Vincom Megamall Thảo Điền,Xa Lộ Hà Nội,Phường Thảo Điền,TP  Thủ Đức,TP  Hồ Chí Minh</t>
  </si>
  <si>
    <t>10.8021831512, 106.7401885986</t>
  </si>
  <si>
    <t>10.8020048141, 106.7402343750</t>
  </si>
  <si>
    <t>9.9966382980, 105.6702194214</t>
  </si>
  <si>
    <t>9.9967393875, 105.6710968018</t>
  </si>
  <si>
    <t>15.1895885468, 108.7938613892</t>
  </si>
  <si>
    <t>15.1894750595, 108.7938842773</t>
  </si>
  <si>
    <t>XH4001.84416</t>
  </si>
  <si>
    <t>BHX 89/7 ấp Tây Lân</t>
  </si>
  <si>
    <t>89/7 ấp Tây Lân, xã Bà Điểm, huyện Hóc Môn, TPHCM</t>
  </si>
  <si>
    <t>10.8452253342, 106.5999374390</t>
  </si>
  <si>
    <t>10.8452615738, 106.5999450684</t>
  </si>
  <si>
    <t>10.9067649841, 106.8899307251</t>
  </si>
  <si>
    <t>10.9067544937, 106.8899002075</t>
  </si>
  <si>
    <t>KC1001105S</t>
  </si>
  <si>
    <t>Circle K 35</t>
  </si>
  <si>
    <t>35, Lương Ngọc Quyến,P.Hàng Buồm,Q.Hoàn Kiếm,Hà Nội</t>
  </si>
  <si>
    <t>21.0347518921, 105.8523712158</t>
  </si>
  <si>
    <t>15.3818569183, 108.7795410156</t>
  </si>
  <si>
    <t>15.3818578720, 108.7795486450</t>
  </si>
  <si>
    <t>ST-02C-3002</t>
  </si>
  <si>
    <t>Đỗ Hoàng Phú</t>
  </si>
  <si>
    <t>11h30 - 20h30</t>
  </si>
  <si>
    <t>10.9633646011, 106.6876068115</t>
  </si>
  <si>
    <t>XH4001.111960</t>
  </si>
  <si>
    <t>BHX Thửa đất số 512 và 514</t>
  </si>
  <si>
    <t xml:space="preserve">Thửa đất số 512 và 514, Tờ bản đồ số 7, KP  Ngãi Thắng, Phường Bình Thắng, TP  Dĩ An, Tỉnh Bình Dương</t>
  </si>
  <si>
    <t>10.8981018066, 106.8316650391</t>
  </si>
  <si>
    <t>10.8967485428, 106.8316040039</t>
  </si>
  <si>
    <t>10.9430265427, 106.5402145386</t>
  </si>
  <si>
    <t>10.9430408478, 106.5401763916</t>
  </si>
  <si>
    <t>G74003.24138</t>
  </si>
  <si>
    <t>G7 MINISTOP 69 Ngô Tất Tố, Phường 21</t>
  </si>
  <si>
    <t>69 Ngô Tất Tố, Phường 21, Quận Bình Thạnh,Tp HCM</t>
  </si>
  <si>
    <t>10.7933483124, 106.7112503052</t>
  </si>
  <si>
    <t>10.7928733826, 106.7110900879</t>
  </si>
  <si>
    <t>XH4001.63712</t>
  </si>
  <si>
    <t>BHX 04 Phạm Hùng</t>
  </si>
  <si>
    <t>04 Phạm Hùng, Ấp 4, xã Bình Hưng, huyện Bình Chánh, TP HCM</t>
  </si>
  <si>
    <t>10.7287483215, 106.6771240234</t>
  </si>
  <si>
    <t>10.7362079620, 106.6716766357</t>
  </si>
  <si>
    <t>SG5008.39144</t>
  </si>
  <si>
    <t>SATRA AN KHANH</t>
  </si>
  <si>
    <t xml:space="preserve">138G2/20 Nguyễn Văn Cừ, Phường An Khánh, Quận Ninh Kiều, TP  Cần Thơ</t>
  </si>
  <si>
    <t>10.0389862061, 105.7605361938</t>
  </si>
  <si>
    <t>10.0389032364, 105.7604522705</t>
  </si>
  <si>
    <t>10.9370126724, 106.8522109985</t>
  </si>
  <si>
    <t>KC100110N2</t>
  </si>
  <si>
    <t>Công ty Cổ phần dịch vụ và bán lẻ SNB Số 4 Quang Trung</t>
  </si>
  <si>
    <t>Số 4 Quang Trung,Phường Yết Kiêu,Hà Đông,Hà Nội</t>
  </si>
  <si>
    <t>20.9732990265, 105.7786102295</t>
  </si>
  <si>
    <t>20.9734935760, 105.7786483765</t>
  </si>
  <si>
    <t>9.9344930649, 106.3421249390</t>
  </si>
  <si>
    <t>9.9344882965, 106.3421173096</t>
  </si>
  <si>
    <t>VI4001.87455</t>
  </si>
  <si>
    <t>VMP_351/29_LE_DAI_HANH</t>
  </si>
  <si>
    <t>351/29 Lê Đại Hành, phường 11, quận 11, TP HCM</t>
  </si>
  <si>
    <t>10.7660751343, 106.6529464722</t>
  </si>
  <si>
    <t>10.7660818100, 106.6529312134</t>
  </si>
  <si>
    <t>20.4437789917, 106.3379287720</t>
  </si>
  <si>
    <t>XH4001.106739</t>
  </si>
  <si>
    <t>BHX 33A Phước Thắng</t>
  </si>
  <si>
    <t xml:space="preserve">33A Phước Thắng, Phường 12, TP  Vũng Tàu, Tỉnh Bà Rịa - Vũng Tàu</t>
  </si>
  <si>
    <t>10.4206800461, 107.1594009399</t>
  </si>
  <si>
    <t>10.4207239151, 107.1594161987</t>
  </si>
  <si>
    <t>VI4001.47041</t>
  </si>
  <si>
    <t>VMP IDICO LUY BAN BICH</t>
  </si>
  <si>
    <t>Khu thương mại Dịch vụ, Khối B, Khu căn hộ cao tầng Tân Phú IDICO, số 262/13-262/15 Luỹ Bán Bích, phường Hoà Thạnh, quận Tân Phú, TP HCM</t>
  </si>
  <si>
    <t>10.7728042603, 106.6348571777</t>
  </si>
  <si>
    <t>10.7726449966, 106.6347122192</t>
  </si>
  <si>
    <t>XH4001.119637</t>
  </si>
  <si>
    <t>BHX Thôn Trung Tâm, Xã Nam Dong</t>
  </si>
  <si>
    <t>Thôn Trung Tâm, Xã Nam Dong, Huyện Cư Jút, Tỉnh Đắk Nông</t>
  </si>
  <si>
    <t>12.5870971680, 107.8938522339</t>
  </si>
  <si>
    <t>12.4684171677, 107.8282699585</t>
  </si>
  <si>
    <t>KC10011051</t>
  </si>
  <si>
    <t>LS Place Khu căn hộ Hà Đông</t>
  </si>
  <si>
    <t>Khu căn hộ Hà Đông, Tòa nhà IPH 214 Xuân Thủy,P.Nghĩa Đô,Q.Cầu Giấy,Hà Nội</t>
  </si>
  <si>
    <t>21.0359020233, 105.7828598022</t>
  </si>
  <si>
    <t>XH4001.82636</t>
  </si>
  <si>
    <t>BHX Thửa đất số 56 và 190</t>
  </si>
  <si>
    <t>Thửa đất số 56 và 190, Tờ bản đồ số 32, Xã Tân Lập, Huyện Tân Biên, Tỉnh Tây Ninh, Việt Nam</t>
  </si>
  <si>
    <t>11.6082458496, 105.9865036011</t>
  </si>
  <si>
    <t>11.6082324982, 105.9864959717</t>
  </si>
  <si>
    <t>13.4582490921, 109.2217254639</t>
  </si>
  <si>
    <t>13.4582490921, 109.2217102051</t>
  </si>
  <si>
    <t>SH500420CG</t>
  </si>
  <si>
    <t>Khoa</t>
  </si>
  <si>
    <t>67, Cái Tắc, TT Cái Tắc, H.Châu Thành A, Hậu Giang</t>
  </si>
  <si>
    <t>AL-04A-4002</t>
  </si>
  <si>
    <t>Trần Huỳnh Anh</t>
  </si>
  <si>
    <t>9.9238920212, 105.7236938477</t>
  </si>
  <si>
    <t>9.9238824844, 105.7237014771</t>
  </si>
  <si>
    <t>16.0997638702, 108.2525100708</t>
  </si>
  <si>
    <t>16.0997142792, 108.2524642944</t>
  </si>
  <si>
    <t>MK40021IAM</t>
  </si>
  <si>
    <t>Circle K 70, Dong Nai</t>
  </si>
  <si>
    <t>70, Dong Nai, P.15, Q.10, Hồ Chí Minh</t>
  </si>
  <si>
    <t>10.7791757584, 106.6625137329</t>
  </si>
  <si>
    <t>10.7792234421, 106.6625137329</t>
  </si>
  <si>
    <t>NC40171JU4</t>
  </si>
  <si>
    <t>BS Mart 240, Phạm Văn Chiêu</t>
  </si>
  <si>
    <t>240, Phạm Văn Chiêu, P.9, Q.Gò Vấp, Hồ Chí Minh</t>
  </si>
  <si>
    <t>10.8483819962, 106.6488265991</t>
  </si>
  <si>
    <t>10.8483715057, 106.6488418579</t>
  </si>
  <si>
    <t>TL4004100D</t>
  </si>
  <si>
    <t>TH Anh Cường</t>
  </si>
  <si>
    <t>108, Phạm Thế Hiển, 2, 8, HCM</t>
  </si>
  <si>
    <t>AL-09D-3006</t>
  </si>
  <si>
    <t>Võ Hiếu Thảo</t>
  </si>
  <si>
    <t>10.7508935928, 106.6875457764</t>
  </si>
  <si>
    <t>10.2240409851, 103.9743194580</t>
  </si>
  <si>
    <t>10.2240486145, 103.9742660522</t>
  </si>
  <si>
    <t>10.7439832687, 106.6557083130</t>
  </si>
  <si>
    <t>10.7439823151, 106.6557312012</t>
  </si>
  <si>
    <t>VM1009.85936</t>
  </si>
  <si>
    <t>CC_ONE18_NGO_298_NGOC_LAM</t>
  </si>
  <si>
    <t xml:space="preserve">Tầng 1, tòa nhà 18 tầng One 18 tại 19 ngõ 298 đường Ngọc Lâm, Q  Long Biên, TP Hà Nội</t>
  </si>
  <si>
    <t>21.0469398499, 105.8734359741</t>
  </si>
  <si>
    <t>21.0538368225, 105.8771209717</t>
  </si>
  <si>
    <t>20.1667709351, 106.0774765015</t>
  </si>
  <si>
    <t>20.1667881012, 106.0774841309</t>
  </si>
  <si>
    <t>TV5006.8148</t>
  </si>
  <si>
    <t>SAI GON _ TRA VINH</t>
  </si>
  <si>
    <t xml:space="preserve">Đường Nguyễn Đáng, Khóm 3, P6, Tp Trà Vinh, T  Trà Vinh</t>
  </si>
  <si>
    <t>ST-04G-4002</t>
  </si>
  <si>
    <t>Quảng Thị Thơm</t>
  </si>
  <si>
    <t>9.9242658615, 106.3410110474</t>
  </si>
  <si>
    <t>9.9240303040, 106.3404617310</t>
  </si>
  <si>
    <t>CO4047.91856</t>
  </si>
  <si>
    <t>CM_SCA_TAY_NINH</t>
  </si>
  <si>
    <t xml:space="preserve">TTTM TTC Plaza Tây Ninh - 217-219 Đường 30-4, P2, TP  Tây Ninh, Tỉnh Tây Ninh</t>
  </si>
  <si>
    <t>ST-10E-3014</t>
  </si>
  <si>
    <t>Trương Thị Thanh Tâm</t>
  </si>
  <si>
    <t>11.3127031326, 106.0959091187</t>
  </si>
  <si>
    <t>10.2694473267, 105.5353164673</t>
  </si>
  <si>
    <t>10.2690515518, 105.5357437134</t>
  </si>
  <si>
    <t>VI1001.88945</t>
  </si>
  <si>
    <t>VMP_QNH_TO_5_YET_KIEU</t>
  </si>
  <si>
    <t>Tổ 5 khu 1, phường Yết Kiêu, TP. Hạ Long, Tỉnh Quảng Ninh</t>
  </si>
  <si>
    <t>20.9613571167, 107.0853500366</t>
  </si>
  <si>
    <t>20.9613342285, 107.0853805542</t>
  </si>
  <si>
    <t>10.8603792191, 106.6919174194</t>
  </si>
  <si>
    <t>10.8603811264, 106.6919250488</t>
  </si>
  <si>
    <t>10.8967781067, 106.8316955566</t>
  </si>
  <si>
    <t>10.8967971802, 106.8316955566</t>
  </si>
  <si>
    <t>VI5018.100388</t>
  </si>
  <si>
    <t>VMP_STG_176_LE_HONG_PHONG</t>
  </si>
  <si>
    <t>176 Lê Hồng Phong, khóm 4, P3, TP Sóc Trăng, Tỉnh Sóc Trăng</t>
  </si>
  <si>
    <t>9.5924396515, 105.9747009277</t>
  </si>
  <si>
    <t>9.5926675797, 105.9745941162</t>
  </si>
  <si>
    <t>MA1007.90287</t>
  </si>
  <si>
    <t>CM_SCA_VICTORIA</t>
  </si>
  <si>
    <t>Tầng trệt tòa nhà V2, V3 - Văn Phú Victoria - CT9, khu đô thị mới Văn Phú, phường Phú La, quận Hà Đông, Thành phố Hà Nội</t>
  </si>
  <si>
    <t>20.9595432281, 105.7686157227</t>
  </si>
  <si>
    <t>20.9592304230, 105.7678527832</t>
  </si>
  <si>
    <t>CF4001.123971</t>
  </si>
  <si>
    <t>CF_BINH_KHANH</t>
  </si>
  <si>
    <t>2680 Huỳnh Tấn Phát, Phú Xuân, Nhà Bè, Thành phố Hồ Chí Minh</t>
  </si>
  <si>
    <t>10.7042074203, 106.7305297852</t>
  </si>
  <si>
    <t>10.7073860168, 106.7274932861</t>
  </si>
  <si>
    <t>XH4001.53722</t>
  </si>
  <si>
    <t>BHX 70 Hiệp Bình</t>
  </si>
  <si>
    <t xml:space="preserve">70 Hiệp Bình, Khu phố 8, phường Hiệp Bình Chánh, TP  Thủ Đức, TP  Hồ Chí Minh</t>
  </si>
  <si>
    <t>10.8405933380, 106.7317810059</t>
  </si>
  <si>
    <t>10.8406105042, 106.7317962646</t>
  </si>
  <si>
    <t>XH4001.76499</t>
  </si>
  <si>
    <t>BHX 151/6-151/8, Trần Hoàng Na</t>
  </si>
  <si>
    <t>151/6-151/8, Trần Hoàng Na, Phường Hưng Lợi, Quận Ninh Kiểu, Thành phố Cần Thơ</t>
  </si>
  <si>
    <t>10.0138015747, 105.7629165649</t>
  </si>
  <si>
    <t>10.0138158798, 105.7629241943</t>
  </si>
  <si>
    <t>KC1001105C</t>
  </si>
  <si>
    <t>Circle K 186</t>
  </si>
  <si>
    <t>186, Thái Thịnh,P.Trung Liệt,Q.Đống Đa,Hà Nội</t>
  </si>
  <si>
    <t>21.0132389069, 105.8159027100</t>
  </si>
  <si>
    <t>21.0132293701, 105.8159027100</t>
  </si>
  <si>
    <t>VI3002.54491</t>
  </si>
  <si>
    <t>VMP_DNI_27_DUONG_643</t>
  </si>
  <si>
    <t>27 Đường 643 khu phố 2, Phường Long Bình, Thành phố Biên Hòa, Đồng Nai</t>
  </si>
  <si>
    <t>10.9513597488, 106.8765106201</t>
  </si>
  <si>
    <t>10.9513521194, 106.8764953613</t>
  </si>
  <si>
    <t>KG40031RLV</t>
  </si>
  <si>
    <t>Siêu thị GS-25 296 lầu 1-296/1-296/2, Nguyễn Tất Thành</t>
  </si>
  <si>
    <t>296 lầu 1-296/1-296/2, Nguyễn Tất Thành, P.12, Q.4, Hồ Chí Minh</t>
  </si>
  <si>
    <t>10.7615184784, 106.7097396851</t>
  </si>
  <si>
    <t>10.7614517212, 106.7097473145</t>
  </si>
  <si>
    <t>SG4040.50987</t>
  </si>
  <si>
    <t>Satra 1614A_TINH_LO_8_CU_CHI</t>
  </si>
  <si>
    <t>1614A Tỉnh lộ 8, Ấp 4, Xã Hòa Phú, Huyện Củ Chi, TPHCM</t>
  </si>
  <si>
    <t>10.9812679291, 106.6038589478</t>
  </si>
  <si>
    <t>10.9812393188, 106.6038513184</t>
  </si>
  <si>
    <t>PT40351OPT</t>
  </si>
  <si>
    <t>BS Mart 63, Hoang Hoa Tham</t>
  </si>
  <si>
    <t>63, Hoang Hoa Tham, P.13, Q.Tân Bình, Hồ Chí Minh</t>
  </si>
  <si>
    <t>10.8003530502, 106.6473846436</t>
  </si>
  <si>
    <t>10.8003549576, 106.6473770142</t>
  </si>
  <si>
    <t>20.2307052612, 106.0242385864</t>
  </si>
  <si>
    <t>20.2307567596, 106.0243148804</t>
  </si>
  <si>
    <t>VI4001.64725</t>
  </si>
  <si>
    <t>VMP_1443_NGUYEN_DUY_TRINH</t>
  </si>
  <si>
    <t xml:space="preserve">1443 Nguyễn Duy Trinh, Phường Trường Thạnh, TP  Thủ Đức, TP Hồ Chí Minh</t>
  </si>
  <si>
    <t>10.8060722351, 106.8206863403</t>
  </si>
  <si>
    <t>10.8061017990, 106.8206939697</t>
  </si>
  <si>
    <t>10.8299713135, 106.6382751465</t>
  </si>
  <si>
    <t>10.8299245834, 106.6382369995</t>
  </si>
  <si>
    <t>10.8060245514, 106.8206176758</t>
  </si>
  <si>
    <t>10.8060235977, 106.8204040527</t>
  </si>
  <si>
    <t>PT40351OMF</t>
  </si>
  <si>
    <t>TH Thùy Vân</t>
  </si>
  <si>
    <t>593, Phạm Văn Bạch, 15, Tân Bình, HCM</t>
  </si>
  <si>
    <t>10.8270797729, 106.6408538818</t>
  </si>
  <si>
    <t>10.8271245956, 106.6408462524</t>
  </si>
  <si>
    <t>NT40541F8H</t>
  </si>
  <si>
    <t>Circle K A67, Nguyễn Trãi</t>
  </si>
  <si>
    <t>A67, Nguyễn Trãi, P.Nguyễn Cư Trinh, Q.1, Hồ Chí Minh</t>
  </si>
  <si>
    <t>10.7662343979, 106.6879577637</t>
  </si>
  <si>
    <t>10.7645959854, 106.6876449585</t>
  </si>
  <si>
    <t>VM1009.55442</t>
  </si>
  <si>
    <t>VMP_HNI_110_TRAN_PHU</t>
  </si>
  <si>
    <t>Tầng 1, tòa nhà Sông Đà-Hà Đông, số 110 đường Trần Phú, quận Hà Đông, thành phố Hà Nội</t>
  </si>
  <si>
    <t>20.9773559570, 105.7839584351</t>
  </si>
  <si>
    <t>20.9776515961, 105.7836074829</t>
  </si>
  <si>
    <t>VI4001.18824</t>
  </si>
  <si>
    <t>VM TON DAN</t>
  </si>
  <si>
    <t>Số 24 Tôn Đản,Phường 13,Quận 4,Tp HCM</t>
  </si>
  <si>
    <t>10.7617092133, 106.7078933716</t>
  </si>
  <si>
    <t>10.7616796494, 106.7078933716</t>
  </si>
  <si>
    <t>20.9693355560, 105.7684097290</t>
  </si>
  <si>
    <t>20.9693336487, 105.7684020996</t>
  </si>
  <si>
    <t>VM1009.50032</t>
  </si>
  <si>
    <t>VMP_TT3_40_41_KDG_TU_HIEP</t>
  </si>
  <si>
    <t>TT3 40-41, Khu đấu giá quyền sử dụng đất, xã Ngũ Hiệp – Tứ Hiệp, Thanh Trì , Hà Nội</t>
  </si>
  <si>
    <t>20.9361591339, 105.8504714966</t>
  </si>
  <si>
    <t>20.9361667633, 105.8505401611</t>
  </si>
  <si>
    <t>10.2914180756, 105.7683715820</t>
  </si>
  <si>
    <t>10.2912015915, 105.7681579590</t>
  </si>
  <si>
    <t>XH4001.103287</t>
  </si>
  <si>
    <t>BHX Thửa đất số 165, 166</t>
  </si>
  <si>
    <t>Thửa đất số 165, 166, Tờ bản đồ số 1C và Thửa đất số 90, Tờ bản đồ số 35, Xã Bình Thành, Huyện Lấp Vò, Tỉnh Đồng Tháp</t>
  </si>
  <si>
    <t>10.3616657257, 105.5216445923</t>
  </si>
  <si>
    <t>10.3445005417, 105.4950103760</t>
  </si>
  <si>
    <t>10.2998733521, 106.3577346802</t>
  </si>
  <si>
    <t>10.2996921539, 106.3577117920</t>
  </si>
  <si>
    <t>XH4001.112313</t>
  </si>
  <si>
    <t>BHX 23-23A Đường số 6</t>
  </si>
  <si>
    <t xml:space="preserve">23-23A Đường số 6, Khu phố 2, Phường Hiệp Bình Chánh, TP  Thủ Đức, TP  Hồ Chí Minh</t>
  </si>
  <si>
    <t>10.8304004669, 106.7161560059</t>
  </si>
  <si>
    <t>10.8304328918, 106.7161102295</t>
  </si>
  <si>
    <t>VM1009.51941</t>
  </si>
  <si>
    <t>VMP_451_DAI_MO</t>
  </si>
  <si>
    <t>TDP Tháp, Phường Đại Mỗ , quận Nam Từ Liêm, Hà Nội</t>
  </si>
  <si>
    <t>ST-11E-1002</t>
  </si>
  <si>
    <t>Kiều Phương Hà</t>
  </si>
  <si>
    <t>20.9955406189, 105.7541275024</t>
  </si>
  <si>
    <t>20.9956150055, 105.7540893555</t>
  </si>
  <si>
    <t>G74003.88405</t>
  </si>
  <si>
    <t>G7 MINISTOP 927 Nguyễn Trãi, Phường 14</t>
  </si>
  <si>
    <t>927 Nguyễn Trãi, Phường 14, Quận 5</t>
  </si>
  <si>
    <t>10.7528629303, 106.6552352905</t>
  </si>
  <si>
    <t>10.7528524399, 106.6552658081</t>
  </si>
  <si>
    <t>20.9922485352, 105.8141708374</t>
  </si>
  <si>
    <t>20.9914207458, 105.8133239746</t>
  </si>
  <si>
    <t>PH100310PL</t>
  </si>
  <si>
    <t>Bình Hưng</t>
  </si>
  <si>
    <t>Đông Kết, Đường 206, X.Đông Kết, H.Khoái Châu, Hưng Yên</t>
  </si>
  <si>
    <t>20.8240680695, 105.9466857910</t>
  </si>
  <si>
    <t>20.8240108490, 105.9467926025</t>
  </si>
  <si>
    <t>10.9721069336, 106.8528976440</t>
  </si>
  <si>
    <t>10.9720592499, 106.8529281616</t>
  </si>
  <si>
    <t>XH4001.65872</t>
  </si>
  <si>
    <t>BHX 66-66A-68A Thân Nhân Trung</t>
  </si>
  <si>
    <t xml:space="preserve">66-66A-68A Thân Nhân Trung, Phường 13, Tân Bình, TP  HCM</t>
  </si>
  <si>
    <t>10.8044099808, 106.6426544189</t>
  </si>
  <si>
    <t>10.8043937683, 106.6427230835</t>
  </si>
  <si>
    <t>NT40541DI6</t>
  </si>
  <si>
    <t>Circle K 32, Bùi Thị Xuân</t>
  </si>
  <si>
    <t>32, Bùi Thị Xuân, P.Bến Thành, Q.1, Hồ Chí Minh</t>
  </si>
  <si>
    <t>10.7720870972, 106.6904296875</t>
  </si>
  <si>
    <t>10.7720499039, 106.6904220581</t>
  </si>
  <si>
    <t>9.9368133545, 106.3417434692</t>
  </si>
  <si>
    <t>9.9368038177, 106.3417968750</t>
  </si>
  <si>
    <t>20.8576374054, 105.7654190063</t>
  </si>
  <si>
    <t>20.8576164246, 105.7654342651</t>
  </si>
  <si>
    <t>10.4061889648, 106.1188964844</t>
  </si>
  <si>
    <t>VI4001.46151</t>
  </si>
  <si>
    <t>VMP 10C LE MINH XUAN</t>
  </si>
  <si>
    <t>10B -10C Lê Minh Xuân, Phường 7, q Tân Bình, tp HCM</t>
  </si>
  <si>
    <t>10.7872610092, 106.6549835205</t>
  </si>
  <si>
    <t>10.7872362137, 106.6549911499</t>
  </si>
  <si>
    <t>16.0951328278, 108.2461242676</t>
  </si>
  <si>
    <t>16.0951461792, 108.2461166382</t>
  </si>
  <si>
    <t>10.8642196655, 106.6678085327</t>
  </si>
  <si>
    <t>10.8642349243, 106.6678085327</t>
  </si>
  <si>
    <t>VI1126.101322</t>
  </si>
  <si>
    <t>VMP_HBH_444_CU_CHINH_LAN</t>
  </si>
  <si>
    <t xml:space="preserve">444 Cù Chính Lan, Phường Đồng Tiến, TP  Hòa Bình, Tỉnh Hòa Bình</t>
  </si>
  <si>
    <t>20.8271923065, 105.3540573120</t>
  </si>
  <si>
    <t>20.8271865845, 105.3540573120</t>
  </si>
  <si>
    <t>10.7796564102, 106.6479034424</t>
  </si>
  <si>
    <t>10.7796792984, 106.6478195190</t>
  </si>
  <si>
    <t>NT40541DTU</t>
  </si>
  <si>
    <t>Family Mart 410-414, Nguyễn Đình Chiểu</t>
  </si>
  <si>
    <t>410-414, Nguyễn Đình Chiểu, P.4, Q.3, Hồ Chí Minh</t>
  </si>
  <si>
    <t>10.7732849121, 106.6851272583</t>
  </si>
  <si>
    <t>10.7732973099, 106.6851501465</t>
  </si>
  <si>
    <t>MK20021UHG</t>
  </si>
  <si>
    <t>Tấn Sang</t>
  </si>
  <si>
    <t>Ngã 3 Phước Đồng, Phước Đồng, Nha Trang, Khánh Hòa</t>
  </si>
  <si>
    <t>12.1895236969, 109.1700820923</t>
  </si>
  <si>
    <t>12.1896133423, 109.1701431274</t>
  </si>
  <si>
    <t>9.8111944199, 106.1877212524</t>
  </si>
  <si>
    <t>9.8111810684, 106.1877288818</t>
  </si>
  <si>
    <t>12.7300033569, 108.3667068481</t>
  </si>
  <si>
    <t>12.7299623489, 108.3667602539</t>
  </si>
  <si>
    <t>VM1009.23981</t>
  </si>
  <si>
    <t>VM 409 BACH MAI</t>
  </si>
  <si>
    <t>Số 409 Bạch Mai, phường Bạch Mai, Quận Hai Bà Trưng, TP Hà Nội</t>
  </si>
  <si>
    <t>20.9741058350, 105.8442687988</t>
  </si>
  <si>
    <t>10.8255033493, 106.7066421509</t>
  </si>
  <si>
    <t>10.8255138397, 106.7066497803</t>
  </si>
  <si>
    <t>LH3007109M</t>
  </si>
  <si>
    <t>LucKy</t>
  </si>
  <si>
    <t>Kios 34, Chợ Đà Lạt, 1, TP Đà Lạt, Lâm Đồng</t>
  </si>
  <si>
    <t>AL-12A-2004</t>
  </si>
  <si>
    <t>11.9438352585, 108.4374542236</t>
  </si>
  <si>
    <t>11.9441347122, 108.4377288818</t>
  </si>
  <si>
    <t>9.2846174240, 105.7213363647</t>
  </si>
  <si>
    <t>9.2846403122, 105.7213287354</t>
  </si>
  <si>
    <t>ST5001113K</t>
  </si>
  <si>
    <t>Chị Kiều</t>
  </si>
  <si>
    <t>ấp Mỹ Thạnh A, Ngã Ba Ba Dừa, X.Long Tiên, H.Cai Lậy, Tiền Giang</t>
  </si>
  <si>
    <t>AL-04A-4123</t>
  </si>
  <si>
    <t>Trần Thị Tuyết Lam</t>
  </si>
  <si>
    <t>10.3408365250, 106.1293487549</t>
  </si>
  <si>
    <t>LD50041172</t>
  </si>
  <si>
    <t>Chị Phượng</t>
  </si>
  <si>
    <t>0, Đường 30/4, Ấp 5, TT.Long Mỹ, H.Long Mỹ, Hậu Giang</t>
  </si>
  <si>
    <t>AL-03E-4022</t>
  </si>
  <si>
    <t>Lê Thu Thảo</t>
  </si>
  <si>
    <t>9.6796255112, 105.5672683716</t>
  </si>
  <si>
    <t>AM100311HS</t>
  </si>
  <si>
    <t>Tran Van Manh</t>
  </si>
  <si>
    <t>cho chua, ngu kien Vinh tuong, Vinh phuc</t>
  </si>
  <si>
    <t>21.1972503662, 105.5324478149</t>
  </si>
  <si>
    <t>21.1642742157, 105.5383987427</t>
  </si>
  <si>
    <t>11.0287275314, 106.3590011597</t>
  </si>
  <si>
    <t>11.0287313461, 106.3590240479</t>
  </si>
  <si>
    <t>10.0021486282, 105.7506103516</t>
  </si>
  <si>
    <t>10.0021514893, 105.7506179810</t>
  </si>
  <si>
    <t>10.3408298492, 106.1293411255</t>
  </si>
  <si>
    <t>10.3408174515, 106.1293182373</t>
  </si>
  <si>
    <t>XH4001.59189</t>
  </si>
  <si>
    <t>BHX Thửa đất số 758 tờ bản đồ số 11</t>
  </si>
  <si>
    <t>Thửa đất số 758 tờ bản đồ số 11, Đường DT747B, phường Thái Hòa, Thị xã Tân Uyên, tỉnh Bình Dương</t>
  </si>
  <si>
    <t>10.9766159058, 106.7537689209</t>
  </si>
  <si>
    <t>10.9765748978, 106.7539672852</t>
  </si>
  <si>
    <t>10.1645030975, 105.9283752441</t>
  </si>
  <si>
    <t>10.1645870209, 105.9283599854</t>
  </si>
  <si>
    <t>XH4001.106793</t>
  </si>
  <si>
    <t>BHX 1044 Nguyễn Văn Quá</t>
  </si>
  <si>
    <t>1044 Nguyễn Văn Quá, Phường Đông Hưng Thuận, Quận 12, TP HCM</t>
  </si>
  <si>
    <t>10.8514413834, 106.6374740601</t>
  </si>
  <si>
    <t>10.8515996933, 106.6375503540</t>
  </si>
  <si>
    <t>10.9358501434, 106.8037796021</t>
  </si>
  <si>
    <t>10.9358158112, 106.8037948608</t>
  </si>
  <si>
    <t>CF4001.4937</t>
  </si>
  <si>
    <t>CF PHAM VAN CHIEU</t>
  </si>
  <si>
    <t>42/7 Phạm Văn Chiêu, P 9, Q Gò Vấp, Tp HCM</t>
  </si>
  <si>
    <t>10.8253879547, 106.6882019043</t>
  </si>
  <si>
    <t>10.8251991272, 106.6882553101</t>
  </si>
  <si>
    <t>13.9813299179, 107.9936676025</t>
  </si>
  <si>
    <t>13.9814100266, 107.9936218262</t>
  </si>
  <si>
    <t>VI4001.47767</t>
  </si>
  <si>
    <t>VMP 1206 LE DUC THO</t>
  </si>
  <si>
    <t>1206 Lê Đức Thọ, Phường 13, Quận Gò Vấp</t>
  </si>
  <si>
    <t>10.8526878357, 106.6605606079</t>
  </si>
  <si>
    <t>10.8526544571, 106.6605453491</t>
  </si>
  <si>
    <t>21.0063285828, 105.8356094360</t>
  </si>
  <si>
    <t>21.0063247681, 105.8356246948</t>
  </si>
  <si>
    <t>19.4240093231, 105.7936706543</t>
  </si>
  <si>
    <t>19.4239826202, 105.7936782837</t>
  </si>
  <si>
    <t>15.0473508835, 108.7770538330</t>
  </si>
  <si>
    <t>15.0473413467, 108.7770309448</t>
  </si>
  <si>
    <t>07h30 - 11h00</t>
  </si>
  <si>
    <t>11.0377397537, 106.3872375488</t>
  </si>
  <si>
    <t>11.0377531052, 106.3872909546</t>
  </si>
  <si>
    <t>XH4001.42870</t>
  </si>
  <si>
    <t>BHX 66/18 KP4, Phường Bình Hưng Hòa B</t>
  </si>
  <si>
    <t xml:space="preserve">66/18, KP4, Phường Bình Hưng Hòa B, Quận Bình Tân, TP  HCM</t>
  </si>
  <si>
    <t>10.8009347916, 106.5899734497</t>
  </si>
  <si>
    <t>10.8008766174, 106.5899963379</t>
  </si>
  <si>
    <t>BR1001.108183</t>
  </si>
  <si>
    <t>BRG 86 Hàng Đào, quận Hoàn Kiếm</t>
  </si>
  <si>
    <t>86 Hàng Đào, quận Hoàn Kiếm, Hà Nội</t>
  </si>
  <si>
    <t>21.0327606201, 105.8512420654</t>
  </si>
  <si>
    <t>21.0327949524, 105.8512191772</t>
  </si>
  <si>
    <t>XH4001.113641</t>
  </si>
  <si>
    <t>BHX Tổ 4, Khu Phố Trảng Cát</t>
  </si>
  <si>
    <t xml:space="preserve">Tổ 4, Khu Phố Trảng Cát, P  Hắc Dịch, TX  Phú Mỹ, Tỉnh Bà Rịa - Vũng Tàu</t>
  </si>
  <si>
    <t>10.6405782700, 107.0903549194</t>
  </si>
  <si>
    <t>10.6405410767, 107.0903472900</t>
  </si>
  <si>
    <t>15.5695409775, 108.4716796875</t>
  </si>
  <si>
    <t>15.5695362091, 108.4716796875</t>
  </si>
  <si>
    <t>20.4182643890, 106.1621704102</t>
  </si>
  <si>
    <t>20.4183082581, 106.1622009277</t>
  </si>
  <si>
    <t>VI4001.44905</t>
  </si>
  <si>
    <t>VMP 4A DUONG SO 7</t>
  </si>
  <si>
    <t xml:space="preserve">54A Đường  Số 7, KP 3, Phường linh trung thủ Đức, TP  Hồ Chí Minh</t>
  </si>
  <si>
    <t>10.8609600067, 106.7791748047</t>
  </si>
  <si>
    <t>10.8594703674, 106.7684326172</t>
  </si>
  <si>
    <t>9.2274093628, 105.4174804688</t>
  </si>
  <si>
    <t>9.2268886566, 105.4160079956</t>
  </si>
  <si>
    <t>10.0035972595, 106.1351928711</t>
  </si>
  <si>
    <t>KC10011095</t>
  </si>
  <si>
    <t>Circle K Số 112</t>
  </si>
  <si>
    <t>Số 112, Cầu Gỗ,P.Hàng Bạc,Q.Hoàn Kiếm,Hà Nội</t>
  </si>
  <si>
    <t>21.0321655273, 105.8524780273</t>
  </si>
  <si>
    <t>21.0321788788, 105.8524322510</t>
  </si>
  <si>
    <t>CO5012.48998</t>
  </si>
  <si>
    <t>COOPMART HÀ TIÊN</t>
  </si>
  <si>
    <t>Số 20 Đường Mạc Công Du, Khu Phố 2, Phường Đông Hồ, Thành Phố Hà Tiên, Tỉnh Kiên Giang</t>
  </si>
  <si>
    <t>ST-05E-4002</t>
  </si>
  <si>
    <t>Trần Văn Phát</t>
  </si>
  <si>
    <t>10.3841590881, 104.4887084961</t>
  </si>
  <si>
    <t>LC1009.24961</t>
  </si>
  <si>
    <t>Lan chi Số 74, Phường Xuân Khanh</t>
  </si>
  <si>
    <t>Số 74, Phường Xuân Khanh, TX Sơn Tây, TP Hà Nội</t>
  </si>
  <si>
    <t>21.1095199585, 105.4486618042</t>
  </si>
  <si>
    <t>21.1095237732, 105.4484786987</t>
  </si>
  <si>
    <t>10.0655870438, 105.5594863892</t>
  </si>
  <si>
    <t>10.0655755997, 105.5594863892</t>
  </si>
  <si>
    <t>VM1012.55179</t>
  </si>
  <si>
    <t>VMP_HPG_622B_THIEN_LOI</t>
  </si>
  <si>
    <t>622B Thiên Lôi, phường Vĩnh Niệm, Quận Lê Chân, Thành Phố Hải Phòng</t>
  </si>
  <si>
    <t>20.8304080963, 106.6782760620</t>
  </si>
  <si>
    <t>20.8274707794, 106.6820220947</t>
  </si>
  <si>
    <t>11.5332727432, 106.8962020874</t>
  </si>
  <si>
    <t>11.5333271027, 106.8963851929</t>
  </si>
  <si>
    <t>VI4001.82593</t>
  </si>
  <si>
    <t>CC_GIAI_VIET_A0106-A0107</t>
  </si>
  <si>
    <t xml:space="preserve">Căn Hộ A0106 - A0107, Tầng Trệt CC Quốc Cường Gia Lai, 340 Tạ Quang Bửu, P 05, Q  8, TP HCM ( Giai Việt  - Zakka )</t>
  </si>
  <si>
    <t>10.7373390198, 106.6687774658</t>
  </si>
  <si>
    <t>10.7372951508, 106.6687316895</t>
  </si>
  <si>
    <t>10.9278059006, 107.2441482544</t>
  </si>
  <si>
    <t>10.9278278351, 107.2441864014</t>
  </si>
  <si>
    <t>KC10011068</t>
  </si>
  <si>
    <t>Circle K 27</t>
  </si>
  <si>
    <t>27, Đinh Tiên Hoàng,P.Hàng Bạc,Q.Hoàn Kiếm,Hà Nội</t>
  </si>
  <si>
    <t>21.0317306519, 105.8526000977</t>
  </si>
  <si>
    <t>21.0321769714, 105.8525085449</t>
  </si>
  <si>
    <t>10.8349037170, 106.6622924805</t>
  </si>
  <si>
    <t>10.8347024918, 106.6622238159</t>
  </si>
  <si>
    <t>10.2882814407, 105.6584777832</t>
  </si>
  <si>
    <t>10.2884645462, 105.6585617065</t>
  </si>
  <si>
    <t>11.1715192795, 108.5655288696</t>
  </si>
  <si>
    <t>11.1707925797, 108.5655899048</t>
  </si>
  <si>
    <t>10.3667154312, 107.0850143433</t>
  </si>
  <si>
    <t>10.3669719696, 107.0855865479</t>
  </si>
  <si>
    <t>NC401717KY</t>
  </si>
  <si>
    <t>Cô Cẩm</t>
  </si>
  <si>
    <t>141 (13/8B), Nguyễn Tư Giản (Phan Huy Ích), 12, Gò Vấp, HCM</t>
  </si>
  <si>
    <t>AL-05G-3009</t>
  </si>
  <si>
    <t>Hà Thị Mỹ Phúc</t>
  </si>
  <si>
    <t>11h00 - 19h00</t>
  </si>
  <si>
    <t>10.8319883347, 106.6400527954</t>
  </si>
  <si>
    <t>11.0286626816, 106.3589096069</t>
  </si>
  <si>
    <t>11.0286331177, 106.3589096069</t>
  </si>
  <si>
    <t>LD5004104Y</t>
  </si>
  <si>
    <t>Kim Đình</t>
  </si>
  <si>
    <t>21, Châu Văn Liêm, P.1, TP.Vị Thanh, Hậu Giang</t>
  </si>
  <si>
    <t>AL-08C-4022</t>
  </si>
  <si>
    <t>Lê Thị Huỳnh Như</t>
  </si>
  <si>
    <t>9.7827386856, 105.4671859741</t>
  </si>
  <si>
    <t>NC4017101X</t>
  </si>
  <si>
    <t>Quang Giang</t>
  </si>
  <si>
    <t>Kios 1, Chợ Thạnh Xuân, Thạnh Xuân, 12, HCM</t>
  </si>
  <si>
    <t>10.8796968460, 106.6781005859</t>
  </si>
  <si>
    <t>10.8796977997, 106.6780929565</t>
  </si>
  <si>
    <t>TT100712Q6</t>
  </si>
  <si>
    <t>Trinh Lụa</t>
  </si>
  <si>
    <t>Khang Giang, Yên Đồng, X.Yên Đồng, H.Ý Yên, Nam Định</t>
  </si>
  <si>
    <t>20.2577743530, 106.0660858154</t>
  </si>
  <si>
    <t>20.2577667236, 106.0660934448</t>
  </si>
  <si>
    <t>10.8109331131, 106.5751113892</t>
  </si>
  <si>
    <t>CF4001.49585</t>
  </si>
  <si>
    <t>MINH_DUC</t>
  </si>
  <si>
    <t>103 đường 154, Phường Tân Phú, TP. Thủ Đức, TP. Hồ Chí Minh</t>
  </si>
  <si>
    <t>10.8409643173, 106.7976303101</t>
  </si>
  <si>
    <t>10.8409566879, 106.7976684570</t>
  </si>
  <si>
    <t>MK400213FG</t>
  </si>
  <si>
    <t>Quỳnh Hương</t>
  </si>
  <si>
    <t>128, Phạm Văn Hai, 3, Tân Bình, HCM</t>
  </si>
  <si>
    <t>AL-01B-3004</t>
  </si>
  <si>
    <t>Mai Nguyễn Phương Quỳnh</t>
  </si>
  <si>
    <t>10.7934818268, 106.6627426147</t>
  </si>
  <si>
    <t>10.7934036255, 106.6626968384</t>
  </si>
  <si>
    <t>NC40171IYU</t>
  </si>
  <si>
    <t>Hoàng Vỹ</t>
  </si>
  <si>
    <t>331, Tân Thới Hiệp 7, Tân Thới Hiệp, 12, HCM</t>
  </si>
  <si>
    <t>AL-04A-3068</t>
  </si>
  <si>
    <t>Trương Kim Thy</t>
  </si>
  <si>
    <t>10.8669109344, 106.6416854858</t>
  </si>
  <si>
    <t>10.8668994904, 106.6417007446</t>
  </si>
  <si>
    <t>10.2148637772, 103.9675064087</t>
  </si>
  <si>
    <t>10.2148685455, 103.9674987793</t>
  </si>
  <si>
    <t>11.6536712646, 106.6069183350</t>
  </si>
  <si>
    <t>11.6537179947, 106.6069259644</t>
  </si>
  <si>
    <t>AM1003112H</t>
  </si>
  <si>
    <t>Tuân Hoàn</t>
  </si>
  <si>
    <t>Phố Me, TT.Hợp Hòa, Tam Dương, Vĩnh Phúc</t>
  </si>
  <si>
    <t>21.3823738098, 105.5423736572</t>
  </si>
  <si>
    <t>21.3823547363, 105.5423812866</t>
  </si>
  <si>
    <t>9.9053258896, 105.1599273682</t>
  </si>
  <si>
    <t>9.9046287537, 105.1586074829</t>
  </si>
  <si>
    <t>10.8411960602, 106.4213027954</t>
  </si>
  <si>
    <t>10.8411283493, 106.4210281372</t>
  </si>
  <si>
    <t>11.5944137573, 108.9501571655</t>
  </si>
  <si>
    <t>11.5943164825, 108.9502487183</t>
  </si>
  <si>
    <t>DL100413PV</t>
  </si>
  <si>
    <t>Chú Thâu</t>
  </si>
  <si>
    <t>289, Lạch Tray, P.Đằng Giang, Q.Ngô Quyền, Hải Phòng</t>
  </si>
  <si>
    <t>20.8315582275, 106.6983337402</t>
  </si>
  <si>
    <t>20.8316097260, 106.6983184814</t>
  </si>
  <si>
    <t>PL5001112R</t>
  </si>
  <si>
    <t>Tuấn Dũng</t>
  </si>
  <si>
    <t>142, Tổ 4, ấp Tân Quới Đông, X.Tân Ngãi, TP.Vĩnh Long, Vĩnh Long</t>
  </si>
  <si>
    <t>10.2640924454, 105.9337463379</t>
  </si>
  <si>
    <t>10.2640895844, 105.9337387085</t>
  </si>
  <si>
    <t>DT10021091</t>
  </si>
  <si>
    <t>Hòa Ngát</t>
  </si>
  <si>
    <t>Chợ La, Minh Quang, TT.Vũ Thư, H.Vũ Thư, Thái Bình</t>
  </si>
  <si>
    <t>20.4355773926, 106.2808074951</t>
  </si>
  <si>
    <t>20.4355735779, 106.2808151245</t>
  </si>
  <si>
    <t>10.7560329437, 106.7045059204</t>
  </si>
  <si>
    <t>10.7560520172, 106.7044830322</t>
  </si>
  <si>
    <t>CF4001.4973</t>
  </si>
  <si>
    <t>CF PHU LOI</t>
  </si>
  <si>
    <t>3419C Phạm Thế Hiển,P7,Q8,Tp HCM</t>
  </si>
  <si>
    <t>10.7084436417, 106.6237716675</t>
  </si>
  <si>
    <t>10.7084274292, 106.6237411499</t>
  </si>
  <si>
    <t>MP400218KK</t>
  </si>
  <si>
    <t>Minh Sang</t>
  </si>
  <si>
    <t>574/28, Hẻm Sinco, An Lạc, Bình Tân, HCM</t>
  </si>
  <si>
    <t>AL-05D-3020</t>
  </si>
  <si>
    <t>Trần Thị Cẩm Hồng</t>
  </si>
  <si>
    <t>10.7332944870, 106.6088943481</t>
  </si>
  <si>
    <t>20.6805343628, 106.0785064697</t>
  </si>
  <si>
    <t>20.6805000305, 106.0785293579</t>
  </si>
  <si>
    <t>VI4001.55749</t>
  </si>
  <si>
    <t>VMP_HCM_39A_41_DOI_CUNG</t>
  </si>
  <si>
    <t>39A-41 Đường Đội Cung, Phường 11, Quận 11, TPHCM</t>
  </si>
  <si>
    <t>10.7670516968, 106.6501998901</t>
  </si>
  <si>
    <t>10.7670536041, 106.6502151489</t>
  </si>
  <si>
    <t>10.2055339813, 105.5054702759</t>
  </si>
  <si>
    <t>10.2055454254, 105.5054702759</t>
  </si>
  <si>
    <t>MP40021060</t>
  </si>
  <si>
    <t>Ba Tam</t>
  </si>
  <si>
    <t>A3/4, Nguyễn Cửu Phú, X Tân Kiên, Bình Chánh, HCM</t>
  </si>
  <si>
    <t>10.7289352417, 106.5812225342</t>
  </si>
  <si>
    <t>10.7290334702, 106.5814285278</t>
  </si>
  <si>
    <t>KG40031QBJ</t>
  </si>
  <si>
    <t xml:space="preserve">Family Mart Số 8, Đường 35 </t>
  </si>
  <si>
    <t>Số 8, Đường 35 , KDC Cát Lái, P.Cát Lái, Q.2, Hồ Chí Minh</t>
  </si>
  <si>
    <t>10.7669582367, 106.7844848633</t>
  </si>
  <si>
    <t>TT100712C3</t>
  </si>
  <si>
    <t>Hoàng Thùy Dung</t>
  </si>
  <si>
    <t>Chợ Đống Cao, Yên lộc, X.Yên Phúc, H.Ý Yên, Nam Định</t>
  </si>
  <si>
    <t>20.2711124420, 106.1155929565</t>
  </si>
  <si>
    <t>20.2711143494, 106.1155929565</t>
  </si>
  <si>
    <t>KC100110DH</t>
  </si>
  <si>
    <t>Circle K 80 Ao Sen</t>
  </si>
  <si>
    <t xml:space="preserve">80 Ao Sen, Mỗ Lao, Hà Đông, Hà Nội </t>
  </si>
  <si>
    <t>20.9814720154, 105.7888793945</t>
  </si>
  <si>
    <t>20.9814815521, 105.7888870239</t>
  </si>
  <si>
    <t>CO1005.49638</t>
  </si>
  <si>
    <t>Co.op NAM ĐỊNH</t>
  </si>
  <si>
    <t>Số 91 đường Điện Biên, P.Cửa Bắc, TP. Nam Định, T. Nam Định</t>
  </si>
  <si>
    <t>20.4305000305, 106.1617126465</t>
  </si>
  <si>
    <t>20.4299488068, 106.1615753174</t>
  </si>
  <si>
    <t>XH4001.108749</t>
  </si>
  <si>
    <t>BHX Số 51-52-53 Thôn 18A, xã Ea Bar</t>
  </si>
  <si>
    <t>Số 51-52-53 Thôn 18A, xã Ea Bar, Huyện Buôn Đôn, Tỉnh Đắk Lắk</t>
  </si>
  <si>
    <t>12.7695627213, 107.9902191162</t>
  </si>
  <si>
    <t>12.7695455551, 107.9902343750</t>
  </si>
  <si>
    <t>AA40031IKG</t>
  </si>
  <si>
    <t>Minh Trang</t>
  </si>
  <si>
    <t>525, Ấp 2, Nguyễn Văn Tạo, X Long Thới, Nhà Bè, HCM</t>
  </si>
  <si>
    <t>AL-06F-3001</t>
  </si>
  <si>
    <t>Nguyễn Trang Anh Vũ</t>
  </si>
  <si>
    <t>10.6505870819, 106.7302246094</t>
  </si>
  <si>
    <t>11.0051631927, 106.4273605347</t>
  </si>
  <si>
    <t>11.0051288605, 106.4273834229</t>
  </si>
  <si>
    <t>XH4001.50581</t>
  </si>
  <si>
    <t>BHX  Số 4 - 6,Thửa đất số 64</t>
  </si>
  <si>
    <t> Số 4 - 6,Thửa đất số 64,Tờ bản đồ số 18,Đường APĐ01,KP 01,P An Phú Đông,Q 12,TP HCM</t>
  </si>
  <si>
    <t>10.8595514297, 106.6915664673</t>
  </si>
  <si>
    <t>10.8595581055, 106.6915588379</t>
  </si>
  <si>
    <t>16.4107093811, 107.6729049683</t>
  </si>
  <si>
    <t>16.4106445313, 107.6728591919</t>
  </si>
  <si>
    <t>HD4023.5711</t>
  </si>
  <si>
    <t>SAI GON HD 92 Nguyễn Hữu Cảnh, P 22</t>
  </si>
  <si>
    <t>92 Nguyễn Hữu Cảnh, P 22, Q Bình Thạnh, TP HCM</t>
  </si>
  <si>
    <t>10.7907495499, 106.7191238403</t>
  </si>
  <si>
    <t>10.7909135818, 106.7193374634</t>
  </si>
  <si>
    <t>SG4040.43253</t>
  </si>
  <si>
    <t>SF HA HUY GIAP</t>
  </si>
  <si>
    <t xml:space="preserve">2/89 Hà Huy Giáp, Khu phố 1, Phường Thạnh Lộc, Quận 12, TP  HCM</t>
  </si>
  <si>
    <t>10.8836278915, 106.6807937622</t>
  </si>
  <si>
    <t>10.8820772171, 106.6794204712</t>
  </si>
  <si>
    <t>VM1009.65651</t>
  </si>
  <si>
    <t>VMP_HNI_TT01_05_HD_MON</t>
  </si>
  <si>
    <t xml:space="preserve">TT01-05, Dự án Hải Đăng City tại Lô đất NO-CT1, đường Hàm Nghi, phường Mỹ Đình 2, quận Nam  Từ Liêm, Hà Nội</t>
  </si>
  <si>
    <t>21.0358657837, 105.7672653198</t>
  </si>
  <si>
    <t>21.0359230042, 105.7672729492</t>
  </si>
  <si>
    <t>GH500112AF</t>
  </si>
  <si>
    <t>Út Vẹn</t>
  </si>
  <si>
    <t>55B Tinh L, ap Loc Tien_Xa My Loc, X.Mỹ Lộc, H.Cần Giuộc, Long An</t>
  </si>
  <si>
    <t>AL-12A-4002</t>
  </si>
  <si>
    <t>Nguyễn Thị Hồng Phượng</t>
  </si>
  <si>
    <t>11h00 - 19h30</t>
  </si>
  <si>
    <t>10.6046714783, 106.6206207275</t>
  </si>
  <si>
    <t>AM100310DS</t>
  </si>
  <si>
    <t>Hạnh Định</t>
  </si>
  <si>
    <t>Lãng Công, Sông Lô, Vĩnh Phúc</t>
  </si>
  <si>
    <t>21.4713459015, 105.4616851807</t>
  </si>
  <si>
    <t>21.4692134857, 105.3774948120</t>
  </si>
  <si>
    <t>XH4001.89321</t>
  </si>
  <si>
    <t>BHX Thửa đất số 170 và 179</t>
  </si>
  <si>
    <t>Thửa đất số 170 và 179, Tờ bản đố số 17, Đường ĐT-741, Ấp Thuận Phú 1, Xã Thuận Phú, Huyện Đồng Phú, Tỉnh Bình Phước</t>
  </si>
  <si>
    <t>11.5928421021, 106.8897781372</t>
  </si>
  <si>
    <t>11.5929136276, 106.8921508789</t>
  </si>
  <si>
    <t>CO3004.64986</t>
  </si>
  <si>
    <t>CM_CHAU_THANH_TAY_NINH</t>
  </si>
  <si>
    <t>Đường 781, Khu phố 3, Thị trấn Châu Thành, Huyện Châu Thành, Tỉnh Tây Ninh</t>
  </si>
  <si>
    <t>11.3105964661, 106.0279312134</t>
  </si>
  <si>
    <t>11.3106422424, 106.0278930664</t>
  </si>
  <si>
    <t>VI5003.79224</t>
  </si>
  <si>
    <t>VMP_163H_163H7_NG_VAN_CU</t>
  </si>
  <si>
    <t>163H-163H/7 Nguyễn Văn Cừ nối dài, P An Khánh, Q Ninh Kiều, TP Cần Thơ</t>
  </si>
  <si>
    <t>10.0383405685, 105.7598266602</t>
  </si>
  <si>
    <t>10.0387916565, 105.7601623535</t>
  </si>
  <si>
    <t>XH4001.87787</t>
  </si>
  <si>
    <t>BHX Thửa đất số 2384 và 2385, Tờ bản đồ số 01</t>
  </si>
  <si>
    <t>Thửa đất số 2384 và 2385, Tờ bản đồ số 01, đường QL57, Ấp Bình Tây, Xã Cẩm Sơn, Huyện Mỏ Cày Nam, Tỉnh Bến Tre</t>
  </si>
  <si>
    <t>10.1291189194, 106.3324813843</t>
  </si>
  <si>
    <t>10.1290950775, 106.3324432373</t>
  </si>
  <si>
    <t>KC1001103E</t>
  </si>
  <si>
    <t>Côngty TNHH Siêu Thị Hoàng Cầu Số 1A1</t>
  </si>
  <si>
    <t>Số 1A1, Trần Quang Diệu,P.Ô Chợ Dừa,Q.Đống Đa,Hà Nội</t>
  </si>
  <si>
    <t>21.0175552368, 105.8256683350</t>
  </si>
  <si>
    <t>21.0175704956, 105.8256988525</t>
  </si>
  <si>
    <t>NT40541DI3</t>
  </si>
  <si>
    <t>Family Mart 125, Cống Quỳnh</t>
  </si>
  <si>
    <t>125, Cống Quỳnh, P.Nguyễn Cư Trinh, Q.1, Hồ Chí Minh</t>
  </si>
  <si>
    <t>10.7657871246, 106.6897277832</t>
  </si>
  <si>
    <t>10.7657489777, 106.6897430420</t>
  </si>
  <si>
    <t>GH5001103Q</t>
  </si>
  <si>
    <t>31, Phan Boi Chau, P.1, TX.Gò Công, Tiền Giang</t>
  </si>
  <si>
    <t>AL-08F-4005</t>
  </si>
  <si>
    <t>Lê Dương Quốc Thắng</t>
  </si>
  <si>
    <t>10h00 - 19h00</t>
  </si>
  <si>
    <t>10.3613204956, 106.6754455566</t>
  </si>
  <si>
    <t>VI1002.58136</t>
  </si>
  <si>
    <t>VMP_PTO_KHU_TAN_THINH</t>
  </si>
  <si>
    <t>Khu Tân Thịnh, Phường Tân Dân, thành phố Việt Trì, tỉnh Phú Thọ</t>
  </si>
  <si>
    <t>21.3274269104, 105.4003829956</t>
  </si>
  <si>
    <t>21.3275127411, 105.4001922607</t>
  </si>
  <si>
    <t>NC4017100B</t>
  </si>
  <si>
    <t>Đại lý Vinamilk</t>
  </si>
  <si>
    <t>37/4A, Nguyễn Ảnh Thủ, Hiệp Thành, 12, HCM</t>
  </si>
  <si>
    <t>10.8862571716, 106.6315536499</t>
  </si>
  <si>
    <t>10.8862648010, 106.6315689087</t>
  </si>
  <si>
    <t>SG4040.30979</t>
  </si>
  <si>
    <t>SF LE VAN THO</t>
  </si>
  <si>
    <t xml:space="preserve">492 Lê Văn Thọ, Phường 16, Quận Gò Vấp, Tp  HCM</t>
  </si>
  <si>
    <t>10.8500814438, 106.6563262939</t>
  </si>
  <si>
    <t>10.8501796722, 106.6562805176</t>
  </si>
  <si>
    <t>XH4001.109136</t>
  </si>
  <si>
    <t>BHX Thôn An Cư, Xã Cư Huê</t>
  </si>
  <si>
    <t>Thôn An Cư, Xã Cư Huê, Huyện Ea Kar, Tỉnh Đắk Lắk</t>
  </si>
  <si>
    <t>12.8081226349, 108.4351654053</t>
  </si>
  <si>
    <t>12.8081159592, 108.4350891113</t>
  </si>
  <si>
    <t>XH4001.51747</t>
  </si>
  <si>
    <t>BHX 902 Lê Văn Lương</t>
  </si>
  <si>
    <t>902 Lê Văn Lương, ấp 5, xã Phước Kiển, huyện Nhà Bè, thành phố Hồ Chí Minh</t>
  </si>
  <si>
    <t>10.7229642868, 106.6979293823</t>
  </si>
  <si>
    <t>10.7181034088, 106.6992874146</t>
  </si>
  <si>
    <t>12.2558050156, 109.0992355347</t>
  </si>
  <si>
    <t>12.2559223175, 109.0991973877</t>
  </si>
  <si>
    <t>CF4001.83762</t>
  </si>
  <si>
    <t>CF_NO_TRANG_LONG_235</t>
  </si>
  <si>
    <t>235-235A Nơ Trang Long, Phường 11, Quận Bình Thạnh, Tp HCM</t>
  </si>
  <si>
    <t>10.8087511063, 106.7312850952</t>
  </si>
  <si>
    <t>10.8219051361, 106.7296066284</t>
  </si>
  <si>
    <t>13.8027133942, 109.1471939087</t>
  </si>
  <si>
    <t>13.8027105331, 109.1471862793</t>
  </si>
  <si>
    <t>10.7625770569, 106.7025375366</t>
  </si>
  <si>
    <t>10.7625904083, 106.7026214600</t>
  </si>
  <si>
    <t>21.0317745209, 105.8524932861</t>
  </si>
  <si>
    <t>HD4023.111872</t>
  </si>
  <si>
    <t>Sài Gòn HD Tòa nhà Novaland Sunrise Riverside, G1-10</t>
  </si>
  <si>
    <t>Tòa nhà Novaland Sunrise Riverside, G1-10, Đường D1, Nguyễn Hữu Thọ, Xã Phước Kiển, H Nhà Bè, TP HCM</t>
  </si>
  <si>
    <t>10.7232589722, 106.7039871216</t>
  </si>
  <si>
    <t>10.7233276367, 106.7039413452</t>
  </si>
  <si>
    <t>XH4001.50569</t>
  </si>
  <si>
    <t>BHX Số 54 đường số 154</t>
  </si>
  <si>
    <t xml:space="preserve">Số 54 đường số 154, Phường Tân phú, TP  Thủ Đức, TP  Hồ Chí Minh</t>
  </si>
  <si>
    <t>10.8673620224, 106.8077545166</t>
  </si>
  <si>
    <t>10.8673400879, 106.8077468872</t>
  </si>
  <si>
    <t>SG4040.31061</t>
  </si>
  <si>
    <t>SF VUON LAI</t>
  </si>
  <si>
    <t xml:space="preserve">141 Vườn Lài, phường Phú Thọ Hòa, quận Tân Phú, Tp  HCM</t>
  </si>
  <si>
    <t>10.7879886627, 106.6318054199</t>
  </si>
  <si>
    <t>10.7896709442, 106.6252365112</t>
  </si>
  <si>
    <t>11.5985326767, 109.0366134644</t>
  </si>
  <si>
    <t>11.5985460281, 109.0367660522</t>
  </si>
  <si>
    <t>CF4001.121897</t>
  </si>
  <si>
    <t>CF_TAY_THANH_257_259</t>
  </si>
  <si>
    <t>257-259 Tây Thạnh, Phường Tây Thạnh, Quận Tân Phú, TP HCM</t>
  </si>
  <si>
    <t>10.8120336533, 106.6216049194</t>
  </si>
  <si>
    <t>10.8120765686, 106.6215896606</t>
  </si>
  <si>
    <t>SH500431V1</t>
  </si>
  <si>
    <t>1, Cầu Trắng, X.Mỹ Hương, H.Mỹ Tú, Sóc Trăng</t>
  </si>
  <si>
    <t>AL-04A-4013</t>
  </si>
  <si>
    <t>Nguyễn Ga Pan</t>
  </si>
  <si>
    <t>10H30-19H00</t>
  </si>
  <si>
    <t>9.5959281921, 105.9024810791</t>
  </si>
  <si>
    <t>CF4001.54301</t>
  </si>
  <si>
    <t>CF_LE_THI_HA_2</t>
  </si>
  <si>
    <t xml:space="preserve">36/7B Lê Thị Hà, Xã Tân Xuân  Huyện Hóc Môn</t>
  </si>
  <si>
    <t>10.8905172348, 106.5927505493</t>
  </si>
  <si>
    <t>10.8740606308, 106.6039428711</t>
  </si>
  <si>
    <t>KC100110NR</t>
  </si>
  <si>
    <t>Circle K số 14 phố Khương Hạ</t>
  </si>
  <si>
    <t>số 14 phố Khương Hạ, P.Khương Đình, Q.Thanh Xuân, Hà Nội</t>
  </si>
  <si>
    <t>20.9924011230, 105.8151626587</t>
  </si>
  <si>
    <t>20.9924030304, 105.8154525757</t>
  </si>
  <si>
    <t>VI4001.64717</t>
  </si>
  <si>
    <t>VMP_HCM_66_10A_BINH_THANH</t>
  </si>
  <si>
    <t>66/10A Bình Thành, KP4, phường Bình Hưng Hòa B, Quận Bình Tân, TP HCM</t>
  </si>
  <si>
    <t>10.8015079498, 106.5879974365</t>
  </si>
  <si>
    <t>10.8013477325, 106.5879821777</t>
  </si>
  <si>
    <t>CF4001.4924</t>
  </si>
  <si>
    <t>CF LE VAN QUOI</t>
  </si>
  <si>
    <t>441 Lê Văn Quới,P Bình Hưng Hòa A,Q Bình Tân,Tp HCM</t>
  </si>
  <si>
    <t>10.8171539307, 106.6977157593</t>
  </si>
  <si>
    <t>10.7797641754, 106.6473312378</t>
  </si>
  <si>
    <t>MK40021JFO</t>
  </si>
  <si>
    <t>Circle K 525, Tô Hiến Thành</t>
  </si>
  <si>
    <t>525, Tô Hiến Thành, P.14, Q.10, Hồ Chí Minh</t>
  </si>
  <si>
    <t>10.7723369598, 106.6604614258</t>
  </si>
  <si>
    <t>10.7790555954, 106.6623992920</t>
  </si>
  <si>
    <t>10.8014001846, 106.5879821777</t>
  </si>
  <si>
    <t>10.8013515472, 106.5879669189</t>
  </si>
  <si>
    <t>VM1012.50145</t>
  </si>
  <si>
    <t>VMP_HPG_449_THIEN_LOI</t>
  </si>
  <si>
    <t>449 Thiên Lôi, Phường Vĩnh Niệm, Quận Lê Chân , Hải Phòng</t>
  </si>
  <si>
    <t>20.8334197998, 106.6743545532</t>
  </si>
  <si>
    <t>20.8304519653, 106.6782989502</t>
  </si>
  <si>
    <t>VI2009.32756</t>
  </si>
  <si>
    <t>Vinmart Plus 03 Hai Bà Trưng, Phường Xương Huân</t>
  </si>
  <si>
    <t xml:space="preserve">03 Hai Bà Trưng, Phường Xương Huân, TP  Nha Trang</t>
  </si>
  <si>
    <t>12.2122564316, 109.1966400146</t>
  </si>
  <si>
    <t>12.2154684067, 109.1885528564</t>
  </si>
  <si>
    <t>KG40031RKB</t>
  </si>
  <si>
    <t>Siêu thị GS-25 262, Khánh Hội</t>
  </si>
  <si>
    <t>262, Khánh Hội, P.6, Q.4, Hồ Chí Minh</t>
  </si>
  <si>
    <t>10.7597560883, 106.6986312866</t>
  </si>
  <si>
    <t>10.7597017288, 106.6986083984</t>
  </si>
  <si>
    <t>MP40021HXF</t>
  </si>
  <si>
    <t>TERRA Lầu 1 Tòa nhà Khang Nam, Khu 13E Nguyễn Văn Linh</t>
  </si>
  <si>
    <t>Lầu 1 Tòa nhà Khang Nam, Khu 13E Nguyễn Văn Linh, X.Bình Hưng, H.Bình Chánh, Hồ Chí Minh</t>
  </si>
  <si>
    <t>10.7068443298, 106.6442947388</t>
  </si>
  <si>
    <t>10.7057037354, 106.6436614990</t>
  </si>
  <si>
    <t>KC100110JX</t>
  </si>
  <si>
    <t>Kmart 119 Trần Duy Hưng</t>
  </si>
  <si>
    <t>Căn C2- S02- Lô đất HH- KĐT ĐÔng Nam- 119 Trần Duy Hưng- Trung hòa- Cầu giấy hà nội</t>
  </si>
  <si>
    <t>21.0043640137, 105.7944259644</t>
  </si>
  <si>
    <t>21.0043621063, 105.7944259644</t>
  </si>
  <si>
    <t>NC40171M5M</t>
  </si>
  <si>
    <t>Siêu thị GS-25 6C- 6D, Phạm Văn Chiêu</t>
  </si>
  <si>
    <t>6C- 6D, Phạm Văn Chiêu, P.8, Q.Gò Vấp, Hồ Chí Minh</t>
  </si>
  <si>
    <t>10.8450450897, 106.6417922974</t>
  </si>
  <si>
    <t>10.8450403214, 106.6417922974</t>
  </si>
  <si>
    <t>VI4001.50779</t>
  </si>
  <si>
    <t>VMP_602_52_DIEN_BIEN_PHU</t>
  </si>
  <si>
    <t>602/52 Điện Biên Phủ, P 22, Bình Thạnh, HCM</t>
  </si>
  <si>
    <t>10.7979431152, 106.7177124023</t>
  </si>
  <si>
    <t>KA500320H9</t>
  </si>
  <si>
    <t>Bình Yên</t>
  </si>
  <si>
    <t>0, Chợ Trần Hợi, ấp 10 A, X.Trần Hợi, H.Trần Văn Thời, Cà Mau</t>
  </si>
  <si>
    <t>AL-08C-4027</t>
  </si>
  <si>
    <t>Trịnh Thị Hằng</t>
  </si>
  <si>
    <t>9.1435079575, 104.9380035400</t>
  </si>
  <si>
    <t>PT40351R0A</t>
  </si>
  <si>
    <t>Kidsplaza Số 428 Cộng Hòa, P.13</t>
  </si>
  <si>
    <t>Số 428 Cộng Hòa, P.13, Q. Tân Bình</t>
  </si>
  <si>
    <t>10.8022737503, 106.6430587769</t>
  </si>
  <si>
    <t>10.8022584915, 106.6431274414</t>
  </si>
  <si>
    <t>XH4001.64152</t>
  </si>
  <si>
    <t>BHX Thửa đất 197, 198</t>
  </si>
  <si>
    <t>Thửa đất 197, 198, 199 tờ bản đồ số 2, Khu dân cư Nam Long 2, xã Long Hòa, huyện Cần Đước, tỉnh Long An</t>
  </si>
  <si>
    <t>10.5814800262, 106.5901641846</t>
  </si>
  <si>
    <t>10.5813341141, 106.5900878906</t>
  </si>
  <si>
    <t>KC1001106P</t>
  </si>
  <si>
    <t>Circle K Số 30 Phố Bát Sứ</t>
  </si>
  <si>
    <t xml:space="preserve">Số 30 Phố Bát Sứ, phường Hàng Bồ, quận Hoàn Kiếm, tp Hà Nội </t>
  </si>
  <si>
    <t>21.0349502563, 105.8474349976</t>
  </si>
  <si>
    <t>21.0349578857, 105.8474502563</t>
  </si>
  <si>
    <t>VI1123.90085</t>
  </si>
  <si>
    <t>VMP_HTH_64_NGUYEN_HUY_TU</t>
  </si>
  <si>
    <t>64 Nguyễn Huy Tự, Phường Bắc Hà, TP. Hà Tĩnh, Tỉnh Hà Tĩnh</t>
  </si>
  <si>
    <t>18.3426132202, 105.8998336792</t>
  </si>
  <si>
    <t>18.3427066803, 105.8998107910</t>
  </si>
  <si>
    <t>VI1001.47561</t>
  </si>
  <si>
    <t>VMP QNH 192 194 TRAN PHU</t>
  </si>
  <si>
    <t>Số 192-194 đường Trần Phú, phường Cao Xanh, thành phố Hạ Long, Quảng Ninh</t>
  </si>
  <si>
    <t>20.9660511017, 107.0837860107</t>
  </si>
  <si>
    <t>20.9660320282, 107.0838012695</t>
  </si>
  <si>
    <t>CF4001.4975</t>
  </si>
  <si>
    <t>CF LE VAN VIET</t>
  </si>
  <si>
    <t xml:space="preserve">556 Lê Văn Việt,Phường Long Thạnh Mỹ,TP  Thủ Đức,TP  Hồ Chí Minh</t>
  </si>
  <si>
    <t>10.8562326431, 106.7753219604</t>
  </si>
  <si>
    <t>10.8441591263, 106.7988967896</t>
  </si>
  <si>
    <t>VI1102.84995</t>
  </si>
  <si>
    <t>VMP_NAN_70B_HA_HUY_TAP</t>
  </si>
  <si>
    <t>70B Hà Huy Tập, P.Hà Huy Tập, Tp.Vinh, Nghệ An</t>
  </si>
  <si>
    <t>18.6896476746, 105.6798400879</t>
  </si>
  <si>
    <t>18.6896533966, 105.6798324585</t>
  </si>
  <si>
    <t>XH4001.109194</t>
  </si>
  <si>
    <t>BHX 59/3 Đường Trần Phú, khóm 5</t>
  </si>
  <si>
    <t xml:space="preserve">59/3 Đường Trần Phú, khóm 5, phường 4, TP  Vĩnh Long, Tỉnh Vĩnh Long</t>
  </si>
  <si>
    <t>10.2364997864, 105.9895935059</t>
  </si>
  <si>
    <t>10.2364721298, 105.9895095825</t>
  </si>
  <si>
    <t>VI4001.30407</t>
  </si>
  <si>
    <t>VM 258 P V HON</t>
  </si>
  <si>
    <t>C Hộ TM 08,Green Nest1,CC Tecco Tower,285 Phan Văn Hớn,P Tân Thới Nhất,Q 12,Tp HCM</t>
  </si>
  <si>
    <t>10.8306779861, 106.6107025146</t>
  </si>
  <si>
    <t>10.8305559158, 106.6106109619</t>
  </si>
  <si>
    <t>SG4040.31094</t>
  </si>
  <si>
    <t>SF DAN CHU</t>
  </si>
  <si>
    <t xml:space="preserve">29 Dân Chủ, Phường Bình Thọ, TP  Thủ Đức, TP  Hồ Chí Minh</t>
  </si>
  <si>
    <t>10.8465642929, 106.7653732300</t>
  </si>
  <si>
    <t>10.8464746475, 106.7652511597</t>
  </si>
  <si>
    <t>NT40541DGW</t>
  </si>
  <si>
    <t>Family Mart 49, Bùi Thị Xuân</t>
  </si>
  <si>
    <t>49, Bùi Thị Xuân, P.Bến Thành, Q.1, Hồ Chí Minh</t>
  </si>
  <si>
    <t>10.7711486816, 106.6897888184</t>
  </si>
  <si>
    <t>10.7711334229, 106.6898040771</t>
  </si>
  <si>
    <t>VI4001.91532</t>
  </si>
  <si>
    <t>VMP_HCM_120_LO_LU</t>
  </si>
  <si>
    <t xml:space="preserve">120 Lò Lu, phường Trường Thạnh, TP  Thủ Đức, TP  Hồ Chí Minh</t>
  </si>
  <si>
    <t>10.8264741898, 106.8187026978</t>
  </si>
  <si>
    <t>10.8264083862, 106.8186798096</t>
  </si>
  <si>
    <t>10.8264856339, 106.8188629150</t>
  </si>
  <si>
    <t>10.8265285492, 106.8188476563</t>
  </si>
  <si>
    <t>VI4001.29074</t>
  </si>
  <si>
    <t>VM 60 LE VAN CHI</t>
  </si>
  <si>
    <t xml:space="preserve">60 Lê Văn Chí, Khu Phố 3, Phường Linh Trung, TP  Thủ Đức, TP  Hồ Chí Minh</t>
  </si>
  <si>
    <t>10.8609085083, 106.7791519165</t>
  </si>
  <si>
    <t>10.8609657288, 106.7791671753</t>
  </si>
  <si>
    <t>NT40541FAK</t>
  </si>
  <si>
    <t>Circle K 264, Nguyễn Đình Chiểu</t>
  </si>
  <si>
    <t>264, Nguyễn Đình Chiểu, P.3, Q.3, Hồ Chí Minh</t>
  </si>
  <si>
    <t>10.7764139175, 106.6881637573</t>
  </si>
  <si>
    <t>10.7765073776, 106.6881027222</t>
  </si>
  <si>
    <t>VM1014.87517</t>
  </si>
  <si>
    <t>Vinmart 321 Ngô Quyền, Phường Trung Sơn</t>
  </si>
  <si>
    <t>321 Ngô Quyền, Phường Trung Sơn, TP. Sầm Sơn, Tỉnh Thanh Hóa</t>
  </si>
  <si>
    <t>19.7496929169, 105.8992156982</t>
  </si>
  <si>
    <t>19.7497062683, 105.8991470337</t>
  </si>
  <si>
    <t>CO5007.17753</t>
  </si>
  <si>
    <t>COOP CAO LANH</t>
  </si>
  <si>
    <t>Số 01 Ngô Thời Nhậm,Phường 1,Thành Phố Cao Lãnh,Tỉnh Đồng Tháp</t>
  </si>
  <si>
    <t>10.4588003159, 105.6400222778</t>
  </si>
  <si>
    <t>10.4588108063, 105.6400070190</t>
  </si>
  <si>
    <t>TD500510KF</t>
  </si>
  <si>
    <t>TH út Hùng</t>
  </si>
  <si>
    <t>Gần quán Ba Hoàng, ấp Vĩnh Yên, X.Long Đức, TP.Trà Vinh, Trà Vinh</t>
  </si>
  <si>
    <t>AL-10E-4006</t>
  </si>
  <si>
    <t>Nguyễn Thị Tú Anh</t>
  </si>
  <si>
    <t>9.9642276764, 106.3467559814</t>
  </si>
  <si>
    <t>VI4001.58199</t>
  </si>
  <si>
    <t>VMP_HCM_965_44_QUANGTRUNG</t>
  </si>
  <si>
    <t>965/44 Quang Trung, Phường 14, Quận Gò Vấp, TPHCM</t>
  </si>
  <si>
    <t>10.8438701630, 106.6365432739</t>
  </si>
  <si>
    <t>10.8438539505, 106.6365203857</t>
  </si>
  <si>
    <t>NT500112XM</t>
  </si>
  <si>
    <t>Jerry Baby Mỏ Cày</t>
  </si>
  <si>
    <t>145B KP4 QL60, TT Mỏ Cày, TT.Mỏ Cày, H.Mỏ Cày Nam, Bến Tre</t>
  </si>
  <si>
    <t>AL-09F-4010</t>
  </si>
  <si>
    <t>Lô Thúy Anh</t>
  </si>
  <si>
    <t>10h30 - 19h00</t>
  </si>
  <si>
    <t>10.1240396500, 106.3327102661</t>
  </si>
  <si>
    <t>KC100110JL</t>
  </si>
  <si>
    <t>Circle K  số 12 Trần Phú</t>
  </si>
  <si>
    <t> số 12 Trần Phú, Văn Quán, Hà Đông, Hà Nội</t>
  </si>
  <si>
    <t>20.9826316833, 105.7909317017</t>
  </si>
  <si>
    <t>20.9826335907, 105.7908172607</t>
  </si>
  <si>
    <t>XH4001.36916</t>
  </si>
  <si>
    <t>BHX 175C đường số 8,KP 20</t>
  </si>
  <si>
    <t>175C đường số 8,KP 20,P Bình Hưng Hòa A,Q Bình Tân,TP HCM</t>
  </si>
  <si>
    <t>10.7692213058, 106.5948944092</t>
  </si>
  <si>
    <t>10.7842674255, 106.6157073975</t>
  </si>
  <si>
    <t>KC100110CJ</t>
  </si>
  <si>
    <t>Circle K 30 Mai Anh Tuấn</t>
  </si>
  <si>
    <t>30 Mai Anh Tuấn, Đống Đa, Hà Nội</t>
  </si>
  <si>
    <t>21.0191974640, 105.8224487305</t>
  </si>
  <si>
    <t>21.0190963745, 105.8225250244</t>
  </si>
  <si>
    <t>VM1009.26174</t>
  </si>
  <si>
    <t>VM 38 LINH LANG</t>
  </si>
  <si>
    <t>38 Linh Lang, P Cổng Vị, Q Ba Đình,Hà Nội</t>
  </si>
  <si>
    <t>21.0360317230, 105.8104782104</t>
  </si>
  <si>
    <t>21.0360260010, 105.8105392456</t>
  </si>
  <si>
    <t>HN500113XF</t>
  </si>
  <si>
    <t>Thuốc tây Cây Còng 3</t>
  </si>
  <si>
    <t>21, Tổ 18, Ấp Thành Qưới, X.Thành Đông, H.Bình Tân, Vĩnh Long</t>
  </si>
  <si>
    <t>AL-09F-4008</t>
  </si>
  <si>
    <t>Huỳnh Thanh Nhã</t>
  </si>
  <si>
    <t>10.1035203934, 105.7578582764</t>
  </si>
  <si>
    <t>XH4001.44280</t>
  </si>
  <si>
    <t>BHX 8/4 Nguyễn Thị Sóc</t>
  </si>
  <si>
    <t xml:space="preserve">8/4 Nguyễn Thị Sóc, Ấp Hưng Lân, Xã Bà Điểm, Huyện Hóc Môn, TP  HCM</t>
  </si>
  <si>
    <t>10.8515710831, 106.5970916748</t>
  </si>
  <si>
    <t>SG4040.53851</t>
  </si>
  <si>
    <t>SF_VO_VAN_VAN_C9_3A</t>
  </si>
  <si>
    <t xml:space="preserve">Số C9/3A, Võ Văn Vân, Ấp 3, Xã Vĩnh Lộc B, huyện Bình Chánh, TP  HCM</t>
  </si>
  <si>
    <t>10.7967624664, 106.5773086548</t>
  </si>
  <si>
    <t>10.7966537476, 106.5771942139</t>
  </si>
  <si>
    <t>06h30 - 10h30</t>
  </si>
  <si>
    <t>10.7926073074, 106.6354980469</t>
  </si>
  <si>
    <t>10.7925949097, 106.6354980469</t>
  </si>
  <si>
    <t>VM1009.29479</t>
  </si>
  <si>
    <t>VM 116 118 CAU DIEN</t>
  </si>
  <si>
    <t>116-118 Cầu Diễn, phường Phúc Diễn, quận Bắc Từ Liêm, HN</t>
  </si>
  <si>
    <t>21.0452594757, 105.7675628662</t>
  </si>
  <si>
    <t>21.0446357727, 105.7620773315</t>
  </si>
  <si>
    <t>VI4001.83073</t>
  </si>
  <si>
    <t>HCM_13/134_TRAN_VAN_HOANG</t>
  </si>
  <si>
    <t>13/134 Trần Văn Hoàng, Phường 9, Quận Tân Bình, TP HCM</t>
  </si>
  <si>
    <t>10.7779302597, 106.6516189575</t>
  </si>
  <si>
    <t>10.7779169083, 106.6516113281</t>
  </si>
  <si>
    <t>MB00KC100110JU</t>
  </si>
  <si>
    <t>Circle K 45A Hàng Dầu, Lý Thái Tổ</t>
  </si>
  <si>
    <t>45A Hàng Dầu, Lý Thái Tổ, Hoàn Kiếm, Hà Nội</t>
  </si>
  <si>
    <t>21.0307483673, 105.8536987305</t>
  </si>
  <si>
    <t>10.8260240555, 106.6800537109</t>
  </si>
  <si>
    <t>10.8255090714, 106.6805267334</t>
  </si>
  <si>
    <t>KC100110GU</t>
  </si>
  <si>
    <t>Circle K 77 Lò Sũ</t>
  </si>
  <si>
    <t xml:space="preserve">77 Lò Sũ, P.Lý Thái Tổ, Q.Hoàn Kiếm, Hà Nội </t>
  </si>
  <si>
    <t>21.0307140350, 105.8537063599</t>
  </si>
  <si>
    <t>21.0308513641, 105.8537292480</t>
  </si>
  <si>
    <t>13.0675334930, 107.8804168701</t>
  </si>
  <si>
    <t>13.0697698593, 107.8839797974</t>
  </si>
  <si>
    <t>VM1009.18352</t>
  </si>
  <si>
    <t>VINMART R3-L1-09B, tổ hợp TTTM giáo dục và căn hộ Royal City</t>
  </si>
  <si>
    <t>R3-L1-09B, tổ hợp TTTM giáo dục và căn hộ Royal City, số 72 Nguyễn Trãi, P Thượng Đình, Q Thanh Xuân, TP Hà Nội</t>
  </si>
  <si>
    <t>21.0002651215, 105.8220901489</t>
  </si>
  <si>
    <t>21.0030155182, 105.8157119751</t>
  </si>
  <si>
    <t>G74003.32479</t>
  </si>
  <si>
    <t>G7 MINISTOP 114 Trần Đình Xu, Phường Nguyễn Cư Trinh</t>
  </si>
  <si>
    <t>114 Trần Đình Xu, Phường Nguyễn Cư Trinh, Quận 1, Tp HCM</t>
  </si>
  <si>
    <t>10.7621164322, 106.6891937256</t>
  </si>
  <si>
    <t>10.7620878220, 106.6891632080</t>
  </si>
  <si>
    <t>HT40321RPV</t>
  </si>
  <si>
    <t>BS Mart Đường số 17 - 82, Đường 17</t>
  </si>
  <si>
    <t>Đường số 17 - 82, Đường 17, P.Linh Chiểu, Q.Thủ Đức, Hồ Chí Minh</t>
  </si>
  <si>
    <t>10.8563451767, 106.7624053955</t>
  </si>
  <si>
    <t>10.8563575745, 106.7624206543</t>
  </si>
  <si>
    <t>SG4040.31001</t>
  </si>
  <si>
    <t>SF THONG NHAT</t>
  </si>
  <si>
    <t xml:space="preserve">551 Thống Nhất, Phường 16, Quận Gò Vấp, Tp  HCM</t>
  </si>
  <si>
    <t>10.8480606079, 106.6646041870</t>
  </si>
  <si>
    <t>10.8480634689, 106.6646118164</t>
  </si>
  <si>
    <t>VI4001.49165</t>
  </si>
  <si>
    <t>VMP_B5_119_AP_2</t>
  </si>
  <si>
    <t>B5/119 Ấp 2 Xã Phong Phú, Huyện Bình Chánh, TP HCM</t>
  </si>
  <si>
    <t>10.6907043457, 106.6541290283</t>
  </si>
  <si>
    <t>10.6907091141, 106.6541366577</t>
  </si>
  <si>
    <t>VM1009.56610</t>
  </si>
  <si>
    <t>VMP_HNI_C36TT9_K_VANQUAN</t>
  </si>
  <si>
    <t xml:space="preserve">C36-TT9, Khu ĐT Văn Quán- Yên Phúc, phường Văn Quán, quận Hà Đông, TP Hà Nội </t>
  </si>
  <si>
    <t>20.9755649567, 105.7876358032</t>
  </si>
  <si>
    <t>20.9756698608, 105.7878646851</t>
  </si>
  <si>
    <t>VM1009.83309</t>
  </si>
  <si>
    <t>VMP_HNI_3A-HH2_DUONG_NOI</t>
  </si>
  <si>
    <t xml:space="preserve">Lô số 03A, Tòa nhà H thuộc Dự Án HH2 khu đô thị mới Dương Nội, Hà Đông, Hà Nội </t>
  </si>
  <si>
    <t>20.9605827332, 105.7405776978</t>
  </si>
  <si>
    <t>20.9571170807, 105.7341537476</t>
  </si>
  <si>
    <t>XH4001.108443</t>
  </si>
  <si>
    <t>BHX Khu phố 1, Phường 1</t>
  </si>
  <si>
    <t xml:space="preserve">Khu phố 1, Phường 1, TX  Cai Lậy, Tỉnh Tiền Giang</t>
  </si>
  <si>
    <t>10.4129104614, 106.1229400635</t>
  </si>
  <si>
    <t>10.4126920700, 106.1229705811</t>
  </si>
  <si>
    <t>VI4001.73633</t>
  </si>
  <si>
    <t>VMP_HCM_4_HOANG_THIEU_HOA</t>
  </si>
  <si>
    <t>04 Hoàng Thiều Hoa, P Hiệp Tân, Q Tân Phú, TPHCM</t>
  </si>
  <si>
    <t>10.7725381851, 106.6285400391</t>
  </si>
  <si>
    <t>10.7725419998, 106.6285247803</t>
  </si>
  <si>
    <t>CF4001.102956</t>
  </si>
  <si>
    <t>CF_9_VIEW</t>
  </si>
  <si>
    <t xml:space="preserve">Số 1 Đường số 1, khu phố 4, Phường Phước Long B, TP  Thủ Đức, TP  Hồ Chí Minh</t>
  </si>
  <si>
    <t>10.8010549545, 106.7940444946</t>
  </si>
  <si>
    <t>10.8009996414, 106.7941894531</t>
  </si>
  <si>
    <t>XH4001.36888</t>
  </si>
  <si>
    <t>BHX 220B Lê Văn Quới</t>
  </si>
  <si>
    <t>220B Lê Văn Quới,KP 16,P Bình Hưng Hòa A,Q Bình Tân,TP HCM</t>
  </si>
  <si>
    <t>10.7755088806, 106.6148452759</t>
  </si>
  <si>
    <t>10.7755050659, 106.6148529053</t>
  </si>
  <si>
    <t>XH4001.92192</t>
  </si>
  <si>
    <t>BHX Thửa đất số 47, tờ bản đồ số 3</t>
  </si>
  <si>
    <t xml:space="preserve">Thửa đất số 47, tờ bản đồ số 3, xã Hoà Phú, H  Châu Thành, Tỉnh Long An</t>
  </si>
  <si>
    <t>10.5403432846, 106.4039764404</t>
  </si>
  <si>
    <t>10.4903364182, 106.4248962402</t>
  </si>
  <si>
    <t>XH4001.59199</t>
  </si>
  <si>
    <t>BHX 597 NGUYỄN VĂN QUÁ</t>
  </si>
  <si>
    <t>597 NGUYỄN VĂN QUÁ, PHƯỜNG ĐÔNG HƯNG THUẬN, QUẬN 12, TP HCM</t>
  </si>
  <si>
    <t>10.8564147949, 106.5969467163</t>
  </si>
  <si>
    <t>10.8563985825, 106.5970687866</t>
  </si>
  <si>
    <t>XH4001.81555</t>
  </si>
  <si>
    <t xml:space="preserve">BHX Thửa đất số 233 và thửa đất số 44, Tờ bản đồ số 8-2 </t>
  </si>
  <si>
    <t xml:space="preserve">Thửa đất số 233 và thửa đất số 44, Tờ bản đồ số 8-2 , Đường QL57C, Ấp 3,  Xã Sơn Đông, Tp Bến Tre, Tỉnh Bến Tre</t>
  </si>
  <si>
    <t>10.2678422928, 106.3351745605</t>
  </si>
  <si>
    <t>10.2678489685, 106.3351821899</t>
  </si>
  <si>
    <t>XH4001.53145</t>
  </si>
  <si>
    <t>BHX 60 Đường Gò Ô Môi</t>
  </si>
  <si>
    <t>60 Đường Gò Ô Môi, Khu phố 2, Phường Phú Thuận, Quận 7, Thành phố Hồ Chí Minh</t>
  </si>
  <si>
    <t>XH4001.48362</t>
  </si>
  <si>
    <t>BHX 1A Huỳnh Thiện Lộc</t>
  </si>
  <si>
    <t xml:space="preserve">1A Huỳnh Thiện Lộc, P  Hòa Thạnh, Q  Tân Phú, TP HCM</t>
  </si>
  <si>
    <t>10.7804393768, 106.6363220215</t>
  </si>
  <si>
    <t>10.7804412842, 106.6363525391</t>
  </si>
  <si>
    <t>10.2353858948, 105.9901580811</t>
  </si>
  <si>
    <t>10.2354135513, 105.9901428223</t>
  </si>
  <si>
    <t>VI4001.85841</t>
  </si>
  <si>
    <t>VMP_HCM_THUA_95_TBD_101</t>
  </si>
  <si>
    <t>Thửa 95, TBĐ 101, Phường 5, Quận 8, TPHCM (950 Tạ Quang Bửu)</t>
  </si>
  <si>
    <t>10.7342023849, 106.6566238403</t>
  </si>
  <si>
    <t>10.7342481613, 106.6566085815</t>
  </si>
  <si>
    <t>VI4001.50793</t>
  </si>
  <si>
    <t>VMP_LO_G9_THAP_AB</t>
  </si>
  <si>
    <t>Lô G9, tầng 1,(trệt) thuộc khối CC Tháp AB, Khu dân cư cao tầng Thành Thái, 7/28  Đường Thành Thái, Phường 14, Quận 10</t>
  </si>
  <si>
    <t>10.7767591476, 106.6544342041</t>
  </si>
  <si>
    <t>10.7767467499, 106.6544418335</t>
  </si>
  <si>
    <t>GH500112HE</t>
  </si>
  <si>
    <t>To 15, Tinh Lo 826, X.Phước Lý, H.Cần Giuộc, Long An</t>
  </si>
  <si>
    <t>AL-08D-4010</t>
  </si>
  <si>
    <t>Phạm Minh Ninh</t>
  </si>
  <si>
    <t>10.6507863998, 106.5872497559</t>
  </si>
  <si>
    <t>VM1012.47813</t>
  </si>
  <si>
    <t>VMP HPG 267 THIEN LOI</t>
  </si>
  <si>
    <t>Số 267 Thiên Lôi, phường Vĩnh Niệm, quận Lê Chân, TP Hải Phòng</t>
  </si>
  <si>
    <t>20.8401374817, 106.6683578491</t>
  </si>
  <si>
    <t>20.8347034454, 106.6737289429</t>
  </si>
  <si>
    <t>CF4001.124504</t>
  </si>
  <si>
    <t>CF_BA_DINH</t>
  </si>
  <si>
    <t>827 Ba Đình, Phường 10, Quận 8, TP HCM</t>
  </si>
  <si>
    <t>10.7469854355, 106.6656646729</t>
  </si>
  <si>
    <t>10.7470741272, 106.6656036377</t>
  </si>
  <si>
    <t>XH4001.101079</t>
  </si>
  <si>
    <t>BHX Thửa đất số 95 tờ bản đồ số 29 và thửa đất số 371 tờ bản đồ 7B, ấp Xẻo Cao</t>
  </si>
  <si>
    <t>Thửa đất số 95 tờ bản đồ số 29 và thửa đất số 371 tờ bản đồ 7B, ấp Xẻo Cao, xã Thạnh Xuân, huyện Châu Thành A, tỉnh Hậu Giang</t>
  </si>
  <si>
    <t>9.9219522476, 105.7202301025</t>
  </si>
  <si>
    <t>9.9219408035, 105.7202224731</t>
  </si>
  <si>
    <t>10.8110122681, 106.7032775879</t>
  </si>
  <si>
    <t>10.8108930588, 106.7032318115</t>
  </si>
  <si>
    <t>VI2003.63198</t>
  </si>
  <si>
    <t>VMP_DNG_119_HUYNH_NGOCHUE</t>
  </si>
  <si>
    <t>119 Huỳnh Ngọc Huệ, tổ 15, phường Hòa Khuê, quận Thanh Khê, Tp Đà Nẵng</t>
  </si>
  <si>
    <t>16.0607147217, 108.1856079102</t>
  </si>
  <si>
    <t>16.0605430603, 108.1855010986</t>
  </si>
  <si>
    <t>XH4001.100653</t>
  </si>
  <si>
    <t>BHX Thôn Thái Thông, Xã Vĩnh Thái</t>
  </si>
  <si>
    <t>Thôn Thái Thông, Xã Vĩnh Thái, TP Nha Trang, Tỉnh Khánh Hoà</t>
  </si>
  <si>
    <t>12.2491035461, 109.1609268188</t>
  </si>
  <si>
    <t>12.2489900589, 109.1609344482</t>
  </si>
  <si>
    <t>NT40541E2I</t>
  </si>
  <si>
    <t>Family Mart 73-75, Ngô Tất Tố</t>
  </si>
  <si>
    <t>73-75, Ngô Tất Tố, P.21, Q.Bình Thạnh, Hồ Chí Minh</t>
  </si>
  <si>
    <t>10.7926692963, 106.7117309570</t>
  </si>
  <si>
    <t>10.7925930023, 106.7120742798</t>
  </si>
  <si>
    <t>XH4001.47455</t>
  </si>
  <si>
    <t>BHX Thửa đất số 905-906</t>
  </si>
  <si>
    <t xml:space="preserve">Thửa đất số 905-906, Tờ bản đồ số 32, P  Thới An, Quận 12, TP  HCM</t>
  </si>
  <si>
    <t>10.8735828400, 106.6509094238</t>
  </si>
  <si>
    <t>10.8735570908, 106.6510848999</t>
  </si>
  <si>
    <t>GH500112GL</t>
  </si>
  <si>
    <t>Hương Đêm</t>
  </si>
  <si>
    <t>2, Hoa Thuan Truong Binh, X.Trường Bình, H.Cần Giuộc, Long An</t>
  </si>
  <si>
    <t>AL-03E-4023</t>
  </si>
  <si>
    <t>Lê Nguyễn Phương Thảo</t>
  </si>
  <si>
    <t>10.6015043259, 106.6653060913</t>
  </si>
  <si>
    <t>XH4001.118722</t>
  </si>
  <si>
    <t>BHX Tổ 1, Khối 4</t>
  </si>
  <si>
    <t>Tổ 1, Khối 4, Thị trấn Ea T-Ling, Huyện Cư Jút, Tỉnh Đắk Nông</t>
  </si>
  <si>
    <t>12.5870475769, 107.8937759399</t>
  </si>
  <si>
    <t>12.5870962143, 107.8937988281</t>
  </si>
  <si>
    <t>SG4040.39430</t>
  </si>
  <si>
    <t>SF 25 NG XUAN KHOAT</t>
  </si>
  <si>
    <t xml:space="preserve">25 Nguyễn Xuân Khoát, Phường Tân Thành, Quận Tân Phú, TP  HCM</t>
  </si>
  <si>
    <t>10.7941818237, 106.6343994141</t>
  </si>
  <si>
    <t>10.7940664291, 106.6342391968</t>
  </si>
  <si>
    <t>TT301211PD</t>
  </si>
  <si>
    <t>Thành Thúy</t>
  </si>
  <si>
    <t>Thôn Mỹ Tường, Nhơn Hải, Ninh Hải, Ninh Thuận</t>
  </si>
  <si>
    <t>AL-08F-2003</t>
  </si>
  <si>
    <t>Thành Thị Sa Vy</t>
  </si>
  <si>
    <t>11.5831785202, 108.9912185669</t>
  </si>
  <si>
    <t>BR1001.108185</t>
  </si>
  <si>
    <t>BRG Số 3 Lê Thái Tổ, quận Hoàn Kiếm</t>
  </si>
  <si>
    <t>Số 3 Lê Thái Tổ, quận Hoàn Kiếm, Hà Nội</t>
  </si>
  <si>
    <t>21.0321903229, 105.8514328003</t>
  </si>
  <si>
    <t>21.0323944092, 105.8512725830</t>
  </si>
  <si>
    <t>KC1001109E</t>
  </si>
  <si>
    <t xml:space="preserve"> T-Mart Quầy 62</t>
  </si>
  <si>
    <t>Quầy 62, Thanh Liệt,X.Thanh Liệt,H.Thanh Trì,Hà Nội</t>
  </si>
  <si>
    <t>20.9662933350, 105.8210449219</t>
  </si>
  <si>
    <t>20.9662799835, 105.8210601807</t>
  </si>
  <si>
    <t>VI3004.49735</t>
  </si>
  <si>
    <t>VMP_921_BINH_GIA</t>
  </si>
  <si>
    <t xml:space="preserve">921 Bình Gĩa , Phường 10, TP  Vũng Tàu</t>
  </si>
  <si>
    <t>10.3912420273, 107.1186676025</t>
  </si>
  <si>
    <t>10.3912591934, 107.1186523438</t>
  </si>
  <si>
    <t>XH4001.109291</t>
  </si>
  <si>
    <t>BHX 443-445-445A Kha Vạn Cân</t>
  </si>
  <si>
    <t xml:space="preserve">443-445-445A Kha Vạn Cân, Khu phố 8, Phường Linh Đông, TP  Thủ Đức, TP  Hồ Chí Minh</t>
  </si>
  <si>
    <t>10.8413543701, 106.7461471558</t>
  </si>
  <si>
    <t>10.8413619995, 106.7461776733</t>
  </si>
  <si>
    <t>LD500411OQ</t>
  </si>
  <si>
    <t>ĐL Sữa Thến</t>
  </si>
  <si>
    <t>0, Gò Quao, TT.Gò Quao, H.Gò Quao, Kiên Giang</t>
  </si>
  <si>
    <t>AL-10C-4004</t>
  </si>
  <si>
    <t>Lê Thị Huỳnh Mai</t>
  </si>
  <si>
    <t>9.7715320587, 105.3135604858</t>
  </si>
  <si>
    <t>VM1009.51129</t>
  </si>
  <si>
    <t>VMP_HNI_MONCITY</t>
  </si>
  <si>
    <t>tầng 01 của Tòa nhà CT1B thuộc Dự án Hải Đăng City (MonCity) tại địa chỉ Phường Mỹ Đình 2, Quận Nam Từ Liêm, TP Hà Nội</t>
  </si>
  <si>
    <t>21.0353794098, 105.7665176392</t>
  </si>
  <si>
    <t>21.0353527069, 105.7664947510</t>
  </si>
  <si>
    <t>KC100110ME</t>
  </si>
  <si>
    <t>OKONO MART Số 70 ngõ 34 Hoàng Cầu</t>
  </si>
  <si>
    <t>Số 70 ngõ 34 Hoàng Cầu,Đống Đa,Hà Nội</t>
  </si>
  <si>
    <t>21.0198440552, 105.8233184814</t>
  </si>
  <si>
    <t>21.0198497772, 105.8232803345</t>
  </si>
  <si>
    <t>XH4001.89855</t>
  </si>
  <si>
    <t>BHX Thửa đất số 1355, tờ bản đồ số 4B</t>
  </si>
  <si>
    <t xml:space="preserve">Thửa đất số 1355, tờ bản đồ số 4B, ấp Bình Thành 1, TT  Lấp Vò, H  Lấp Vò, Tỉnh Đồng Tháp</t>
  </si>
  <si>
    <t>10.3614110947, 105.5202484131</t>
  </si>
  <si>
    <t>10.3617572784, 105.5215911865</t>
  </si>
  <si>
    <t>SG4040.32550</t>
  </si>
  <si>
    <t>SF DONG NAM</t>
  </si>
  <si>
    <t>Lô TT1-1, đường D4, Khu Công Nghiệp Đông Nam, Huyện Củ Chi, TP HCM</t>
  </si>
  <si>
    <t>10.9758043289, 106.6230697632</t>
  </si>
  <si>
    <t>10.9757146835, 106.6230621338</t>
  </si>
  <si>
    <t>XH4001.56207</t>
  </si>
  <si>
    <t>BHX C7/2-C7/3 Phạm Hùng, Ấp 4A</t>
  </si>
  <si>
    <t>C7/2-C7/3 Phạm Hùng, Ấp 4A, xã Bình Hưng, huyện Bình Chánh,TP HCM</t>
  </si>
  <si>
    <t>NC40171LXC</t>
  </si>
  <si>
    <t>Family Mart 25, Phạm Văn Chiêu</t>
  </si>
  <si>
    <t>25, Phạm Văn Chiêu, P.14, Q.Gò Vấp, Hồ Chí Minh</t>
  </si>
  <si>
    <t>10.8447666168, 106.6408767700</t>
  </si>
  <si>
    <t>10.8447732925, 106.6408691406</t>
  </si>
  <si>
    <t>VI4001.64024</t>
  </si>
  <si>
    <t>VMP_209_48TON_THAT_THUYET</t>
  </si>
  <si>
    <t>209/48 Tôn Thất Thuyết, Phường 3, Quận 4, TPHCM</t>
  </si>
  <si>
    <t>10.7546577454, 106.6996231079</t>
  </si>
  <si>
    <t>10.7547807693, 106.6996917725</t>
  </si>
  <si>
    <t>10.7671823502, 106.6858673096</t>
  </si>
  <si>
    <t>10.7672481537, 106.6858901978</t>
  </si>
  <si>
    <t>VM1014.82327</t>
  </si>
  <si>
    <t>Vinmart Số 170 Lê Thánh Tông, phường Trung Sơn</t>
  </si>
  <si>
    <t>Số 170 Lê Thánh Tông, phường Trung Sơn, thành phố Sầm Sơn, Thanh Hóa</t>
  </si>
  <si>
    <t>19.7407646179, 105.8983383179</t>
  </si>
  <si>
    <t>19.7459125519, 105.8981018066</t>
  </si>
  <si>
    <t>XH4001.50601</t>
  </si>
  <si>
    <t>BHX 730/54 Lê Đức Thọ</t>
  </si>
  <si>
    <t xml:space="preserve">730/54 Lê Đức Thọ ,P 15 , Q  Gò Vấp,TP HCM </t>
  </si>
  <si>
    <t>10.8484582901, 106.6711044312</t>
  </si>
  <si>
    <t>10.8484020233, 106.6710662842</t>
  </si>
  <si>
    <t>XH4001.108771</t>
  </si>
  <si>
    <t>BHX Thửa đất số 1708 và 1709</t>
  </si>
  <si>
    <t xml:space="preserve">Thửa đất số 1708 và 1709, Tờ bản đồ số 273, KDC Việt Sing, Phường An Phú, TP  Thuận An, Tỉnh Bình Dương</t>
  </si>
  <si>
    <t>10.9417676926, 106.7284393311</t>
  </si>
  <si>
    <t>10.9417572021, 106.7284927368</t>
  </si>
  <si>
    <t>NT40541E76</t>
  </si>
  <si>
    <t>Family Mart 145, Nguyễn Đình Chiểu</t>
  </si>
  <si>
    <t>145, Nguyễn Đình Chiểu, P.6, Q.3, Hồ Chí Minh</t>
  </si>
  <si>
    <t>10.7771081924, 106.6888198853</t>
  </si>
  <si>
    <t>10.7770776749, 106.6887741089</t>
  </si>
  <si>
    <t>NT40541DGN</t>
  </si>
  <si>
    <t>Family Mart B1-ATầng B1Zen Plaza 54-56, Nguyễn Trãi</t>
  </si>
  <si>
    <t>B1-ATầng B1Zen Plaza 54-56, Nguyễn Trãi, P.Bến Thành, Q.1, Hồ Chí Minh</t>
  </si>
  <si>
    <t>10.7708282471, 106.6921615601</t>
  </si>
  <si>
    <t>10.7708225250, 106.6921615601</t>
  </si>
  <si>
    <t>CF4001.58545</t>
  </si>
  <si>
    <t>CH_CO_OP_FOOD_TON_DAN</t>
  </si>
  <si>
    <t>167 Tôn Đản, Phường 14, Quận 4, Tp HCM</t>
  </si>
  <si>
    <t>10.7582120895, 106.7065734863</t>
  </si>
  <si>
    <t>VM1009.82687</t>
  </si>
  <si>
    <t>VMP_HNI_27_TRAN_DUY_HUNG</t>
  </si>
  <si>
    <t xml:space="preserve">Tầng 1, Eurowindow Multicomplex, 27 Trần Duy Hưng, P  Trung Hòa, Q Cầu Giấy, TP  Hà Nội</t>
  </si>
  <si>
    <t>21.0135898590, 105.8038482666</t>
  </si>
  <si>
    <t>21.0135631561, 105.8038787842</t>
  </si>
  <si>
    <t>TL40041IIM</t>
  </si>
  <si>
    <t>Family Mart 170A, Triệu Quang Phục</t>
  </si>
  <si>
    <t>170A, Triệu Quang Phục, P.11, Q.5, Hồ Chí Minh</t>
  </si>
  <si>
    <t>10.7544746399, 106.6615524292</t>
  </si>
  <si>
    <t>10.7536182404, 106.6646347046</t>
  </si>
  <si>
    <t>KC100110ND</t>
  </si>
  <si>
    <t>Circle K số BT16B5-03</t>
  </si>
  <si>
    <t xml:space="preserve">số BT16B5-03, làng việt kiều châu âu, kĐT Mỗ Lao, Phường Mỗ Lao, quận Hà Đông, Hà Nội </t>
  </si>
  <si>
    <t>20.9841861725, 105.7877044678</t>
  </si>
  <si>
    <t>20.9841747284, 105.7877120972</t>
  </si>
  <si>
    <t>VI2003.62286</t>
  </si>
  <si>
    <t>VMP_DNG_110_TIEU_LA</t>
  </si>
  <si>
    <t>110 Tiểu La, Phường Hoà Thuận Tây, Quận Hải Châu, TP Đà Nẵng</t>
  </si>
  <si>
    <t>16.0443000793, 108.2122879028</t>
  </si>
  <si>
    <t>16.0443267822, 108.2121887207</t>
  </si>
  <si>
    <t>KC100110LR</t>
  </si>
  <si>
    <t>Kmart Ô L1-H1</t>
  </si>
  <si>
    <t>Ô L1-H1, Tầng L1 TTTM Vincom Center Star City, Số 117 Trần Duy Hưng</t>
  </si>
  <si>
    <t>21.0060214996, 105.7953186035</t>
  </si>
  <si>
    <t>21.0060195923, 105.7953186035</t>
  </si>
  <si>
    <t>KC1001105Q</t>
  </si>
  <si>
    <t>Việt Ý Mart Ki ốt số 2 Tầng 1</t>
  </si>
  <si>
    <t>Ki ốt số 2 Tầng 1, Tòa nhà CT12A Kim Văn,P.Đại Kim,Q.Hoàng Mai,Hà Nội</t>
  </si>
  <si>
    <t>20.9734325409, 105.8197174072</t>
  </si>
  <si>
    <t>20.9727363586, 105.8195419312</t>
  </si>
  <si>
    <t>10.0497741699, 106.0013275146</t>
  </si>
  <si>
    <t>10.0497283936, 106.0013122559</t>
  </si>
  <si>
    <t>KC100110I9</t>
  </si>
  <si>
    <t>Circle K 22 Hàng Tre</t>
  </si>
  <si>
    <t xml:space="preserve">22 Hàng Tre, P.Lý Thái Tổ, Q.Hoàn Kiếm, Hà Nội </t>
  </si>
  <si>
    <t>21.0307388306, 105.8537445068</t>
  </si>
  <si>
    <t>G74003.104065</t>
  </si>
  <si>
    <t>G7 MINISTOP A1-1-5, Tầng số: 1 Tháp A Tòa Nhà The CBD tại số 125</t>
  </si>
  <si>
    <t xml:space="preserve">A1-1-5, Tầng số: 1 Tháp A Tòa Nhà The CBD tại số 125, Đường Đồng Văn Cống, Phường Thạnh Mỹ Lợi, TP  Thủ Đức, TP  Hồ Chí Minh</t>
  </si>
  <si>
    <t>10.7854223251, 106.7488174438</t>
  </si>
  <si>
    <t>10.7751188278, 106.7618713379</t>
  </si>
  <si>
    <t>XM5001115X</t>
  </si>
  <si>
    <t>128A, Tôn Đức Thắng, P.Long Thạnh, TX.Tân Châu, An Giang</t>
  </si>
  <si>
    <t>AL-04E-4011</t>
  </si>
  <si>
    <t>Huỳnh Ngọc Kiều</t>
  </si>
  <si>
    <t>10.7981214523, 105.2474060059</t>
  </si>
  <si>
    <t>CF4001.86102</t>
  </si>
  <si>
    <t>CF_LAM_VAN_BEN_22</t>
  </si>
  <si>
    <t>22 Lâm Văn Bền, Phường Tân Kiểng, Quân 7, Tp HCM</t>
  </si>
  <si>
    <t>10.7594585419, 106.7107849121</t>
  </si>
  <si>
    <t>10.7041950226, 106.7305297852</t>
  </si>
  <si>
    <t>NT40541DJA</t>
  </si>
  <si>
    <t>BS Mart 36, Nguyễn Văn Đậu</t>
  </si>
  <si>
    <t>36, Nguyễn Văn Đậu, P.5, Q.Phú Nhuận, Hồ Chí Minh</t>
  </si>
  <si>
    <t>10.8032255173, 106.6822662354</t>
  </si>
  <si>
    <t>VI1126.99934</t>
  </si>
  <si>
    <t>VMP_HBH_490_TRAN_HUNG_DAO</t>
  </si>
  <si>
    <t xml:space="preserve">Số 490 Trần Hưng Đạo, Xã Sủ Ngòi, TP  Hòa Bình, Tỉnh Hòa Bình</t>
  </si>
  <si>
    <t>20.8185348511, 105.3446197510</t>
  </si>
  <si>
    <t>20.8184223175, 105.3453750610</t>
  </si>
  <si>
    <t>SG4040.31066</t>
  </si>
  <si>
    <t>SF HO VAN TU</t>
  </si>
  <si>
    <t xml:space="preserve">60 Hồ Văn Tư, Phường Trường Thọ, TP  Thủ Đức , TP  Hồ Chí Minh</t>
  </si>
  <si>
    <t>10.7514543533, 106.6590728760</t>
  </si>
  <si>
    <t>10.8491296768, 106.7555084229</t>
  </si>
  <si>
    <t>MK40021QWJ</t>
  </si>
  <si>
    <t>Circle K 33, Hoàng Hoa Thám</t>
  </si>
  <si>
    <t>33, Hoàng Hoa Thám, P.11, Q.Tân Bình, Hồ Chí Minh</t>
  </si>
  <si>
    <t>10.8185167313, 106.6329650879</t>
  </si>
  <si>
    <t>10.8185548782, 106.6330261230</t>
  </si>
  <si>
    <t>XH4001.108447</t>
  </si>
  <si>
    <t>BHX Ấp Sân Bay</t>
  </si>
  <si>
    <t>Ấp Sân Bay, Xã Tân Phong, Huyện Tân Biên, Tỉnh Tây Ninh</t>
  </si>
  <si>
    <t>11.4804334641, 106.0209808350</t>
  </si>
  <si>
    <t>11.4804115295, 106.0209884644</t>
  </si>
  <si>
    <t>SG5008.43263</t>
  </si>
  <si>
    <t>SATRA P NGU LAO</t>
  </si>
  <si>
    <t>77C Phạm Ngũ Lão, Phường Thới Bình, Quận Ninh Kiều, TP Cần Thơ</t>
  </si>
  <si>
    <t>10.0455398560, 105.7755584717</t>
  </si>
  <si>
    <t>10.0457077026, 105.7757949829</t>
  </si>
  <si>
    <t>XH4001.51302</t>
  </si>
  <si>
    <t>BHX 860/42 Xô Viết Nghệ Tĩnh</t>
  </si>
  <si>
    <t>860/42 Xô Viết Nghệ Tĩnh, P25, Quận Bình Thạnh, HCM</t>
  </si>
  <si>
    <t>10.8124084473, 106.7170486450</t>
  </si>
  <si>
    <t>10.8124122620, 106.7170181274</t>
  </si>
  <si>
    <t>MP40021HXD</t>
  </si>
  <si>
    <t>BS Mart 48, Duong so 10</t>
  </si>
  <si>
    <t>48, Duong so 10, X.Bình Hưng, H.Bình Chánh, Hồ Chí Minh</t>
  </si>
  <si>
    <t>10.7269973755, 106.6558303833</t>
  </si>
  <si>
    <t>10.7270603180, 106.6525039673</t>
  </si>
  <si>
    <t>CF4001.4989</t>
  </si>
  <si>
    <t>CF LINH TRUNG</t>
  </si>
  <si>
    <t>Đường Nam,Khu CX&amp;CN Linh Trung II,TL43,Bình Chiểu,TĐ,TP HCM</t>
  </si>
  <si>
    <t>10.8892641068, 106.7263336182</t>
  </si>
  <si>
    <t>MK40021RAC</t>
  </si>
  <si>
    <t>Siêu thị GS-25 7A/162, Căn hộ số 02 Chung cư Thiên Nam</t>
  </si>
  <si>
    <t>7A/162, Căn hộ số 02 Chung cư Thiên Nam, Thành Thái, P.14, Q.10, Hồ Chí Minh</t>
  </si>
  <si>
    <t>10.7720813751, 106.6616058350</t>
  </si>
  <si>
    <t>10.7720708847, 106.6616439819</t>
  </si>
  <si>
    <t>SG4040.46641</t>
  </si>
  <si>
    <t>SF 1333 PHAN VAN TRI</t>
  </si>
  <si>
    <t xml:space="preserve">1333 Phan Văn Trị, Phường 10, Quận Gò Vấp, TP  HCM</t>
  </si>
  <si>
    <t>10.8339834213, 106.6685638428</t>
  </si>
  <si>
    <t>10.8340482712, 106.6686019897</t>
  </si>
  <si>
    <t>XH4001.81343</t>
  </si>
  <si>
    <t>BHX Thửa đất số 779, 1115</t>
  </si>
  <si>
    <t>Thửa đất số 779, 1115, 780, 1116, 781, 1117 tờ bản đồ số 35, Đường Nguyễn Văn Cừ nối dài, Khu vực 4, Phường An Bình, Quận Ninh Kiều, Thành phố Cần Thơ</t>
  </si>
  <si>
    <t>10.0253772736, 105.7466506958</t>
  </si>
  <si>
    <t>10.0252590179, 105.7466506958</t>
  </si>
  <si>
    <t>XH4001.108247</t>
  </si>
  <si>
    <t>BHX Số 264A Nguyễn Thị Lắng</t>
  </si>
  <si>
    <t>Số 264A Nguyễn Thị Lắng, Ấp Phú Lợi, Xã Tân Phú Trung, Huyện Củ Chi, TP HCM</t>
  </si>
  <si>
    <t>10.9573011398, 106.5462341309</t>
  </si>
  <si>
    <t>10.9572963715, 106.5462493896</t>
  </si>
  <si>
    <t>XH4001.83726</t>
  </si>
  <si>
    <t>BHX 19/40 Đường 643</t>
  </si>
  <si>
    <t>19/40 Đường 643, Xa Lộ Hà Nội, Khu phố 2, Phường Long Bình, Thành phố Biên Hòa, Tỉnh Đồng Nai, Việt Nam</t>
  </si>
  <si>
    <t>10.9522256851, 106.8773956299</t>
  </si>
  <si>
    <t>10.9521942139, 106.8775024414</t>
  </si>
  <si>
    <t>XH4001.112251</t>
  </si>
  <si>
    <t>BHX 110C Đường Đô Lương</t>
  </si>
  <si>
    <t xml:space="preserve">110C Đường Đô Lương, Tổ 43, khu phố 3, Phường 11, TP  Vũng Tàu, Tỉnh Bà Rịa - Vũng Tàu</t>
  </si>
  <si>
    <t>10.4049720764, 107.1435394287</t>
  </si>
  <si>
    <t>10.4049940109, 107.1435394287</t>
  </si>
  <si>
    <t>VI4001.55765</t>
  </si>
  <si>
    <t>VMP_HCM_97_LO_LU</t>
  </si>
  <si>
    <t xml:space="preserve">97 Lò Lu, Khu Phố Phước Hiệp, Phường Trường Thạnh, TP  Thủ Đức, TP  Hồ Chí Minh</t>
  </si>
  <si>
    <t>10.8254795074, 106.8139572144</t>
  </si>
  <si>
    <t>10.8255119324, 106.8138580322</t>
  </si>
  <si>
    <t>XH4001.81546</t>
  </si>
  <si>
    <t>BHX 112 Hoàng Hoa Thám</t>
  </si>
  <si>
    <t>112 Hoàng Hoa Thám, phường 12, quận Tân Bình, Thành phố Hồ Chí Minh</t>
  </si>
  <si>
    <t>10.7998065948, 106.6474304199</t>
  </si>
  <si>
    <t>10.7998218536, 106.6474609375</t>
  </si>
  <si>
    <t>XH4001.109208</t>
  </si>
  <si>
    <t>BHX Ấp Mỹ Hưng, Xã Mỹ Lâm</t>
  </si>
  <si>
    <t>Ấp Mỹ Hưng, Xã Mỹ Lâm, Huyện Hòn Đất, Tỉnh Kiên Giang</t>
  </si>
  <si>
    <t>10.0867099762, 105.0445251465</t>
  </si>
  <si>
    <t>10.0867185593, 105.0445556641</t>
  </si>
  <si>
    <t>CF4001.4934</t>
  </si>
  <si>
    <t>CF LE VAN THO</t>
  </si>
  <si>
    <t>80-8H Lê Văn Thọ, Q Gò Vấp, HCM</t>
  </si>
  <si>
    <t>10.8414554596, 106.6570434570</t>
  </si>
  <si>
    <t>10.8253278732, 106.6882324219</t>
  </si>
  <si>
    <t>10.8255443573, 106.8139419556</t>
  </si>
  <si>
    <t>10.8255958557, 106.8139724731</t>
  </si>
  <si>
    <t>06h00 - 09h00</t>
  </si>
  <si>
    <t>10.3026752472, 106.4000930786</t>
  </si>
  <si>
    <t>10.3027019501, 106.4001159668</t>
  </si>
  <si>
    <t>10.8992376328, 106.8074798584</t>
  </si>
  <si>
    <t>10.8992452621, 106.8074569702</t>
  </si>
  <si>
    <t>HT40321P3U</t>
  </si>
  <si>
    <t>BS Mart 43, Chuong Duong</t>
  </si>
  <si>
    <t>43, Chuong Duong, P.Linh Chiểu, Q.Thủ Đức, Hồ Chí Minh</t>
  </si>
  <si>
    <t>10.8506622314, 106.7585983276</t>
  </si>
  <si>
    <t>10.8528432846, 106.7600936890</t>
  </si>
  <si>
    <t>VM1009.47545</t>
  </si>
  <si>
    <t>VMP CT7K PARKVIEWDUONGNOI</t>
  </si>
  <si>
    <t xml:space="preserve">tầng 1 thuộc Toà K, Chung cư CT7, Tổ hợp Chung cư cao tầng NCG Residential, Khu đô thị  mới Dương Nội, Hà Đông, Hà Nội</t>
  </si>
  <si>
    <t>20.9639530182, 105.7498626709</t>
  </si>
  <si>
    <t>20.9602661133, 105.7405090332</t>
  </si>
  <si>
    <t>XH4001.92246</t>
  </si>
  <si>
    <t>BHX Thửa đất 39, tờ bản đồ 18</t>
  </si>
  <si>
    <t>Thửa đất 39, tờ bản đồ 18, TDP Thuận Hiệp, P Cam Thuận, TP Cam Ranh, Tỉnh Khánh Hoà</t>
  </si>
  <si>
    <t>11.9162330627, 109.1572799683</t>
  </si>
  <si>
    <t>11.9161329269, 109.1572875977</t>
  </si>
  <si>
    <t>XH4001.92114</t>
  </si>
  <si>
    <t>BHX Số 57 Phạm Văn Thuận</t>
  </si>
  <si>
    <t xml:space="preserve">Số 57 Phạm Văn Thuận, P  Tân Tiến, TP  Biên Hòa, Tỉnh Đồng Nai</t>
  </si>
  <si>
    <t>10.9577102661, 106.8319168091</t>
  </si>
  <si>
    <t>10.9576368332, 106.8319320679</t>
  </si>
  <si>
    <t>16.1007938385, 108.2505340576</t>
  </si>
  <si>
    <t>16.1007995605, 108.2505416870</t>
  </si>
  <si>
    <t>BO5001101O</t>
  </si>
  <si>
    <t>Bảy Thảo</t>
  </si>
  <si>
    <t>Đ/d UBND xã Tam Phước, Tổ 30 ấp 3, X.Tam Phước, H.Châu Thành, Bến Tre</t>
  </si>
  <si>
    <t>AL-11E-4008</t>
  </si>
  <si>
    <t>Phạm Thị Hồng Thu</t>
  </si>
  <si>
    <t>10.2882452011, 106.3548049927</t>
  </si>
  <si>
    <t>TC40021096</t>
  </si>
  <si>
    <t>Kim Hương</t>
  </si>
  <si>
    <t>232, Tỉnh lộ 8, KP 2, TT Củ Chi, Củ Chi, HCM</t>
  </si>
  <si>
    <t>AL-04E-3013</t>
  </si>
  <si>
    <t>Lê Thị Thúy Kiều</t>
  </si>
  <si>
    <t>10H00 - 18H00</t>
  </si>
  <si>
    <t>10.9745893478, 106.4974441528</t>
  </si>
  <si>
    <t>XH4001.80399</t>
  </si>
  <si>
    <t>BHX Thửa đất số 270, 291</t>
  </si>
  <si>
    <t>Thửa đất số 270, 291, 292 tờ bản đồ số 10, phường 1, thành phố Vị Thanh, tỉnh Hậu Giang</t>
  </si>
  <si>
    <t>9.7782669067, 105.4656982422</t>
  </si>
  <si>
    <t>9.7781810760, 105.4656906128</t>
  </si>
  <si>
    <t>XH4001.81180</t>
  </si>
  <si>
    <t>BHX Thửa 848-850 Tờ bản đồ số 6A và Thửa đất số 297 Tờ bản đồ số 38, Ấp Tân Phú A</t>
  </si>
  <si>
    <t>Thửa 848-850 Tờ bản đồ số 6A và Thửa đất số 297 Tờ bản đồ số 38, Ấp Tân Phú A, Thị trấn Cái Tắc, Huyện Châu Thành A, Tỉnh Hậu Giang, Việt Nam</t>
  </si>
  <si>
    <t>9.9240779877, 105.7239685059</t>
  </si>
  <si>
    <t>9.9240322113, 105.7239074707</t>
  </si>
  <si>
    <t>CF4001.23145</t>
  </si>
  <si>
    <t>CF PHAM THE HIEN 2</t>
  </si>
  <si>
    <t>1289 Phạm Thế Hiển, Phường 5,Quận 8,Tp HCM</t>
  </si>
  <si>
    <t>10.7411375046, 106.6580352783</t>
  </si>
  <si>
    <t>10.7411289215, 106.6580123901</t>
  </si>
  <si>
    <t>MK400213JJ</t>
  </si>
  <si>
    <t>Anh Liêm</t>
  </si>
  <si>
    <t>63, Tân Hòa Đông, 14, 6, HCM</t>
  </si>
  <si>
    <t>AL-08C-3030</t>
  </si>
  <si>
    <t>Nguyễn Huỳnh Linh Nhi</t>
  </si>
  <si>
    <t>12h30 - 20h30</t>
  </si>
  <si>
    <t>10.7573852539, 106.6313858032</t>
  </si>
  <si>
    <t>NT40541DG8</t>
  </si>
  <si>
    <t>Circle K 11, Nguyễn Văn Tráng</t>
  </si>
  <si>
    <t>11, Nguyễn Văn Tráng, P.Bến Thành, Q.1, Hồ Chí Minh</t>
  </si>
  <si>
    <t>10.7775077820, 106.6986312866</t>
  </si>
  <si>
    <t>10.7699937820, 106.6923980713</t>
  </si>
  <si>
    <t>SG4040.77522</t>
  </si>
  <si>
    <t>SF_A1/17_VINH_LOC</t>
  </si>
  <si>
    <t>A1/17 Vĩnh Lộc, Xã Vĩnh Lộc A, Huyện Bình Chánh</t>
  </si>
  <si>
    <t>10.8070354462, 106.5688247681</t>
  </si>
  <si>
    <t>10.8070068359, 106.5687789917</t>
  </si>
  <si>
    <t>SH500419CE</t>
  </si>
  <si>
    <t>Minimart Long Hòa</t>
  </si>
  <si>
    <t>774, Bùi Hữu Nghĩa, P.Long Hòa, Q.Bình Thủy, Cần Thơ</t>
  </si>
  <si>
    <t>AL-02C-4001</t>
  </si>
  <si>
    <t>Bùi Trúc Phương</t>
  </si>
  <si>
    <t>10.0547685623, 105.7253723145</t>
  </si>
  <si>
    <t>MP4002127D</t>
  </si>
  <si>
    <t>Cát Tường</t>
  </si>
  <si>
    <t>D3/26, Hương Lộ 11, X Hưng Long, Bình Chánh, HCM</t>
  </si>
  <si>
    <t>AL-03G-3001</t>
  </si>
  <si>
    <t>Nguyễn Thị Lệ Tâm</t>
  </si>
  <si>
    <t>10.6521377563, 106.6200561523</t>
  </si>
  <si>
    <t>VM1014.88113</t>
  </si>
  <si>
    <t>Vinmart 69 Bà Triệu, Phường Bắc Sơn</t>
  </si>
  <si>
    <t>69 Bà Triệu, Phường Bắc Sơn, TP Sầm Sơn, Tỉnh Thanh Hóa</t>
  </si>
  <si>
    <t>19.7408027649, 105.8982162476</t>
  </si>
  <si>
    <t>19.7407588959, 105.8983535767</t>
  </si>
  <si>
    <t>KC100110G0</t>
  </si>
  <si>
    <t>Circle K Số 79 Hà Trung</t>
  </si>
  <si>
    <t xml:space="preserve">Số 79 Hà Trung, P.Hàng Bông, Q.Hoàn Kiếm, Hà Nội </t>
  </si>
  <si>
    <t>21.0299949646, 105.8447875977</t>
  </si>
  <si>
    <t>21.0300197601, 105.8447799683</t>
  </si>
  <si>
    <t>SH500418S1</t>
  </si>
  <si>
    <t>Minimart Phước Thới</t>
  </si>
  <si>
    <t>1111, QL 91, P.Phước Thới, Q.Ô Môn, Cần Thơ</t>
  </si>
  <si>
    <t>AL-04A-4022</t>
  </si>
  <si>
    <t>Nguyễn Thị Hồng Nghĩa</t>
  </si>
  <si>
    <t>10h30 - 19h30</t>
  </si>
  <si>
    <t>10.1051988602, 105.6726531982</t>
  </si>
  <si>
    <t>BO500113ZF</t>
  </si>
  <si>
    <t>CH Jerry</t>
  </si>
  <si>
    <t>570C, Quới An, X.Qưới Sơn, H.Châu Thành, Bến Tre</t>
  </si>
  <si>
    <t>AL-01E-4004</t>
  </si>
  <si>
    <t>10.3062238693, 106.3824539185</t>
  </si>
  <si>
    <t>XH4001.106767</t>
  </si>
  <si>
    <t>BHX Thôn Tân Phú</t>
  </si>
  <si>
    <t xml:space="preserve">Thôn Tân Phú, Xã Châu Pha, TX  Phú Mỹ, Tỉnh Bà Rịa - Vũng Tàu</t>
  </si>
  <si>
    <t>10.5853290558, 107.1496887207</t>
  </si>
  <si>
    <t>10.5853214264, 107.1496963501</t>
  </si>
  <si>
    <t>NT40541FB0</t>
  </si>
  <si>
    <t>Circle K 103, Trương Định</t>
  </si>
  <si>
    <t>103, Trương Định, P.6, Q.3, Hồ Chí Minh</t>
  </si>
  <si>
    <t>10.7778644562, 106.6895904541</t>
  </si>
  <si>
    <t>10.7770032883, 106.6888275146</t>
  </si>
  <si>
    <t>VC4001.88438</t>
  </si>
  <si>
    <t>VM_HCM_TRUNG_SON</t>
  </si>
  <si>
    <t>Tầng trệt Cao ốc Silland, số nhà 7J, đường số 9A, khu dân cư Trung Sơn, ấp 4B, xã Bình Hưng, huyện Bình Chánh, TP HCM</t>
  </si>
  <si>
    <t>10.7311973572, 106.6888809204</t>
  </si>
  <si>
    <t>10.7312288284, 106.6888580322</t>
  </si>
  <si>
    <t>MP400213ON</t>
  </si>
  <si>
    <t>Khánh Thy</t>
  </si>
  <si>
    <t xml:space="preserve">266,  A1/11, X An Phú Tây, Bình Chánh, HCM</t>
  </si>
  <si>
    <t>AL-08C-3035</t>
  </si>
  <si>
    <t>Nguyễn Thị Thanh Hằng</t>
  </si>
  <si>
    <t>10h30 - 18h30</t>
  </si>
  <si>
    <t>10.6870794296, 106.5947494507</t>
  </si>
  <si>
    <t>NT40541E0O</t>
  </si>
  <si>
    <t>BS Mart 11, Phú Mỹ</t>
  </si>
  <si>
    <t>11, Phú Mỹ, P.22, Q.Bình Thạnh, Hồ Chí Minh</t>
  </si>
  <si>
    <t>10.7906904221, 106.7145309448</t>
  </si>
  <si>
    <t>10.7906856537, 106.7145309448</t>
  </si>
  <si>
    <t>10.7597608566, 106.6986541748</t>
  </si>
  <si>
    <t>10.7596960068, 106.6986618042</t>
  </si>
  <si>
    <t>VI4001.64018</t>
  </si>
  <si>
    <t>VMP_148_NGUYEN_DUY_CUNG</t>
  </si>
  <si>
    <t xml:space="preserve">148 Nguyễn Duy Cung, Phường 12, Quận Gò Vấp, TP  Hồ Chí Minh</t>
  </si>
  <si>
    <t>10.8396368027, 106.6423950195</t>
  </si>
  <si>
    <t>10.8396205902, 106.6423873901</t>
  </si>
  <si>
    <t>XH4001.109138</t>
  </si>
  <si>
    <t>BHX Thôn 8, Xã Ea Ô</t>
  </si>
  <si>
    <t>Thôn 8, Xã Ea Ô, Huyện Ea Kar, Tỉnh Đắk Lắk</t>
  </si>
  <si>
    <t>12.8104524612, 108.4491882324</t>
  </si>
  <si>
    <t>12.8097810745, 108.4491424561</t>
  </si>
  <si>
    <t>PH500213E1</t>
  </si>
  <si>
    <t>Thế giới sữa 2</t>
  </si>
  <si>
    <t>1882, quốc lộ 30, P.11, TP.Cao Lãnh, Đồng Tháp</t>
  </si>
  <si>
    <t>AL-04A-4103</t>
  </si>
  <si>
    <t>Trần Thị Thanh Thảo</t>
  </si>
  <si>
    <t>10.5018482208, 105.5663833618</t>
  </si>
  <si>
    <t>KC100110NL</t>
  </si>
  <si>
    <t>579 Mart 198A Xã Đàn</t>
  </si>
  <si>
    <t>198A Xã Đàn,P.Phương Liên,Quận Đống Đa,Hà Nội</t>
  </si>
  <si>
    <t>21.0114269257, 105.8371124268</t>
  </si>
  <si>
    <t>21.0114173889, 105.8370971680</t>
  </si>
  <si>
    <t>VM1009.38579</t>
  </si>
  <si>
    <t>VM CC NANG HUONG</t>
  </si>
  <si>
    <t xml:space="preserve">Số 583 Km9 đường Nguyễn Trãi   P Văn Quán , Q  Hà Đông, TP  Hà Nội</t>
  </si>
  <si>
    <t>20.9851341248, 105.7956085205</t>
  </si>
  <si>
    <t>20.9872074127, 105.7969360352</t>
  </si>
  <si>
    <t>MP40021JFF</t>
  </si>
  <si>
    <t>Circle K 74, đường số 1</t>
  </si>
  <si>
    <t>74, đường số 1, P.Bình Trị Đông B, Q.Bình Tân, Hồ Chí Minh</t>
  </si>
  <si>
    <t>10.7485227585, 106.6185379028</t>
  </si>
  <si>
    <t>10.7484855652, 106.6185455322</t>
  </si>
  <si>
    <t>NC40171LC3</t>
  </si>
  <si>
    <t>Circle K 27, Phạm Văn Chiêu</t>
  </si>
  <si>
    <t>27, Phạm Văn Chiêu, P.14, Q.Gò Vấp, Hồ Chí Minh</t>
  </si>
  <si>
    <t>10.8448019028, 106.6409530640</t>
  </si>
  <si>
    <t>10.8448152542, 106.6409378052</t>
  </si>
  <si>
    <t>KC100110JU</t>
  </si>
  <si>
    <t>Circle K 45A Hàng Dầu</t>
  </si>
  <si>
    <t>21.0306892395, 105.8536300659</t>
  </si>
  <si>
    <t>21.0307598114, 105.8537445068</t>
  </si>
  <si>
    <t>XH4001.50577</t>
  </si>
  <si>
    <t>BHX Số 172/16A - 172/18 An Phú Đông 09</t>
  </si>
  <si>
    <t xml:space="preserve">Số 172/16A - 172/18 An Phú Đông 09 ,P An Phú Đông ,Q  12,TP  HCM</t>
  </si>
  <si>
    <t>10.8539476395, 106.6820983887</t>
  </si>
  <si>
    <t>10.8539466858, 106.6821060181</t>
  </si>
  <si>
    <t>VM1009.40415</t>
  </si>
  <si>
    <t>VM GOLDEN AN KHANH</t>
  </si>
  <si>
    <t>Ki ốt 04, tầng 1, tòa nhà 18T2, Khu chung cư cao tầng, dịch vụ thương mại HH6, The Golden An Khánh, xã An Khánh, huyện Hoài Đức, TP Hà Nội</t>
  </si>
  <si>
    <t>21.0057239532, 105.7290649414</t>
  </si>
  <si>
    <t>21.0063285828, 105.7266998291</t>
  </si>
  <si>
    <t>KC100110KB</t>
  </si>
  <si>
    <t>KIDS PLAZA Số 16 Phố Yên Phụ (nhỏ)</t>
  </si>
  <si>
    <t>Số 16 Phố Yên Phụ (nhỏ), Tây Hồ, Hà Nội</t>
  </si>
  <si>
    <t>21.0696640015, 105.8019714355</t>
  </si>
  <si>
    <t>21.0696640015, 105.8019638062</t>
  </si>
  <si>
    <t>ST2005.6882</t>
  </si>
  <si>
    <t>CM HA TINH</t>
  </si>
  <si>
    <t>Số 02,Đ.Phan Đình Phùng,P.Nam Hà,Tp.Hà Tĩnh,T.Hà Tĩnh</t>
  </si>
  <si>
    <t>18.3385372162, 105.8969497681</t>
  </si>
  <si>
    <t>18.3384284973, 105.8970565796</t>
  </si>
  <si>
    <t>KC100110KF</t>
  </si>
  <si>
    <t>KIDS PLAZA Số 20 Quang Trung</t>
  </si>
  <si>
    <t>Số 20 Quang Trung, Hà Đông</t>
  </si>
  <si>
    <t>20.9713020325, 105.7762145996</t>
  </si>
  <si>
    <t>20.9712638855, 105.7762222290</t>
  </si>
  <si>
    <t>XH4001.84290</t>
  </si>
  <si>
    <t>BHX Thửa đất số 113, Tờ bản đồ số 47</t>
  </si>
  <si>
    <t>Thửa đất số 113, Tờ bản đồ số 47, Xã Long Điền B, Huyện Chợ Mới, Tỉnh An Giang</t>
  </si>
  <si>
    <t>10.3720169067, 105.4344482422</t>
  </si>
  <si>
    <t>10.5478372574, 105.4035339355</t>
  </si>
  <si>
    <t>XH4001.61607</t>
  </si>
  <si>
    <t>BHX 153 Tân Lập 2</t>
  </si>
  <si>
    <t xml:space="preserve">153 Tân Lập 2, Khu phố 6, Phường Hiệp Phú, TP  Thủ Đức, TP  Hồ Chí Minh</t>
  </si>
  <si>
    <t>10.8488187790, 106.7817535400</t>
  </si>
  <si>
    <t>10.8451023102, 106.7748336792</t>
  </si>
  <si>
    <t>10.8294305801, 106.6820678711</t>
  </si>
  <si>
    <t>10.8296260834, 106.6821136475</t>
  </si>
  <si>
    <t>SG4040.39428</t>
  </si>
  <si>
    <t>SF 80 NG THUONG HIEN</t>
  </si>
  <si>
    <t xml:space="preserve">80 Nguyễn Thượng Hiền, Phường 1, Quận Gò Vấp, TP  HCM</t>
  </si>
  <si>
    <t>10.8143367767, 106.6858596802</t>
  </si>
  <si>
    <t>10.8142709732, 106.6858520508</t>
  </si>
  <si>
    <t>LT4020.27841</t>
  </si>
  <si>
    <t>FCM 247 NG CHI THANH</t>
  </si>
  <si>
    <t>247-249 Nguyễn Chí Thanh, Quận 5, Tp HCM</t>
  </si>
  <si>
    <t>10.7710218430, 106.6776885986</t>
  </si>
  <si>
    <t>10.7686758041, 106.6966705322</t>
  </si>
  <si>
    <t>XH4001.41224</t>
  </si>
  <si>
    <t>BHX 54 Trần Đại Nghĩa</t>
  </si>
  <si>
    <t>54 Trần Đại Nghĩa,Phường Tân Tạo A,Quận Bình Tân,TP HCM</t>
  </si>
  <si>
    <t>10.7236061096, 106.5983505249</t>
  </si>
  <si>
    <t>10.7229671478, 106.6045913696</t>
  </si>
  <si>
    <t>VI4001.87453</t>
  </si>
  <si>
    <t>VMP_HCM_37_DONG_NAI</t>
  </si>
  <si>
    <t>37 Đồng Nai, Phường 15, Quận 10, TP HCM</t>
  </si>
  <si>
    <t>10.7824926376, 106.6607360840</t>
  </si>
  <si>
    <t>10.7824993134, 106.6607131958</t>
  </si>
  <si>
    <t>SG4040.40297</t>
  </si>
  <si>
    <t>SF PHONG PHU</t>
  </si>
  <si>
    <t xml:space="preserve">B6/187 Quốc lộ 50, Ấp 2, Xã Phong Phú, Huyện Bình Chánh, TP  HCM</t>
  </si>
  <si>
    <t>10.6898784637, 106.6544876099</t>
  </si>
  <si>
    <t>10.6898813248, 106.6544647217</t>
  </si>
  <si>
    <t>VI4001.30296</t>
  </si>
  <si>
    <t>VM 12 CCU 12 VIEW</t>
  </si>
  <si>
    <t>Khu TMDV: 2 Tầng Trệt-Block A chung cư 12 View tại P Tân Thới Nhất,Q 12,TP HCM</t>
  </si>
  <si>
    <t>10.8266515732, 106.6112136841</t>
  </si>
  <si>
    <t>10.8266515732, 106.6111068726</t>
  </si>
  <si>
    <t>10.7500600815, 106.6435623169</t>
  </si>
  <si>
    <t>10.7500915527, 106.6437301636</t>
  </si>
  <si>
    <t>XH4001.64144</t>
  </si>
  <si>
    <t>BHX 71 Ấp 5</t>
  </si>
  <si>
    <t>71 Ấp 5, Xã Phước Kiển, Huyện Nhà Bè, TP Hồ Chí Minh</t>
  </si>
  <si>
    <t>10.7229547501, 106.6979217529</t>
  </si>
  <si>
    <t>10.7229375839, 106.6979064941</t>
  </si>
  <si>
    <t>TL40041IBL</t>
  </si>
  <si>
    <t>Family Mart 733 735, Nguyen Trai</t>
  </si>
  <si>
    <t>733 735, Nguyen Trai, P.11, Q.5, Hồ Chí Minh</t>
  </si>
  <si>
    <t>10.7551860809, 106.6658248901</t>
  </si>
  <si>
    <t>10.7543935776, 106.6615447998</t>
  </si>
  <si>
    <t>VI5003.87457</t>
  </si>
  <si>
    <t>VMP_CTO_140B/1_NG_VAN_CU</t>
  </si>
  <si>
    <t xml:space="preserve">140B/1 Nguyễn Văn Cừ, P  An Hòa, Q  Ninh Kiều, TP  Cần Thơ</t>
  </si>
  <si>
    <t>10.0494842529, 105.7711639404</t>
  </si>
  <si>
    <t>10.0491361618, 105.7707977295</t>
  </si>
  <si>
    <t>Cty Lương Thực Sông Hậu (Phụng Hiệp)</t>
  </si>
  <si>
    <t>SH500421W3</t>
  </si>
  <si>
    <t>Kmart</t>
  </si>
  <si>
    <t>0, QL 61, TT.Cái Tắc, H.Châu Thành A, Hậu Giang</t>
  </si>
  <si>
    <t>AL-03F-4003</t>
  </si>
  <si>
    <t>Đinh Thị Phương</t>
  </si>
  <si>
    <t>9.9236946106, 105.7234954834</t>
  </si>
  <si>
    <t>VI4001.90668</t>
  </si>
  <si>
    <t>VMP_HCM_254_63_AU_CO</t>
  </si>
  <si>
    <t>254/63 Âu Cơ, phường 9 quận Tân Bình, TP HCM</t>
  </si>
  <si>
    <t>10.7748842239, 106.6501159668</t>
  </si>
  <si>
    <t>10.7748775482, 106.6501312256</t>
  </si>
  <si>
    <t>VI4001.92327</t>
  </si>
  <si>
    <t>VMP_HCM_25_DUONG_SO_17</t>
  </si>
  <si>
    <t xml:space="preserve">25 đường số 17, KP5, P  Linh Trung, TP  Thủ Đức, TP  Hồ Chí Minh</t>
  </si>
  <si>
    <t>10.8604364395, 106.7879104614</t>
  </si>
  <si>
    <t>10.8604059219, 106.7879486084</t>
  </si>
  <si>
    <t>CF4001.4952</t>
  </si>
  <si>
    <t>CF TAN THOI HIEP</t>
  </si>
  <si>
    <t>265A Nguyễn Ảnh Thủ, P Hiệp Thành, Q 12, TP HCM</t>
  </si>
  <si>
    <t>10.8771781921, 106.6412353516</t>
  </si>
  <si>
    <t>10.8770856857, 106.6412658691</t>
  </si>
  <si>
    <t>KG40031C1N</t>
  </si>
  <si>
    <t>Circle K 62, Nguyễn Khoái</t>
  </si>
  <si>
    <t>62, Nguyễn Khoái, P.5, Q.4, Hồ Chí Minh</t>
  </si>
  <si>
    <t>10.7548666000, 106.6944122314</t>
  </si>
  <si>
    <t>10.7548131943, 106.6944580078</t>
  </si>
  <si>
    <t>VS4019.38461</t>
  </si>
  <si>
    <t>VISSAN 340-342-344 Bùi Hữu Nghĩa,Q Bình Thạnh</t>
  </si>
  <si>
    <t>340-342-344 Bùi Hữu Nghĩa,Q Bình Thạnh,Tp HCM (Vissan)</t>
  </si>
  <si>
    <t>10.8028211594, 106.6985549927</t>
  </si>
  <si>
    <t>10.8028717041, 106.6984710693</t>
  </si>
  <si>
    <t>BR1001.108187</t>
  </si>
  <si>
    <t>BRG 36 Hàng Ngang, quận Hoàn Kiếm</t>
  </si>
  <si>
    <t>36 Hàng Ngang, quận Hoàn Kiếm, Hà Nội</t>
  </si>
  <si>
    <t>21.0346698761, 105.8503494263</t>
  </si>
  <si>
    <t>21.0345859528, 105.8503189087</t>
  </si>
  <si>
    <t>NT40541DJ8</t>
  </si>
  <si>
    <t>BS Mart 22, Phan Xích Long</t>
  </si>
  <si>
    <t>22, Phan Xích Long, P.3, Q.Phú Nhuận, Hồ Chí Minh</t>
  </si>
  <si>
    <t>10.8031892776, 106.6909332275</t>
  </si>
  <si>
    <t>10.8026571274, 106.6820907593</t>
  </si>
  <si>
    <t>NC1002109T</t>
  </si>
  <si>
    <t>Hạnh Phong</t>
  </si>
  <si>
    <t>Tam Thôn, Nghĩa Thái, X.Nghĩa Thái, H.Nghĩa Hưng, Nam Định</t>
  </si>
  <si>
    <t>AL-08D-1004</t>
  </si>
  <si>
    <t>Trần Thị Thương</t>
  </si>
  <si>
    <t>09h00 - 18h30</t>
  </si>
  <si>
    <t>20.2459640503, 106.1794433594</t>
  </si>
  <si>
    <t>SG4040.30899</t>
  </si>
  <si>
    <t>SF NG OANH</t>
  </si>
  <si>
    <t xml:space="preserve">324 Nguyễn Oanh, Phường 17, Quận Gò Vấp, Tp  HCM</t>
  </si>
  <si>
    <t>10.8399353027, 106.6759719849</t>
  </si>
  <si>
    <t>10.8397474289, 106.6758728027</t>
  </si>
  <si>
    <t>SG5008.41821</t>
  </si>
  <si>
    <t>SATRA AN HOA</t>
  </si>
  <si>
    <t>103 Nguyễn Văn Cừ, Phường An Hòa, Quận Ninh Kiều, TP Cần Thơ</t>
  </si>
  <si>
    <t>10.0500574112, 105.7717514038</t>
  </si>
  <si>
    <t>10.0500345230, 105.7717056274</t>
  </si>
  <si>
    <t>VI4001.43833</t>
  </si>
  <si>
    <t>VM 649 115C DBPHU</t>
  </si>
  <si>
    <t>649/115C Điện Biên Phủ, phường 25,quận Bình Thạnh, Tp Hồ Chí Minh</t>
  </si>
  <si>
    <t>10.8018054962, 106.7216949463</t>
  </si>
  <si>
    <t>10.8018007278, 106.7216720581</t>
  </si>
  <si>
    <t>ST-06E-4001</t>
  </si>
  <si>
    <t>Nguyễn Anh Chương</t>
  </si>
  <si>
    <t>9.9233131409, 106.3282699585</t>
  </si>
  <si>
    <t>9.9233493805, 106.3285140991</t>
  </si>
  <si>
    <t>VI4001.82596</t>
  </si>
  <si>
    <t>VMP_HCM_81B_LA_XUAN_OAI</t>
  </si>
  <si>
    <t xml:space="preserve">81B Lã Xuân Oai, phường Long Trường, TP  Thủ Đức, TP  Hồ Chí Minh</t>
  </si>
  <si>
    <t>10.8247203827, 106.8077697754</t>
  </si>
  <si>
    <t>10.8247632980, 106.8078765869</t>
  </si>
  <si>
    <t>DH4012.26612</t>
  </si>
  <si>
    <t>AeonCitimart 31-33 Phan Huy Ích,Phường 15</t>
  </si>
  <si>
    <t>31-33 Phan Huy Ích,Phường 15,Quận Tân Bình,TP HCM</t>
  </si>
  <si>
    <t>10.8253746033, 106.6302719116</t>
  </si>
  <si>
    <t>10.8251924515, 106.6303100586</t>
  </si>
  <si>
    <t>10.8246984482, 106.8077087402</t>
  </si>
  <si>
    <t>10.8247079849, 106.8076248169</t>
  </si>
  <si>
    <t>VM1014.82325</t>
  </si>
  <si>
    <t>Vinmart Lô A7, Khu dân cư tái định cư Khách sạn Sầm Sơn</t>
  </si>
  <si>
    <t>Lô A7, Khu dân cư tái định cư Khách sạn Sầm Sơn, đường Lê Lợi, P. Trường Sơn, TP. Sầm Sơn , Thanh Hóa</t>
  </si>
  <si>
    <t>19.7334442139, 105.8963470459</t>
  </si>
  <si>
    <t>19.7334423065, 105.8962783813</t>
  </si>
  <si>
    <t>MP40021I7E</t>
  </si>
  <si>
    <t>Circle K 193, Đường số 01</t>
  </si>
  <si>
    <t>193, Đường số 01, P.Bình Trị Đông B, Q.Bình Tân, Hồ Chí Minh</t>
  </si>
  <si>
    <t>10.7483301163, 106.6163864136</t>
  </si>
  <si>
    <t>10.7484169006, 106.6163711548</t>
  </si>
  <si>
    <t>MP40021K2N</t>
  </si>
  <si>
    <t>Circle K A10/7,</t>
  </si>
  <si>
    <t>A10/7,, QL50, X.Bình Hưng, H.Bình Chánh, Hồ Chí Minh</t>
  </si>
  <si>
    <t>10.7304344177, 106.6560440063</t>
  </si>
  <si>
    <t>10.7269773483, 106.6558227539</t>
  </si>
  <si>
    <t>VC1007.35045</t>
  </si>
  <si>
    <t>VINMART CT1-A, CT1-B</t>
  </si>
  <si>
    <t>CT1-A, CT1-B, Khu Đô thị Xala, Phường Phúc La, Quận Hà Đông, Hà Nội</t>
  </si>
  <si>
    <t>20.9632930756, 105.7915115356</t>
  </si>
  <si>
    <t>20.9632720947, 105.7914505005</t>
  </si>
  <si>
    <t>MB00KC100110MQ</t>
  </si>
  <si>
    <t>Công ty Cổ phần dịch vụ và bán lẻ SNB Số 10 Lê Thạch,P Hàng Bài</t>
  </si>
  <si>
    <t>Số 10 Lê Thạch,P Hàng Bài,Q Hoàn Kiếm ,Hà Nội</t>
  </si>
  <si>
    <t>21.0274200439, 105.8541030884</t>
  </si>
  <si>
    <t>21.0274047852, 105.8542938232</t>
  </si>
  <si>
    <t>KC100110CW</t>
  </si>
  <si>
    <t>Circle K Số 51</t>
  </si>
  <si>
    <t xml:space="preserve">Số 51, liền kề 6A, khu C17, kĐT Mỗ Lao, Phường Mỗ Lao, quận Hà Đông, Hà Nội </t>
  </si>
  <si>
    <t>20.9860286713, 105.7826766968</t>
  </si>
  <si>
    <t>20.9860458374, 105.7826995850</t>
  </si>
  <si>
    <t>VI3003.65403</t>
  </si>
  <si>
    <t>VMP_BDG_524C_12_KHU_C</t>
  </si>
  <si>
    <t>524C/12 Khu C, KPTân Phú 1, phường Tân Bình, Thị Xã Dĩ An, Bình Dương ( 20-24 Lê Hồng Phong )</t>
  </si>
  <si>
    <t>10.9290304184, 106.7569656372</t>
  </si>
  <si>
    <t>10.9290523529, 106.7569732666</t>
  </si>
  <si>
    <t>KC100110MQ</t>
  </si>
  <si>
    <t>Công ty Cổ phần dịch vụ và bán lẻ SNB Số 10 Lê Thạch</t>
  </si>
  <si>
    <t>21.0274353027, 105.8540649414</t>
  </si>
  <si>
    <t>21.0274009705, 105.8550415039</t>
  </si>
  <si>
    <t>NT40541DJ0</t>
  </si>
  <si>
    <t>Family Mart 138D, Nguyễn Đình Chiểu</t>
  </si>
  <si>
    <t>138D, Nguyễn Đình Chiểu, P.6, Q.3, Hồ Chí Minh</t>
  </si>
  <si>
    <t>10.7837591171, 106.6950988770</t>
  </si>
  <si>
    <t>10.7818107605, 106.6970901489</t>
  </si>
  <si>
    <t>VI2009.82530</t>
  </si>
  <si>
    <t xml:space="preserve">Vinmart Plus 34 Hoàng Diệu, P  Vĩnh Nguyên</t>
  </si>
  <si>
    <t xml:space="preserve">34 Hoàng Diệu, P  Vĩnh Nguyên, TP Nha Trang, Tỉnh Khánh Hoà</t>
  </si>
  <si>
    <t>12.2123908997, 109.1967315674</t>
  </si>
  <si>
    <t>12.2123794556, 109.1967468262</t>
  </si>
  <si>
    <t>VI4001.32730</t>
  </si>
  <si>
    <t>VM HIM LAM</t>
  </si>
  <si>
    <t xml:space="preserve">Lô E3 Cao ốc Him Lam Nam Khánh, Phường 5, Quận 8, TP  Hồ Chí Minh</t>
  </si>
  <si>
    <t>10.7374229431, 106.6711196899</t>
  </si>
  <si>
    <t>10.7389421463, 106.6688995361</t>
  </si>
  <si>
    <t>CF4001.4964</t>
  </si>
  <si>
    <t>CF BINH PHU</t>
  </si>
  <si>
    <t>15-17 Bình Phú P 10 Q 6 Tp HCM</t>
  </si>
  <si>
    <t>10.7386322021, 106.6290130615</t>
  </si>
  <si>
    <t>10.7560253143, 106.7044677734</t>
  </si>
  <si>
    <t>CF4001.115176</t>
  </si>
  <si>
    <t>CF_PHAM_NHU_TANG_11</t>
  </si>
  <si>
    <t>11-13 Phạm Nhữ Tăng, Phường 4, Quận 8, TP Hồ Chí Minh</t>
  </si>
  <si>
    <t>10.7393550873, 106.6761703491</t>
  </si>
  <si>
    <t>10.7392826080, 106.6762008667</t>
  </si>
  <si>
    <t>XH4001.63248</t>
  </si>
  <si>
    <t>BHX 203 đường Bùi Văn Hòa</t>
  </si>
  <si>
    <t xml:space="preserve">203 đường Bùi Văn Hòa, khu phố 03, Phường Long Bình Tân, TP  Biên Hòa, tỉnh Đồng Nai</t>
  </si>
  <si>
    <t>10.9065961838, 106.8897781372</t>
  </si>
  <si>
    <t>10.9065818787, 106.8897476196</t>
  </si>
  <si>
    <t>MK40021J3O</t>
  </si>
  <si>
    <t>Family Mart 138, Vĩnh Viễn</t>
  </si>
  <si>
    <t>138, Vĩnh Viễn, P.9, Q.10, Hồ Chí Minh</t>
  </si>
  <si>
    <t>10.7650003433, 106.6720581055</t>
  </si>
  <si>
    <t>10.7646541595, 106.6714859009</t>
  </si>
  <si>
    <t>VI1001.83845</t>
  </si>
  <si>
    <t>QNH_TO_69B_KHU_6_CAO_XANH</t>
  </si>
  <si>
    <t>Tổ 69B khu 6 phường Cao Xanh, Thành phố Hạ Long, Tỉnh Quảng Ninh</t>
  </si>
  <si>
    <t>20.9799594879, 107.0889205933</t>
  </si>
  <si>
    <t>20.9800052643, 107.0889282227</t>
  </si>
  <si>
    <t>VM1009.26994</t>
  </si>
  <si>
    <t>VM 19 TO NGOC VAN</t>
  </si>
  <si>
    <t>Số 19B đường Tô Ngọc Vân, phường Quảng An, quận Tây Hồ, Hà Nội</t>
  </si>
  <si>
    <t>21.0638122559, 105.8355636597</t>
  </si>
  <si>
    <t>21.0682678223, 105.8249206543</t>
  </si>
  <si>
    <t>CF4001.64140</t>
  </si>
  <si>
    <t>CH_CF_NGUYEN_XI_247</t>
  </si>
  <si>
    <t>247A Nguyễn Xí, Phường 13, Quận Bình Thạnh, Tp HCM</t>
  </si>
  <si>
    <t>10.8111162186, 106.7351303101</t>
  </si>
  <si>
    <t>10.8187055588, 106.7048339844</t>
  </si>
  <si>
    <t>10.7709131241, 106.6696014404</t>
  </si>
  <si>
    <t>10.7709550858, 106.6696701050</t>
  </si>
  <si>
    <t>VM1009.26270</t>
  </si>
  <si>
    <t>VM 227 NGOC LAM</t>
  </si>
  <si>
    <t>227 Ngọc Lâm - Long Biên - Hà Nội</t>
  </si>
  <si>
    <t>21.0716876984, 105.9004135132</t>
  </si>
  <si>
    <t>21.0469360352, 105.8734054565</t>
  </si>
  <si>
    <t>KC1001105X</t>
  </si>
  <si>
    <t>T-Mart 184</t>
  </si>
  <si>
    <t>184, Đại Từ,P.Đại Kim,Q.Hoàng Mai,Hà Nội</t>
  </si>
  <si>
    <t>20.9707527161, 105.8335494995</t>
  </si>
  <si>
    <t>20.9707927704, 105.8335494995</t>
  </si>
  <si>
    <t>VM1009.64417</t>
  </si>
  <si>
    <t>VMP_HNI_60_TU_HIEP</t>
  </si>
  <si>
    <t>60 đường Tứ Hiệp, xã Tứ Hiệp, huyện Thanh Trì, Hà Nội</t>
  </si>
  <si>
    <t>20.9791736603, 105.8434295654</t>
  </si>
  <si>
    <t>20.9472637177, 105.8510665894</t>
  </si>
  <si>
    <t>VI4001.88504</t>
  </si>
  <si>
    <t>VMP_RS4-SH03_CC_RICHSTAR</t>
  </si>
  <si>
    <t xml:space="preserve">RS4-SH 03 tại dự án khu thương mại dịch vụ căn hộ địa chỉ 278 đường Hòa Bình, phường Hiệp Tân, quận Tân Phú, TP  HCM (Dự án Richstar Residence)</t>
  </si>
  <si>
    <t>10.7728691101, 106.6266632080</t>
  </si>
  <si>
    <t>10.7729024887, 106.6266326904</t>
  </si>
  <si>
    <t>XH4001.109161</t>
  </si>
  <si>
    <t>BHX Số 75 Đường Tỉnh Lộ 1, Xã Tân Hòa</t>
  </si>
  <si>
    <t>Số 75 Đường Tỉnh Lộ 1, Xã Tân Hòa, Huyện Buôn Đôn, Tỉnh Đắk Lắk</t>
  </si>
  <si>
    <t>12.7696876526, 107.9903182983</t>
  </si>
  <si>
    <t>12.7696418762, 107.9902191162</t>
  </si>
  <si>
    <t>VM1012.40539</t>
  </si>
  <si>
    <t>VM 63 THIEN LOI</t>
  </si>
  <si>
    <t>Số 63 Thiên Lôi, phường Nghĩa Xá, quận Lê Chân, Hải Phòng</t>
  </si>
  <si>
    <t>20.8401126862, 106.6683807373</t>
  </si>
  <si>
    <t>20.8401393890, 106.6683959961</t>
  </si>
  <si>
    <t>XH4001.63880</t>
  </si>
  <si>
    <t>BHX Một phần thửa 123</t>
  </si>
  <si>
    <t xml:space="preserve">Một phần thửa 123,124- Tờ bản đồ số 22- Phường Tân Phú-TP  Thủ Đức-TP  Hồ Chí Minh</t>
  </si>
  <si>
    <t>10.8616657257, 106.7983551025</t>
  </si>
  <si>
    <t>10.8616542816, 106.7983551025</t>
  </si>
  <si>
    <t>VT102510EC</t>
  </si>
  <si>
    <t>Hue Dieu</t>
  </si>
  <si>
    <t>Son Trung, phuong Bac Son, thi xa Pho Yen, tinh Thai Nguyen</t>
  </si>
  <si>
    <t>AL-08D-1005</t>
  </si>
  <si>
    <t>Lương Thị Hồng Gấm</t>
  </si>
  <si>
    <t>21.4513301849, 105.7793960571</t>
  </si>
  <si>
    <t>XH4001.76258</t>
  </si>
  <si>
    <t>BHX 64/7H Phó Cơ Điều, phường 04</t>
  </si>
  <si>
    <t xml:space="preserve">64/7H Phó Cơ Điều, phường 04, Tp  Vĩnh Long, tỉnh Vĩnh Long</t>
  </si>
  <si>
    <t>10.1518945694, 106.0252609253</t>
  </si>
  <si>
    <t>10.2315082550, 105.9869155884</t>
  </si>
  <si>
    <t>MA1007.90285</t>
  </si>
  <si>
    <t>CM_SCA_LONG_BIEN</t>
  </si>
  <si>
    <t xml:space="preserve">Tầng 2 , Trung tâm thương mại Mipec Riverside, Số 2, Phố Long Biên II, Phường Ngọc Lâm, Quận Long Biên, Thành phố Hà Nội, Việt Nam </t>
  </si>
  <si>
    <t>ST-11E-1005</t>
  </si>
  <si>
    <t>Dương Thị Hồng Nhung</t>
  </si>
  <si>
    <t>21.0647773743, 105.7980270386</t>
  </si>
  <si>
    <t>XH4001.53135</t>
  </si>
  <si>
    <t>BHX 181 Đường TTN17</t>
  </si>
  <si>
    <t>181 Đường TTN17, Khu phố 4, Phường Tân Thới Nhất, Quận 12, Thành phố Hồ Chí Min</t>
  </si>
  <si>
    <t>10.8515396118, 106.5971679688</t>
  </si>
  <si>
    <t>10.8564844131, 106.5972518921</t>
  </si>
  <si>
    <t>KC100110DA</t>
  </si>
  <si>
    <t xml:space="preserve">Tầng 1, tòa nhà CT2 Xuân Mai, đường Tô Hiệu, Hà Đông Hà Nội </t>
  </si>
  <si>
    <t>20.9630985260, 105.7738571167</t>
  </si>
  <si>
    <t>20.9630203247, 105.7737121582</t>
  </si>
  <si>
    <t>XH4001.57860</t>
  </si>
  <si>
    <t>BHX 122 Lâm Văn Bền</t>
  </si>
  <si>
    <t>122 Lâm Văn Bền, Phuờng Tân Quy, Quận 7, TP Hồ Chí Minh</t>
  </si>
  <si>
    <t>10.7440576553, 106.7158203125</t>
  </si>
  <si>
    <t>10.7440633774, 106.7158203125</t>
  </si>
  <si>
    <t>DT5012192A</t>
  </si>
  <si>
    <t>7 Xế</t>
  </si>
  <si>
    <t>263, Ấp Phú Hữu, TT.Phú Hòa, H.Thoại Sơn, An Giang</t>
  </si>
  <si>
    <t>AL-04A-4050</t>
  </si>
  <si>
    <t>10.3592424393, 105.3780364990</t>
  </si>
  <si>
    <t>XH4001.89813</t>
  </si>
  <si>
    <t>BHX Thửa đất số 1511, tờ bản đồ số 1</t>
  </si>
  <si>
    <t xml:space="preserve">Thửa đất số 1511, tờ bản đồ số 1, xã Long Trạch, H  Cần Đước, Tỉnh Long An</t>
  </si>
  <si>
    <t>10.6256914139, 106.5882720947</t>
  </si>
  <si>
    <t>10.6257190704, 106.5882492065</t>
  </si>
  <si>
    <t>XH4001.124087</t>
  </si>
  <si>
    <t>BHX C9/3A Phạm Hùng, Ấp 4</t>
  </si>
  <si>
    <t>C9/3A Phạm Hùng, Ấp 4, Xã Bình Hưng, Huyện Bình Chánh, TP HCM</t>
  </si>
  <si>
    <t>10.7287635803, 106.6771011353</t>
  </si>
  <si>
    <t>10.7287750244, 106.6772232056</t>
  </si>
  <si>
    <t>VI4001.55769</t>
  </si>
  <si>
    <t>VMP_HCM_472_PHAM_VAN_BACH</t>
  </si>
  <si>
    <t>472 Phạm Văn Bạch, Phường 12, Quận Gò Vấp, TP Hồ Chí Minh</t>
  </si>
  <si>
    <t>10.8296031952, 106.6419219971</t>
  </si>
  <si>
    <t>10.8297042847, 106.6418838501</t>
  </si>
  <si>
    <t>VI4001.50759</t>
  </si>
  <si>
    <t>VMP_1132_QUOC_LO_50</t>
  </si>
  <si>
    <t>1132 Quốc lộ 50, Ấp 3, Xã Bình Hưng, Huyện Bình Chánh, TPHCM</t>
  </si>
  <si>
    <t>10.7130889893, 106.6554565430</t>
  </si>
  <si>
    <t>10.7130823135, 106.6554565430</t>
  </si>
  <si>
    <t>VI4001.25048</t>
  </si>
  <si>
    <t>VM 1 TON T THUYET</t>
  </si>
  <si>
    <t>001 Lô M3, CC Số 1 Tôn Thất Thuyết, Phường 1, Quận 4, TP HCM</t>
  </si>
  <si>
    <t>10.7547054291, 106.6919097900</t>
  </si>
  <si>
    <t>10.7546005249, 106.6919708252</t>
  </si>
  <si>
    <t>XH4001.76366</t>
  </si>
  <si>
    <t xml:space="preserve">BHX 17/2  Bến Cát, Khu Phố 01</t>
  </si>
  <si>
    <t xml:space="preserve">17/2  Bến Cát, Khu Phố 01, P4, Thị Xã Cai Lậy, Tỉnh Tiền Giang</t>
  </si>
  <si>
    <t>10.4082698822, 106.1221542358</t>
  </si>
  <si>
    <t>10.4081630707, 106.1222152710</t>
  </si>
  <si>
    <t>VM1009.61774</t>
  </si>
  <si>
    <t>VMP_HNI_57_LA_NOI</t>
  </si>
  <si>
    <t xml:space="preserve">Số 57 đường La Nội, phường Dương Nội, quận Hà Đông, Hà Nội </t>
  </si>
  <si>
    <t>20.9796638489, 105.7480468750</t>
  </si>
  <si>
    <t>20.9641284943, 105.7498397827</t>
  </si>
  <si>
    <t>XH4001.118552</t>
  </si>
  <si>
    <t>BHX 421Quốc Lộ 80, Ấp Tân Điền</t>
  </si>
  <si>
    <t>421Quốc Lộ 80, Ấp Tân Điền, Xã Mỹ Lâm, Huyện Hòn Đất, Tỉnh Kiên Giang</t>
  </si>
  <si>
    <t>10.0628976822, 105.0628814697</t>
  </si>
  <si>
    <t>10.0628910065, 105.0628890991</t>
  </si>
  <si>
    <t>SG4040.41750</t>
  </si>
  <si>
    <t>SF NGUYEN THI TU</t>
  </si>
  <si>
    <t xml:space="preserve">D3/18A Nguyễn Thị Tú, Vĩnh Lộc, Huyện Bình Chánh, TP  HCM</t>
  </si>
  <si>
    <t>10.8141088486, 106.5814666748</t>
  </si>
  <si>
    <t>10.8141002655, 106.5814437866</t>
  </si>
  <si>
    <t>XH4001.104664</t>
  </si>
  <si>
    <t>BHX 172B/20 Khu vực 1, Phường An Khánh</t>
  </si>
  <si>
    <t xml:space="preserve">172B/20 Khu vực 1, Phường An Khánh, Quận Ninh Kiều, TP  Cần Thơ</t>
  </si>
  <si>
    <t>10.0201454163, 105.7819976807</t>
  </si>
  <si>
    <t>10.0382804871, 105.7598037720</t>
  </si>
  <si>
    <t>VI4001.81028</t>
  </si>
  <si>
    <t>VMP_HCM_94_DUONG_SO_4</t>
  </si>
  <si>
    <t>94 đường số 4, kp 3, p Bình Hưng Hòa A, Q Bình Tân, TP HCM</t>
  </si>
  <si>
    <t>10.7862730026, 106.6065139771</t>
  </si>
  <si>
    <t>10.7863130569, 106.6065444946</t>
  </si>
  <si>
    <t>10.7862453461, 106.6065444946</t>
  </si>
  <si>
    <t>10.7863283157, 106.6065597534</t>
  </si>
  <si>
    <t>NT40541LHR</t>
  </si>
  <si>
    <t>Circle K 160, Bùi Thị Xuân</t>
  </si>
  <si>
    <t>160, Bùi Thị Xuân, P.Phạm Ngũ Lão, Q.1, Hồ Chí Minh</t>
  </si>
  <si>
    <t>10.7685871124, 106.6871185303</t>
  </si>
  <si>
    <t>10.7685899734, 106.6871261597</t>
  </si>
  <si>
    <t>TH50291100</t>
  </si>
  <si>
    <t>Trường Nguyên</t>
  </si>
  <si>
    <t>48/4, Trần Huỳnh, P.7, TP.Bạc Liêu, Bạc Liêu</t>
  </si>
  <si>
    <t>AL-04A-4055</t>
  </si>
  <si>
    <t>Chiêm Thị Phượng</t>
  </si>
  <si>
    <t>9.2940082550, 105.7212371826</t>
  </si>
  <si>
    <t>CV1005102Q</t>
  </si>
  <si>
    <t>Chị Quỳnh</t>
  </si>
  <si>
    <t>58/299, Hoàng Mai, Giáp Bát, Hoàng Mai, Hà Nội</t>
  </si>
  <si>
    <t>AL-10D-1001</t>
  </si>
  <si>
    <t>20.9877300262, 105.8621444702</t>
  </si>
  <si>
    <t>G74003.82191</t>
  </si>
  <si>
    <t>G7 MINISTOP SAV 5-00 06, Dự án The Sun Avenue</t>
  </si>
  <si>
    <t xml:space="preserve">SAV 5-00 06, Dự án The Sun Avenue, 28 Mai Chí Thọ, Phường An Phú, TP  Thủ Đức, TP  Hồ Chí Minh</t>
  </si>
  <si>
    <t>KG40031BTY</t>
  </si>
  <si>
    <t>BS Mart 2C, Vinh Hoi</t>
  </si>
  <si>
    <t>2C, Vinh Hoi, P.3, Q.4, Hồ Chí Minh</t>
  </si>
  <si>
    <t>10.7558069229, 106.7008895874</t>
  </si>
  <si>
    <t>10.7558126450, 106.7009048462</t>
  </si>
  <si>
    <t>HA50081003</t>
  </si>
  <si>
    <t>Shop Nam Dung</t>
  </si>
  <si>
    <t>0, Nhà Lồng Chợ Giồng Riềng, TT.Giồng Riềng, H.Giồng Riềng, Kiên Giang</t>
  </si>
  <si>
    <t>AL-01B-4004</t>
  </si>
  <si>
    <t>9.9062824249, 105.3133239746</t>
  </si>
  <si>
    <t>LT4020.27831</t>
  </si>
  <si>
    <t>FCM 269 HAI BA TRUNG 269 Hai Bà Trưng, Quận 3</t>
  </si>
  <si>
    <t>269 Hai Bà Trưng, Quận 3, Tp HCM</t>
  </si>
  <si>
    <t>10.7888336182, 106.6911773682</t>
  </si>
  <si>
    <t>10.7880096436, 106.6922760010</t>
  </si>
  <si>
    <t>VM1009.65273</t>
  </si>
  <si>
    <t>VMP_HNI_T1_30_GEMEK_TOWER</t>
  </si>
  <si>
    <t>T1-30, tầng 1, Gemek Tower, KTĐM Lê Trọng Tấn - Geleximco, đường Lê Trọng Tấn, xã An Khánh, huyện Hoài Đức, Hà Nội</t>
  </si>
  <si>
    <t>21.0086002350, 105.7298812866</t>
  </si>
  <si>
    <t>21.0086059570, 105.7298812866</t>
  </si>
  <si>
    <t>XH4001.36904</t>
  </si>
  <si>
    <t>BHX 29 Ao Đôi</t>
  </si>
  <si>
    <t>29 Ao Đôi,khu phố 6,P Bình Trị Đông A,Q Bình Tân,Tp HCM</t>
  </si>
  <si>
    <t>10.7743120193, 106.5994262695</t>
  </si>
  <si>
    <t>10.7742738724, 106.5994338989</t>
  </si>
  <si>
    <t>VM1009.26509</t>
  </si>
  <si>
    <t>VM 187 HONG MAI</t>
  </si>
  <si>
    <t>47 ngõ 187 Hồng Mai,Hai Bà Trưng,Hà Nội</t>
  </si>
  <si>
    <t>20.9738540649, 105.8454132080</t>
  </si>
  <si>
    <t>SG4040.57240</t>
  </si>
  <si>
    <t>SF_412_HA_HUY_GIAP</t>
  </si>
  <si>
    <t>412 Hà Huy Giáp, Phường Thạnh Lộc , Quận 12</t>
  </si>
  <si>
    <t>10.8699913025, 106.6771621704</t>
  </si>
  <si>
    <t>10.8700284958, 106.6772155762</t>
  </si>
  <si>
    <t>VI1102.85012</t>
  </si>
  <si>
    <t>VMP_NAN_16_LE_LOI</t>
  </si>
  <si>
    <t>16 Lê Lợi, Phường Hưng Bình, TP.Vinh, Nghệ An</t>
  </si>
  <si>
    <t>18.6805725098, 105.6747436523</t>
  </si>
  <si>
    <t>18.6805686951, 105.6747207642</t>
  </si>
  <si>
    <t>XH4001.47475</t>
  </si>
  <si>
    <t>BHX B14A/13A/1L-B14/12/2 Cây Cám</t>
  </si>
  <si>
    <t xml:space="preserve">B14A/13A/1L-B14/12/2 Cây Cám, Ấp 2C, Xã Vĩnh Lộc B, Huyện Bình Chánh, TP  HCM</t>
  </si>
  <si>
    <t>10.7851066589, 106.5852127075</t>
  </si>
  <si>
    <t>10.7864475250, 106.5855789185</t>
  </si>
  <si>
    <t>VI2003.83885</t>
  </si>
  <si>
    <t>LO_01B2-12_KDC_SUDOAN_372</t>
  </si>
  <si>
    <t xml:space="preserve">Lô 01B2-12 KDC Sư Đoàn 372, P  Hoà Khê, Quận Thanh Khê, TP Đà Nẵng</t>
  </si>
  <si>
    <t>16.0554008484, 108.1878814697</t>
  </si>
  <si>
    <t>16.0553932190, 108.1877899170</t>
  </si>
  <si>
    <t>PT40351P1F</t>
  </si>
  <si>
    <t>BS Mart 5, Nguyễn Sỹ Sách, Nguyễn Sỹ Sách</t>
  </si>
  <si>
    <t>5, Nguyễn Sỹ Sách, P.15, Q.Tân Bình, Hồ Chí Minh</t>
  </si>
  <si>
    <t>10.8186130524, 106.6333541870</t>
  </si>
  <si>
    <t>10.8186016083, 106.6333236694</t>
  </si>
  <si>
    <t>10.0339412689, 105.7860870361</t>
  </si>
  <si>
    <t>10.0342016220, 105.7860870361</t>
  </si>
  <si>
    <t>KC100110KP</t>
  </si>
  <si>
    <t>KIDS PLAZA Số 4 - 6 Nguyễn Hữu Thọ</t>
  </si>
  <si>
    <t>Số 4 - 6 Nguyễn Hữu Thọ, Bắc Linh Đàm, Q.Hoàng Mai</t>
  </si>
  <si>
    <t>20.9695587158, 105.8299179077</t>
  </si>
  <si>
    <t>20.9695625305, 105.8299102783</t>
  </si>
  <si>
    <t>KC1001108I</t>
  </si>
  <si>
    <t>Circle K Số 138</t>
  </si>
  <si>
    <t>Số 138, Hàng Bông,P.Hàng Bông,Q.Hoàn Kiếm,Hà Nội</t>
  </si>
  <si>
    <t>21.0293979645, 105.8454284668</t>
  </si>
  <si>
    <t>21.0293903351, 105.8454284668</t>
  </si>
  <si>
    <t>G74003.60593</t>
  </si>
  <si>
    <t>G7 MINISTOP A2SH09 Vinhome Golden River, Số 2 Tôn Đức Thắng</t>
  </si>
  <si>
    <t>A2SH09 Vinhome Golden River, Số 2 Tôn Đức Thắng, Phường Bến Nghé, Quận 1, TP HCM</t>
  </si>
  <si>
    <t>10.7903127670, 106.7095413208</t>
  </si>
  <si>
    <t>10.7903003693, 106.7095413208</t>
  </si>
  <si>
    <t>MP40021JMK</t>
  </si>
  <si>
    <t>Circle K 259,</t>
  </si>
  <si>
    <t>259,, đường số 07, P.Bình Trị Đông, Q.Bình Tân, Hồ Chí Minh</t>
  </si>
  <si>
    <t>10.7515344620, 106.6130599976</t>
  </si>
  <si>
    <t>10.7515439987, 106.6130676270</t>
  </si>
  <si>
    <t>VM1009.77632</t>
  </si>
  <si>
    <t>VMP_103_NGO_4_PHUONG_MAI</t>
  </si>
  <si>
    <t xml:space="preserve">103 ngõ 4 Phương Mai, P Phương Mai, Q Đống Đa, TP  Hà Nội</t>
  </si>
  <si>
    <t>21.0042209625, 105.8394622803</t>
  </si>
  <si>
    <t>21.0042552948, 105.8394317627</t>
  </si>
  <si>
    <t>XH4001.66156</t>
  </si>
  <si>
    <t>BHX 45 Hoàng Bá Bích</t>
  </si>
  <si>
    <t>45 Hoàng Bá Bích, Tổ 3, Khu Phố 4, Phường Long Bình, Thành Phố Biên Hòa, Tỉnh Đồng Nai</t>
  </si>
  <si>
    <t>10.9401082993, 106.8704071045</t>
  </si>
  <si>
    <t>XH4001.113623</t>
  </si>
  <si>
    <t>BHX Thửa đất số 1216, Tờ bản đồ 05</t>
  </si>
  <si>
    <t>Thửa đất số 1216, Tờ bản đồ 05, Ấp Trường Thành A, Xã Trường Khánh, Huyện Long Phú, Tỉnh Sóc Trăng</t>
  </si>
  <si>
    <t>9.6778717041, 106.0093460083</t>
  </si>
  <si>
    <t>9.6778440475, 106.0093536377</t>
  </si>
  <si>
    <t>PH5002123R</t>
  </si>
  <si>
    <t>Anh Tân</t>
  </si>
  <si>
    <t>số 78, Phạm Ngũ Lão, P 1, TP Cao Lãnh, Đồng Tháp</t>
  </si>
  <si>
    <t>AL-11F-4007</t>
  </si>
  <si>
    <t>09h00 - 18h00</t>
  </si>
  <si>
    <t>10.4627952576, 105.6318588257</t>
  </si>
  <si>
    <t>KC100110IS</t>
  </si>
  <si>
    <t>Circle K 286 Kim Ngưu</t>
  </si>
  <si>
    <t>286 Kim Ngưu, Hai Bà Trưng, Hà Nội</t>
  </si>
  <si>
    <t>20.9988193512, 105.8618698120</t>
  </si>
  <si>
    <t>20.9988574982, 105.8618392944</t>
  </si>
  <si>
    <t>LC1009.30756</t>
  </si>
  <si>
    <t xml:space="preserve">Lan chi Xã Uy Lỗ, TT  Đông Anh</t>
  </si>
  <si>
    <t xml:space="preserve">Xã Uy Lỗ, TT  Đông Anh, H  Đông Anh, Tp  Hà Nội</t>
  </si>
  <si>
    <t>21.0481052399, 105.5050277710</t>
  </si>
  <si>
    <t>21.0481357574, 105.5052032471</t>
  </si>
  <si>
    <t>VI1002.50333</t>
  </si>
  <si>
    <t>VMP_3023_DL_HUNG_VUONG</t>
  </si>
  <si>
    <t>Số 3023 Đại Lộ Hùng Vương, Khu 1, phường Vân Cơ, TP Việt Trì, tỉnh Phú Thọ</t>
  </si>
  <si>
    <t>21.3407096863, 105.3646392822</t>
  </si>
  <si>
    <t>21.3407115936, 105.3646392822</t>
  </si>
  <si>
    <t>QP10011DO7</t>
  </si>
  <si>
    <t>Nguyễn Phi Nga</t>
  </si>
  <si>
    <t>184, Tây Sơn (Cty CP in hàng không), Hàng Bột, Đống Đa, Hà Nội</t>
  </si>
  <si>
    <t>AL-04A-1040</t>
  </si>
  <si>
    <t>Nguyễn Thị Việt</t>
  </si>
  <si>
    <t>21.0101280212, 105.8249130249</t>
  </si>
  <si>
    <t>TL40041IBH</t>
  </si>
  <si>
    <t>Family Mart 111, Ngo Quyen</t>
  </si>
  <si>
    <t>111, Ngo Quyen, P.12, Q.5, Hồ Chí Minh</t>
  </si>
  <si>
    <t>10.7586240768, 106.6657562256</t>
  </si>
  <si>
    <t>10.7585744858, 106.6657791138</t>
  </si>
  <si>
    <t>NT40541LQ5</t>
  </si>
  <si>
    <t>Siêu thị GS-25 49L, Phan Đăng Lưu</t>
  </si>
  <si>
    <t>49L, Phan Đăng Lưu, P.3, Q.Bình Thạnh, Hồ Chí Minh</t>
  </si>
  <si>
    <t>10.8031682968, 106.6909179688</t>
  </si>
  <si>
    <t>10.8031158447, 106.6910324097</t>
  </si>
  <si>
    <t>PH500212K2</t>
  </si>
  <si>
    <t>Chị Đậm</t>
  </si>
  <si>
    <t>45D, Nguyễn Văn Cừ. Mỹ Hòa, TT.Mỹ An, H.Tháp Mười, Đồng Tháp</t>
  </si>
  <si>
    <t>AL-04A-4097</t>
  </si>
  <si>
    <t>Bùi Kim Mai</t>
  </si>
  <si>
    <t>10.5205383301, 105.8431320190</t>
  </si>
  <si>
    <t>KC100110NB</t>
  </si>
  <si>
    <t>Kmart Tầng 1</t>
  </si>
  <si>
    <t>Tầng 1,tòa B,Chung cư Roman Plaza Đường Tố Hữu,Phường Đại Mỗ,Q Nam Từ Liêm,Hà Nội</t>
  </si>
  <si>
    <t>20.9864673615, 105.7780532837</t>
  </si>
  <si>
    <t>20.9865989685, 105.7775573730</t>
  </si>
  <si>
    <t>XH4001.105554</t>
  </si>
  <si>
    <t>BHX 181 Lê Văn Lương</t>
  </si>
  <si>
    <t xml:space="preserve">181 Lê Văn Lương, P  Tân Kiểng, Q  7, TP HCM</t>
  </si>
  <si>
    <t>10.7477350235, 106.7047119141</t>
  </si>
  <si>
    <t>10.7229194641, 106.6979293823</t>
  </si>
  <si>
    <t>XH4001.48338</t>
  </si>
  <si>
    <t>BHX Thửa 790 và 791</t>
  </si>
  <si>
    <t xml:space="preserve">Thửa 790 và 791, Tờ bản đồ số 1, X  Bà Điểm, H  Hóc Môn, TP HCM</t>
  </si>
  <si>
    <t>10.9595136642, 106.5977249146</t>
  </si>
  <si>
    <t>10.8564281464, 106.5971069336</t>
  </si>
  <si>
    <t>AE1003.119555</t>
  </si>
  <si>
    <t>AEON_HAI PHONG</t>
  </si>
  <si>
    <t>Số 10 đường Võ Nguyên Giáp, phường Kênh Dương, quận Lê Chân, Thành phố Hải Phòng</t>
  </si>
  <si>
    <t>20.8330860138, 106.6817550659</t>
  </si>
  <si>
    <t>KC100110AL</t>
  </si>
  <si>
    <t>Circle K 36</t>
  </si>
  <si>
    <t>36, Tràng Tiền,P.Tràng Tiền,Q.Hoàn Kiếm,Hà Nội</t>
  </si>
  <si>
    <t>20.9985637665, 105.8619308472</t>
  </si>
  <si>
    <t>21.0250091553, 105.8548355103</t>
  </si>
  <si>
    <t>CF4001.125183</t>
  </si>
  <si>
    <t>CF_65A_DUONG_339</t>
  </si>
  <si>
    <t xml:space="preserve">65A Đường 339, Phường Phước Long B, TP  Thủ Đức, TP  Hồ Chí Minh</t>
  </si>
  <si>
    <t>10.8414278030, 106.7910690308</t>
  </si>
  <si>
    <t>10.8010902405, 106.7941131592</t>
  </si>
  <si>
    <t>21.0250511169, 105.8547363281</t>
  </si>
  <si>
    <t>21.0250072479, 105.8549270630</t>
  </si>
  <si>
    <t>CO4053.20941</t>
  </si>
  <si>
    <t>Co op Bình Dương 2</t>
  </si>
  <si>
    <t>Số 1 Đường Phú Lợi,P Phú Lợi,Tp Thủ Dầu Một,Tỉnh Bình Dương</t>
  </si>
  <si>
    <t>10.9840307236, 106.6669464111</t>
  </si>
  <si>
    <t>10.9840917587, 106.6669540405</t>
  </si>
  <si>
    <t>HN1013.104684</t>
  </si>
  <si>
    <t>Coop Tầng 1, Tòa nhà CT6 Xa La</t>
  </si>
  <si>
    <t>Tầng 1, Tòa nhà CT6 Xa La, số 339 Quốc lộ 70B, Cầu Bươu, Phường Kiến Hưng, Quận Hà Đông, Thành phố Hà Nội, Việt Nam</t>
  </si>
  <si>
    <t>21.1246471405, 105.6407318115</t>
  </si>
  <si>
    <t>20.9822692871, 105.7901611328</t>
  </si>
  <si>
    <t>QD200114C9</t>
  </si>
  <si>
    <t>Nguyễn Yến</t>
  </si>
  <si>
    <t>X Quảng Đông, H Quảng Xương, Thanh Hóa</t>
  </si>
  <si>
    <t>AL-12C-1002</t>
  </si>
  <si>
    <t>19.7085895538, 105.8278198242</t>
  </si>
  <si>
    <t>VI1126.101324</t>
  </si>
  <si>
    <t>VMP_HBH_665_CU_CHINH_LAN</t>
  </si>
  <si>
    <t xml:space="preserve">665 Cù Chính Lan, Phường Phương Lâm, TP  Hòa Bình, Tỉnh Hòa Bình</t>
  </si>
  <si>
    <t>20.8199367523, 105.3405075073</t>
  </si>
  <si>
    <t>20.8179569244, 105.3373336792</t>
  </si>
  <si>
    <t>XH4001.105462</t>
  </si>
  <si>
    <t>BHX Thửa đất số 78</t>
  </si>
  <si>
    <t xml:space="preserve">Thửa đất số 78, tờ bản đồ số 26, KP  Khánh Hòa, P  Tân Phước Khánh, TX  Tân Uyên, T  Bình Dương</t>
  </si>
  <si>
    <t>11.0046491623, 106.7189636230</t>
  </si>
  <si>
    <t>11.0046138763, 106.7188415527</t>
  </si>
  <si>
    <t>XM500111S0</t>
  </si>
  <si>
    <t>98, Nguyễn Văn Cừ, Ấp Trung 1, TT.Phú Mỹ, H.Phú Tân, An Giang</t>
  </si>
  <si>
    <t>AL-11B-4002</t>
  </si>
  <si>
    <t>Võ Thị Chúc Ly</t>
  </si>
  <si>
    <t>10.5858755112, 105.3554763794</t>
  </si>
  <si>
    <t>CF4001.91218</t>
  </si>
  <si>
    <t>CF_TAN_SON_NHI</t>
  </si>
  <si>
    <t>177 Tân Sơn Nhì, Phường Tân Sơn Nhì, Quận Tân Phú, Tp HCM</t>
  </si>
  <si>
    <t>10.7996625900, 106.6323699951</t>
  </si>
  <si>
    <t>10.7996339798, 106.6323699951</t>
  </si>
  <si>
    <t>SG4040.52764</t>
  </si>
  <si>
    <t>CH_SATRAFOODS_SO_2B</t>
  </si>
  <si>
    <t>Số 2B Đường Bình Lợi, Phường 13, Quận Bình Thạnh, Tp HCM</t>
  </si>
  <si>
    <t>10.8254890442, 106.7066955566</t>
  </si>
  <si>
    <t>10.8251733780, 106.7068939209</t>
  </si>
  <si>
    <t>XH4001.106460</t>
  </si>
  <si>
    <t>BHX 109 - 109A - 109/1 Bình Quới</t>
  </si>
  <si>
    <t>109 - 109A - 109/1 Bình Quới, Phường 27, Quận Bình Thạnh, TP HCM</t>
  </si>
  <si>
    <t>10.8177480698, 106.7217788696</t>
  </si>
  <si>
    <t>10.8178310394, 106.7217864990</t>
  </si>
  <si>
    <t>XH4001.124081</t>
  </si>
  <si>
    <t>BHX 94 Linh Trung</t>
  </si>
  <si>
    <t xml:space="preserve">94 Linh Trung, Khu phố 3, Phường Linh Trung, TP  Thủ Đức, TP  Hồ Chí Minh</t>
  </si>
  <si>
    <t>10.8606729507, 106.7722854614</t>
  </si>
  <si>
    <t>10.8606128693, 106.7722854614</t>
  </si>
  <si>
    <t>XH4001.36906</t>
  </si>
  <si>
    <t>BHX Số 47 khu phố 1</t>
  </si>
  <si>
    <t>Số 47,khu phố 1,đường 18B,P Bình Hưng Hòa A,Q Bình Tân,Tp HCM</t>
  </si>
  <si>
    <t>10.7798185349, 106.5976562500</t>
  </si>
  <si>
    <t>10.7798156738, 106.5976638794</t>
  </si>
  <si>
    <t>HT40321QPR</t>
  </si>
  <si>
    <t>Family Mart 24A, Chương Dương</t>
  </si>
  <si>
    <t>24A, Chương Dương, P.Linh Chiểu, Q.Thủ Đức, Hồ Chí Minh</t>
  </si>
  <si>
    <t>10.8512992859, 106.7591934204</t>
  </si>
  <si>
    <t>10.8521852493, 106.7599029541</t>
  </si>
  <si>
    <t>SM4012.100875</t>
  </si>
  <si>
    <t>SAN MAY 7-11 Đường số 35, Khu Phố 3</t>
  </si>
  <si>
    <t xml:space="preserve">7-11 Đường số 35, Khu Phố 3, phường Cát Lái, TP  Thủ Đức, TP  Hồ Chí Minh</t>
  </si>
  <si>
    <t>10.7666749954, 106.7836532593</t>
  </si>
  <si>
    <t>10.7673387527, 106.7847442627</t>
  </si>
  <si>
    <t>MP40021K15</t>
  </si>
  <si>
    <t>Kidsplaza Số A29/23 Quốc lộ 50, X.Bình Hưng</t>
  </si>
  <si>
    <t>Số A29/23 Quốc lộ 50, X.Bình Hưng, H.Bình Chánh</t>
  </si>
  <si>
    <t>10.7332935333, 106.7062072754</t>
  </si>
  <si>
    <t>CT3002112K</t>
  </si>
  <si>
    <t>Hùng Xinh</t>
  </si>
  <si>
    <t>510, Quốc lộ 20, Liên Nghĩa, Đức Trọng, Lâm Đồng</t>
  </si>
  <si>
    <t>AL-07A-2003</t>
  </si>
  <si>
    <t>Đinh Quang Thuận</t>
  </si>
  <si>
    <t>11.7286834717, 108.3710861206</t>
  </si>
  <si>
    <t>G74003.124866</t>
  </si>
  <si>
    <t>G7 MINISTOP OP-SH02 thuộc Chung cư Opal Tower, Saigon Pearl</t>
  </si>
  <si>
    <t xml:space="preserve">OP-SH02 thuộc Chung cư Opal Tower, Saigon Pearl, số 92 đường Nguyễn Hữu Cảnh, Phường 22, Quận Bình Thạnh, TP  HCM</t>
  </si>
  <si>
    <t>10.7889251709, 106.7183609009</t>
  </si>
  <si>
    <t>10.7908086777, 106.7185821533</t>
  </si>
  <si>
    <t>CF4001.123914</t>
  </si>
  <si>
    <t>CF_MA_LO_34</t>
  </si>
  <si>
    <t>34 Mã Lò, Phường Bình Trị Đông A, Quận Bình Tân, Thành phố Hồ Chí Minh</t>
  </si>
  <si>
    <t>10.8431892395, 106.6524047852</t>
  </si>
  <si>
    <t>10.8171672821, 106.6976928711</t>
  </si>
  <si>
    <t>XH4001.47482</t>
  </si>
  <si>
    <t>BHX 31 – 482 Hà Huy Giáp</t>
  </si>
  <si>
    <t xml:space="preserve">31 – 482 Hà Huy Giáp, KP 3, P  Thạnh Lộc, Quận 12, TP  HCM</t>
  </si>
  <si>
    <t>10.8539142609, 106.6790313721</t>
  </si>
  <si>
    <t>10.8538608551, 106.6791305542</t>
  </si>
  <si>
    <t>NN110811ZZ</t>
  </si>
  <si>
    <t>Ngọc Hiển</t>
  </si>
  <si>
    <t>Đội 10, Minh Nông, Việt Trì, Phú Thọ</t>
  </si>
  <si>
    <t>AL-03F-1007</t>
  </si>
  <si>
    <t>21.3329296112, 105.3326568604</t>
  </si>
  <si>
    <t>XH4001.58751</t>
  </si>
  <si>
    <t>BHX 111-113 LÊ ĐỨC THỌ</t>
  </si>
  <si>
    <t>111-113 LÊ ĐỨC THỌ, PHƯỜNG 17, GÒ VẤP, HỒ CHÍ MINH</t>
  </si>
  <si>
    <t>10.8339519501, 106.6818695068</t>
  </si>
  <si>
    <t>10.8339328766, 106.6818771362</t>
  </si>
  <si>
    <t>TQ5001100O</t>
  </si>
  <si>
    <t>Thúy Thùy</t>
  </si>
  <si>
    <t>ấp 4, Ap 4 Cho An Huu, X.Mỹ Trung, H.Cái Bè, Tiền Giang</t>
  </si>
  <si>
    <t>AL-07E-4007</t>
  </si>
  <si>
    <t>Tòng Thị Hải Yến</t>
  </si>
  <si>
    <t>10.3117685318, 105.8926620483</t>
  </si>
  <si>
    <t>XH4001.115017</t>
  </si>
  <si>
    <t>BHX 581 và 583 Kha Vạn Cân</t>
  </si>
  <si>
    <t xml:space="preserve">581 và 583 Kha Vạn Cân, Khu phố 6, Phường Linh Đông, TP  Thủ Đức, TP  Hồ Chí Minh</t>
  </si>
  <si>
    <t>10.8475399017, 106.7518920898</t>
  </si>
  <si>
    <t>10.8475580215, 106.7518615723</t>
  </si>
  <si>
    <t>VI4001.85839</t>
  </si>
  <si>
    <t>VMP_CM_CS3-CS4_CC_PROSPER</t>
  </si>
  <si>
    <t>CS3-CS4 chung cư Prosper Plaza 22/14 Phan Văn Hớn, Phường Tân Thới Nhất, quận 12, TP HCM</t>
  </si>
  <si>
    <t>10.8302679062, 106.6183547974</t>
  </si>
  <si>
    <t>10.8303098679, 106.6183471680</t>
  </si>
  <si>
    <t>LK300111TA</t>
  </si>
  <si>
    <t>Thùy Linh</t>
  </si>
  <si>
    <t>D22, KCN Visip, An Phú, Thuận An, Bình Dương</t>
  </si>
  <si>
    <t>AL-05F-3008</t>
  </si>
  <si>
    <t>Dương Thị Ngọc Diệp</t>
  </si>
  <si>
    <t>10.9446229935, 106.7340240479</t>
  </si>
  <si>
    <t>BO50011476</t>
  </si>
  <si>
    <t>Siêu thị tiện ích</t>
  </si>
  <si>
    <t>kế tole Hoa Sen vòng xoay, cafe Thảo Nguyên, ấp Long Hòa, X.Giao Long, H.Châu Thành, Bến Tre</t>
  </si>
  <si>
    <t>AL-08B-4014</t>
  </si>
  <si>
    <t>10.2399415970, 106.3669815063</t>
  </si>
  <si>
    <t>XH4001.52095</t>
  </si>
  <si>
    <t>BHX 84 Bình Giã Phường 13</t>
  </si>
  <si>
    <t>84 Bình Giã Phường 13 , Quận Tân Bình ,TP HCM</t>
  </si>
  <si>
    <t>10.7953062057, 106.6223144531</t>
  </si>
  <si>
    <t>10.7905979156, 106.6308975220</t>
  </si>
  <si>
    <t>NT40541E1I</t>
  </si>
  <si>
    <t>Organica 130, Nguyễn Đình Chiểu</t>
  </si>
  <si>
    <t>130, Nguyễn Đình Chiểu, P.6, Q.3, Hồ Chí Minh</t>
  </si>
  <si>
    <t>10.7837600708, 106.6950912476</t>
  </si>
  <si>
    <t>10.7837142944, 106.6950607300</t>
  </si>
  <si>
    <t>TA10031024</t>
  </si>
  <si>
    <t>Ngoan Cảnh</t>
  </si>
  <si>
    <t>12B, TT Đa Tốn, Đa Tốn, Gia Lâm, Hà Nội</t>
  </si>
  <si>
    <t>AL-07A-1002</t>
  </si>
  <si>
    <t>Phí Ngọc Thu</t>
  </si>
  <si>
    <t>20.9834880829, 105.9253768921</t>
  </si>
  <si>
    <t>XH4001.105558</t>
  </si>
  <si>
    <t xml:space="preserve">BHX Tổ dân phố Linh Thương, P  Cam Linh</t>
  </si>
  <si>
    <t xml:space="preserve">Tổ dân phố Linh Thương, P  Cam Linh, TP  Cam Ranh, T  Khánh Hoà</t>
  </si>
  <si>
    <t>11.9123277664, 109.1509628296</t>
  </si>
  <si>
    <t>11.9122848511, 109.1509933472</t>
  </si>
  <si>
    <t>CF4001.55466</t>
  </si>
  <si>
    <t>CF_CC_HOANG_QUAN</t>
  </si>
  <si>
    <t>KĐT mới Nam Thành Phố, xã An Phú Tây, Huyện Bình Chánh, Tp HCM</t>
  </si>
  <si>
    <t>10.6981544495, 106.6100769043</t>
  </si>
  <si>
    <t>10.6946411133, 106.6057128906</t>
  </si>
  <si>
    <t>10.7560214996, 106.7044982910</t>
  </si>
  <si>
    <t>10.7560138702, 106.7045059204</t>
  </si>
  <si>
    <t>NT40541FTN</t>
  </si>
  <si>
    <t>Siêu thị GS-25 122D, BÙI THỊ XUÂN</t>
  </si>
  <si>
    <t>122D, BÙI THỊ XUÂN, P.Phạm Ngũ Lão, Q.1, Hồ Chí Minh</t>
  </si>
  <si>
    <t>10.7698726654, 106.6883773804</t>
  </si>
  <si>
    <t>10.7700338364, 106.6883544922</t>
  </si>
  <si>
    <t>VI4001.30423</t>
  </si>
  <si>
    <t>VM 197 NG THI NHO</t>
  </si>
  <si>
    <t>197 Nguyễn Thị Nhỏ,Phường 9,Quận Tân Bình,Tp HCM</t>
  </si>
  <si>
    <t>10.8066892624, 106.7122650146</t>
  </si>
  <si>
    <t>10.7729873657, 106.6528778076</t>
  </si>
  <si>
    <t>XH4001.115023</t>
  </si>
  <si>
    <t>BHX Thôn 3, Xã Tâm Thắng</t>
  </si>
  <si>
    <t>Thôn 3, Xã Tâm Thắng, Huyện Cư Jút, Tỉnh Đắk Nông</t>
  </si>
  <si>
    <t>12.6318607330, 107.9927978516</t>
  </si>
  <si>
    <t>12.6058731079, 107.9131851196</t>
  </si>
  <si>
    <t>XH4001.108753</t>
  </si>
  <si>
    <t>BHX 47 Thôn Xuân Hòa, Xã Phú Xuân</t>
  </si>
  <si>
    <t>47 Thôn Xuân Hòa, Xã Phú Xuân, Huyện Krông Năng, Tỉnh Đắk Lắk</t>
  </si>
  <si>
    <t>12.9185724258, 108.3761215210</t>
  </si>
  <si>
    <t>12.9185743332, 108.3761215210</t>
  </si>
  <si>
    <t>VM1009.84891</t>
  </si>
  <si>
    <t>KIOT_30-32_VP5_LINH_DAM</t>
  </si>
  <si>
    <t xml:space="preserve">Kiot 30 -32, tầng 1 tòa nhà Văn phòng DV TM và nhà ở VP5 - Khu dịch vụ tổng hợp và nhà ở Hồ Linh Đàm, P  Hoàng Liệt, Q  Hoàng Mai, TP  Hà Nội</t>
  </si>
  <si>
    <t>20.9629573822, 105.8317947388</t>
  </si>
  <si>
    <t>20.9629745483, 105.8318328857</t>
  </si>
  <si>
    <t>13.7731513977, 109.2335357666</t>
  </si>
  <si>
    <t>13.7734575272, 109.2338638306</t>
  </si>
  <si>
    <t>LD5002104I</t>
  </si>
  <si>
    <t>Hùng Ni</t>
  </si>
  <si>
    <t>0, Tổ 1, Ấp Mỹ Hòa, Chợ Kinh Đào, P.Vĩnh Mỹ, TX.Châu Đốc, An Giang</t>
  </si>
  <si>
    <t>AL-09F-4006</t>
  </si>
  <si>
    <t>Huỳnh Thị Ngọc Ngân</t>
  </si>
  <si>
    <t>10.6847209930, 105.1502456665</t>
  </si>
  <si>
    <t>CF4001.77723</t>
  </si>
  <si>
    <t>CH_CF_NGUYEN_THI_DANG_367</t>
  </si>
  <si>
    <t>367 Nguyễn Thị Đặng, Khu phố 4, Phường Tân Thới Hiệp, Quận 12, Tp HCM</t>
  </si>
  <si>
    <t>10.8685932159, 106.6421279907</t>
  </si>
  <si>
    <t>10.8686246872, 106.6420593262</t>
  </si>
  <si>
    <t>PT40351R2C</t>
  </si>
  <si>
    <t>Circle K 36-38, Trần Thái Tông</t>
  </si>
  <si>
    <t>36-38, Trần Thái Tông, P.15, Q.Tân Bình, Hồ Chí Minh</t>
  </si>
  <si>
    <t>10.8045864105, 106.6425018311</t>
  </si>
  <si>
    <t>10.8186893463, 106.6329193115</t>
  </si>
  <si>
    <t>VI3002.73699</t>
  </si>
  <si>
    <t>VMP_19_5_CACH_MANG_THANG8</t>
  </si>
  <si>
    <t xml:space="preserve">19/5 đường Cách Mạng Tháng 8, Phường Quang Vinh, Thành Phố Biên Hoà, Tỉnh Đồng Nai (19/5  Hồ Văn Đại )</t>
  </si>
  <si>
    <t>10.9539890289, 106.8106155396</t>
  </si>
  <si>
    <t>10.9539861679, 106.8106155396</t>
  </si>
  <si>
    <t>GH500112S5</t>
  </si>
  <si>
    <t>Tân Gia Hoàng</t>
  </si>
  <si>
    <t>TĐ 111, Nguyễn Trãi, Khu Phố 1, P.2, TX.Gò Công, Tiền Giang</t>
  </si>
  <si>
    <t>AL-05F-4005</t>
  </si>
  <si>
    <t>Lâm Hoàng Kim Oanh</t>
  </si>
  <si>
    <t>10.3794527054, 106.6797866821</t>
  </si>
  <si>
    <t>HT403214W6</t>
  </si>
  <si>
    <t>Thanh Vân</t>
  </si>
  <si>
    <t>1, Kha Vạn Cân, Linh Tây, Thủ Đức, HCM</t>
  </si>
  <si>
    <t>AL-04A-3002</t>
  </si>
  <si>
    <t>Hoàng Thị Ngọc Thanh</t>
  </si>
  <si>
    <t>10.8503589630, 106.7545089722</t>
  </si>
  <si>
    <t>VI4001.53690</t>
  </si>
  <si>
    <t>VMP_HCM_25_LA_TRUONG_SON</t>
  </si>
  <si>
    <t>25 Lô A Trường Sơn, Phường 15, Quận 10, TPHCM</t>
  </si>
  <si>
    <t>10.7825956345, 106.6642532349</t>
  </si>
  <si>
    <t>10.7825508118, 106.6642456055</t>
  </si>
  <si>
    <t>XH4001.84138</t>
  </si>
  <si>
    <t>BHX Thửa đất số 284, 285; Tờ bản đồ số 14</t>
  </si>
  <si>
    <t>Thửa đất số 284, 285; Tờ bản đồ số 14, Đường Nguyễn Văn Tư, Khu Phố 4, P 7, TP Bến Tre, Tỉnh Bến Tre</t>
  </si>
  <si>
    <t>10.2314815521, 106.3601531982</t>
  </si>
  <si>
    <t>10.2314205170, 106.3601303101</t>
  </si>
  <si>
    <t>XH4001.39581</t>
  </si>
  <si>
    <t>BHX 502 Hồ Học Lãm</t>
  </si>
  <si>
    <t>502 Hồ Học Lãm, P An Lạc, Q Bình Tân,TP HCM</t>
  </si>
  <si>
    <t>10.7293596268, 106.6066207886</t>
  </si>
  <si>
    <t>10.7236146927, 106.5983734131</t>
  </si>
  <si>
    <t>KC100110FM</t>
  </si>
  <si>
    <t>OKONO MART 19 Lạc Trung</t>
  </si>
  <si>
    <t>21.0030021667, 105.8622970581</t>
  </si>
  <si>
    <t>21.0029735565, 105.8623046875</t>
  </si>
  <si>
    <t>ST-10E-4004</t>
  </si>
  <si>
    <t>10.4561052322, 105.6336441040</t>
  </si>
  <si>
    <t>VM1012.57851</t>
  </si>
  <si>
    <t>VMP_HPG_318_DANG_HAI</t>
  </si>
  <si>
    <t>số 318 phường Đằng Hải, quận Hải An, thành phố Hải Phòng</t>
  </si>
  <si>
    <t>20.8323669434, 106.7277221680</t>
  </si>
  <si>
    <t>20.8323574066, 106.7276992798</t>
  </si>
  <si>
    <t>VM1009.53056</t>
  </si>
  <si>
    <t>VMP_HNI_136_HO_TUNG_MAU</t>
  </si>
  <si>
    <t>Tầng 1, chung cư cao tầng 2A, khu nhà ở để bán tại số 136 Hồ Tùng Mậu, phường Phú Diễn, quận Bắc Từ Liêm, Hà Nội</t>
  </si>
  <si>
    <t>21.0485401154, 105.7692565918</t>
  </si>
  <si>
    <t>21.0448398590, 105.7675781250</t>
  </si>
  <si>
    <t>CM500912YK</t>
  </si>
  <si>
    <t>ST Bình An</t>
  </si>
  <si>
    <t>100, Chợ ngăn dừa, TT.Ngan Dừa, H.Hồng Dân, Bạc Liêu</t>
  </si>
  <si>
    <t>AL-09F-4014</t>
  </si>
  <si>
    <t>Danh Thị Mỹ Nhanh</t>
  </si>
  <si>
    <t>9H00-18H00</t>
  </si>
  <si>
    <t>9.5646018982, 105.4482345581</t>
  </si>
  <si>
    <t>XH4001.37024</t>
  </si>
  <si>
    <t>BHX 964/2C 2D Hương lộ 2</t>
  </si>
  <si>
    <t>964/2C 2D Hương lộ 2,Khu phố 10,Phường Bình Trị Đông,Quận Bình Tân,TP HCM</t>
  </si>
  <si>
    <t>10.7692213058, 106.5948867798</t>
  </si>
  <si>
    <t>10.7692470551, 106.5948638916</t>
  </si>
  <si>
    <t>TH5029110X</t>
  </si>
  <si>
    <t>Hà Văn Cường</t>
  </si>
  <si>
    <t>281/7, Bạc Đằng, P.Nhà Mát, TP.Bạc Liêu, Bạc Liêu</t>
  </si>
  <si>
    <t>AL-12F-4001</t>
  </si>
  <si>
    <t>Nguyễn Thị Chiểu</t>
  </si>
  <si>
    <t>9.2118253708, 105.7427749634</t>
  </si>
  <si>
    <t>ST-08F-3004</t>
  </si>
  <si>
    <t>Trần Thị Hoài Vi</t>
  </si>
  <si>
    <t>10.8384866714, 106.6716461182</t>
  </si>
  <si>
    <t>10.8228883743, 106.6931762695</t>
  </si>
  <si>
    <t>HN5002108D</t>
  </si>
  <si>
    <t>Hồng Hà</t>
  </si>
  <si>
    <t>79, ấp Mới I, X.Mỹ Hạnh Nam, H.Đức Hòa, Long An</t>
  </si>
  <si>
    <t>AL-04E-4008</t>
  </si>
  <si>
    <t>Võ Thị Quý</t>
  </si>
  <si>
    <t>10.8772268295, 106.5026702881</t>
  </si>
  <si>
    <t>G74003.26032</t>
  </si>
  <si>
    <t>G7 MINISTOP 17 Đào Duy Từ,Phường 5</t>
  </si>
  <si>
    <t>17 Đào Duy Từ,Phường 5,Quận 10,TP HCM</t>
  </si>
  <si>
    <t>10.7606315613, 106.6680679321</t>
  </si>
  <si>
    <t>10.7606477737, 106.6680603027</t>
  </si>
  <si>
    <t>BO5001138R</t>
  </si>
  <si>
    <t>Minh Thuận (anh Hữu Trí)</t>
  </si>
  <si>
    <t>726, ấp 1, X.Lương Quới, H.Giồng Trôm, Bến Tre</t>
  </si>
  <si>
    <t>AL-02F-4002</t>
  </si>
  <si>
    <t>Phan Thanh Ngân</t>
  </si>
  <si>
    <t>10.1990413666, 106.4814453125</t>
  </si>
  <si>
    <t>SG4040.64685</t>
  </si>
  <si>
    <t>SF_THACH LOC 27</t>
  </si>
  <si>
    <t>Số 66 Đường Thạch Lộc 27, Phường Thạnh Lộc, Quận 12</t>
  </si>
  <si>
    <t>10.8680772781, 106.6850738525</t>
  </si>
  <si>
    <t>10.8681106567, 106.6851119995</t>
  </si>
  <si>
    <t>TL40041KVL</t>
  </si>
  <si>
    <t xml:space="preserve">Siêu thị GS-25 Khu dịch vụ thương mại số 0.01 tầng  1 lô A Chung cư 155, Nguyễn Chí Thanh</t>
  </si>
  <si>
    <t xml:space="preserve">Khu dịch vụ thương mại số 0.01 tầng  1 lô A Chung cư 155, Nguyễn Chí Thanh, P.9, Q.5, Hồ Chí Minh</t>
  </si>
  <si>
    <t>10.7591056824, 106.6656799316</t>
  </si>
  <si>
    <t>10.7590875626, 106.6656188965</t>
  </si>
  <si>
    <t>KC100110HF</t>
  </si>
  <si>
    <t>Circle K số 33 Phủ Doãn </t>
  </si>
  <si>
    <t>số 33 Phủ Doãn , Ba Đình, Hà Nội</t>
  </si>
  <si>
    <t>21.0292358398, 105.8477630615</t>
  </si>
  <si>
    <t>21.0292053223, 105.8477630615</t>
  </si>
  <si>
    <t>VS4019.38439</t>
  </si>
  <si>
    <t>VISSAN 189 Hoàng Văn Thụ,P 8</t>
  </si>
  <si>
    <t>189 Hoàng Văn Thụ,P 8,Q Phú Nhuận,Tp HCM (Vissan)</t>
  </si>
  <si>
    <t>10.7996578217, 106.6738052368</t>
  </si>
  <si>
    <t>10.7996978760, 106.6749877930</t>
  </si>
  <si>
    <t>KC100110AM</t>
  </si>
  <si>
    <t>Circle K 26BT2</t>
  </si>
  <si>
    <t>26BT2, Nguyễn Hữu Thọ,P.Đại Kim,Q.Hoàng Mai,Hà Nội</t>
  </si>
  <si>
    <t>20.9674186707, 105.8264236450</t>
  </si>
  <si>
    <t>20.9674167633, 105.8264236450</t>
  </si>
  <si>
    <t>KG40031C3U</t>
  </si>
  <si>
    <t>Family Mart Căn GO-01.03 và GO-01.04 Tòa nhà Galaxy 9, Nguyễn Khoái</t>
  </si>
  <si>
    <t>Căn GO-01.03 và GO-01.04 Tòa nhà Galaxy 9, Nguyễn Khoái, P.1, Q.4, Hồ Chí Minh</t>
  </si>
  <si>
    <t>10.7554311752, 106.6940231323</t>
  </si>
  <si>
    <t>10.7554130554, 106.6939849854</t>
  </si>
  <si>
    <t>BR1001.85425</t>
  </si>
  <si>
    <t>BRG Tầng 1, tòa nhà D2</t>
  </si>
  <si>
    <t xml:space="preserve">Tầng 1, tòa nhà D2, Phố Giảng Võ, Q  Ba Đình, TP  Hà Nội</t>
  </si>
  <si>
    <t>21.0261154175, 105.8227844238</t>
  </si>
  <si>
    <t>21.0261325836, 105.8224487305</t>
  </si>
  <si>
    <t>MP40021KG4</t>
  </si>
  <si>
    <t>Circle K 633, Tỉnh Lộ 10</t>
  </si>
  <si>
    <t>633, Tỉnh Lộ 10, P.Bình Trị Đông, Q.Bình Tân, Hồ Chí Minh</t>
  </si>
  <si>
    <t>10.7579212189, 106.6139068604</t>
  </si>
  <si>
    <t>10.7579259872, 106.6139068604</t>
  </si>
  <si>
    <t>MT1004108I</t>
  </si>
  <si>
    <t>Chung Nhung</t>
  </si>
  <si>
    <t>198, Điện Biên Phủ, P.Bình Hàn, TP.Hải Dương, Hải Dương</t>
  </si>
  <si>
    <t>AL-02C-1004</t>
  </si>
  <si>
    <t>Phạm Thị Loan</t>
  </si>
  <si>
    <t>09h00 - 19h00</t>
  </si>
  <si>
    <t>20.9414920807, 106.3210296631</t>
  </si>
  <si>
    <t>XH4001.50599</t>
  </si>
  <si>
    <t>BHX Số 161 đường Bình Mỹ</t>
  </si>
  <si>
    <t>Số 161 đường Bình Mỹ,ấp 07,xã Bình Mỹ,huyện Củ Chi,TP HCM</t>
  </si>
  <si>
    <t>10.9285326004, 106.6432037354</t>
  </si>
  <si>
    <t>10.9239234924, 106.6214752197</t>
  </si>
  <si>
    <t>XM500110EY</t>
  </si>
  <si>
    <t>Tài Linh</t>
  </si>
  <si>
    <t>167, Trần Hưng Đạo, Khóm Long Thạnh A, P.Long Thạnh, TX.Tân Châu, An Giang</t>
  </si>
  <si>
    <t>AL-08C-4013</t>
  </si>
  <si>
    <t>Phạm Thị Thanh Trúc</t>
  </si>
  <si>
    <t>10.8004961014, 105.2469558716</t>
  </si>
  <si>
    <t>XH4001.106732</t>
  </si>
  <si>
    <t xml:space="preserve">BHX KP  3, Phường 1</t>
  </si>
  <si>
    <t xml:space="preserve">KP  3, Phường 1, TP  Tây Ninh, Tỉnh Tây Ninh</t>
  </si>
  <si>
    <t>11.3279199600, 106.0806045532</t>
  </si>
  <si>
    <t>11.3279085159, 106.0806198120</t>
  </si>
  <si>
    <t>HN500113T8</t>
  </si>
  <si>
    <t>Ngọc Tài</t>
  </si>
  <si>
    <t>373 Tân Lộc, Chợ Tân Lược, X.Tân Lược, H.Bình Tân, Vĩnh Long</t>
  </si>
  <si>
    <t>AL-05B-4007</t>
  </si>
  <si>
    <t>Lê Thị Thu Thủy</t>
  </si>
  <si>
    <t>10.1403980255, 105.7171478271</t>
  </si>
  <si>
    <t>VI5013.90709</t>
  </si>
  <si>
    <t>VMP_AGG_THUA_75_VA_74</t>
  </si>
  <si>
    <t xml:space="preserve">Thửa 75 và 74, tờ bản đồ số 017 tại Phường Mỹ Xuyên, TP  Long Xuyên, Tỉnh An Giang</t>
  </si>
  <si>
    <t>10.3755273819, 105.4272994995</t>
  </si>
  <si>
    <t>10.3755283356, 105.4272308350</t>
  </si>
  <si>
    <t>VI4001.89198</t>
  </si>
  <si>
    <t>VMP_RS6_SH_15_CC_RICHSTAR</t>
  </si>
  <si>
    <t xml:space="preserve">Lô RS6 SH 15 Tầng 1 Tháp RS6, Khu Thương mại Dịch vụ và căn hộ - Khu 2, 239-241 Hòa Bình, Phường Hiệp Tân, Quận Tân Phú, TP  Hồ Chí Minh</t>
  </si>
  <si>
    <t>10.7727365494, 106.6243591309</t>
  </si>
  <si>
    <t>10.7727155685, 106.6243438721</t>
  </si>
  <si>
    <t>DH1009.5174</t>
  </si>
  <si>
    <t>Aeon Citimart ST Citimart Tháp HN-Tầng 1,Số 49 Hai Bà Trưng</t>
  </si>
  <si>
    <t>ST Citimart Tháp HN-Tầng 1,Số 49 Hai Bà Trưng,Hoàn Kiếm,Hà Nội</t>
  </si>
  <si>
    <t>21.0253181458, 105.8460006714</t>
  </si>
  <si>
    <t>21.0259628296, 105.8460159302</t>
  </si>
  <si>
    <t>KC100110LH</t>
  </si>
  <si>
    <t>HLAmart Lô 4.1</t>
  </si>
  <si>
    <t>Lô 4.1, tầng 1 - B1 Roman Plaza,P. Đại Mỗ,Q.Nam Từ Liêm,Hà Nội</t>
  </si>
  <si>
    <t>20.9854221344, 105.7767868042</t>
  </si>
  <si>
    <t>20.9856433868, 105.7765197754</t>
  </si>
  <si>
    <t>TL40041DPA</t>
  </si>
  <si>
    <t>Circle K 139 – 141, Âu Dương Lân</t>
  </si>
  <si>
    <t>139 – 141, Âu Dương Lân, P.2, Q.8, Hồ Chí Minh</t>
  </si>
  <si>
    <t>10.7455940247, 106.6831893921</t>
  </si>
  <si>
    <t>10.7455453873, 106.6832351685</t>
  </si>
  <si>
    <t>XH4001.89815</t>
  </si>
  <si>
    <t>BHX Số 95 đường Chí Linh 18</t>
  </si>
  <si>
    <t xml:space="preserve">Số 95 đường Chí Linh 18, P  Nguyễn An Ninh, TP  Vũng Tàu, Tỉnh Bà Rịa - Vũng Tàu</t>
  </si>
  <si>
    <t>10.3780117035, 107.1115798950</t>
  </si>
  <si>
    <t>10.3780632019, 107.1117630005</t>
  </si>
  <si>
    <t>XH4001.64907</t>
  </si>
  <si>
    <t>BHX Thửa đất 507</t>
  </si>
  <si>
    <t>Thửa đất 507, 1405, 1411, 1412, tờ bản đồ 21, 1, phường Tân Chánh Hiệp, Q12, TP HCM</t>
  </si>
  <si>
    <t>10.8705253601, 106.6159973145</t>
  </si>
  <si>
    <t>10.8704833984, 106.6159515381</t>
  </si>
  <si>
    <t>BO5001139O</t>
  </si>
  <si>
    <t>Vân Yến</t>
  </si>
  <si>
    <t>Ô 1, Chợ Giồng Trôm, TT.Giồng Trôm, H.Giồng Trôm, Bến Tre</t>
  </si>
  <si>
    <t>AL-06D-4002</t>
  </si>
  <si>
    <t>Tăng Thị Thương Phương</t>
  </si>
  <si>
    <t>10.1488399506, 106.5061492920</t>
  </si>
  <si>
    <t>KG40031R9F</t>
  </si>
  <si>
    <t>Circle K 28, Mai Chí Thọ</t>
  </si>
  <si>
    <t>28, Mai Chí Thọ, P.An Phú, Q.2, Hồ Chí Minh</t>
  </si>
  <si>
    <t>10.7741584778, 106.7228698730</t>
  </si>
  <si>
    <t>10.7854003906, 106.7487945557</t>
  </si>
  <si>
    <t>Dương Kiều Lan</t>
  </si>
  <si>
    <t>KL30011188</t>
  </si>
  <si>
    <t>Phúc Sương</t>
  </si>
  <si>
    <t>104A, Tỉnh lộ 6, ấp Hòa Bình, An Hòa, Trảng Bàng, Tây Ninh</t>
  </si>
  <si>
    <t>AL-11E-3005</t>
  </si>
  <si>
    <t>11.0320758820, 106.3422622681</t>
  </si>
  <si>
    <t>VI2009.90581</t>
  </si>
  <si>
    <t>Vinmart Plus 45 Phước Long, phường Phước Long</t>
  </si>
  <si>
    <t xml:space="preserve">45 Phước Long, phường Phước Long, TP  Nha Trang, tỉnh Khánh Hoà</t>
  </si>
  <si>
    <t>12.2123489380, 109.1968917847</t>
  </si>
  <si>
    <t>12.2123737335, 109.1968231201</t>
  </si>
  <si>
    <t>PT200116MN</t>
  </si>
  <si>
    <t>66, Trần Cao Vân, Tam thuận, Thanh Khê, Đà Nẵng</t>
  </si>
  <si>
    <t>AL-04A-2009</t>
  </si>
  <si>
    <t>Phan Nguyễn Thị Thế Uyên</t>
  </si>
  <si>
    <t>08h30 - 18h30</t>
  </si>
  <si>
    <t>16.0730247498, 108.2108154297</t>
  </si>
  <si>
    <t>NT40541LCR</t>
  </si>
  <si>
    <t>Siêu thị GS-25 130, Nguyễn Đình Chiểu</t>
  </si>
  <si>
    <t>10.7837562561, 106.6950912476</t>
  </si>
  <si>
    <t>10.7837247849, 106.6950607300</t>
  </si>
  <si>
    <t>BR1001.110464</t>
  </si>
  <si>
    <t>BRG 83 Nguyễn An Ninh, quận Hoàng Mai</t>
  </si>
  <si>
    <t>83 Nguyễn An Ninh, quận Hoàng Mai, Hà Nội</t>
  </si>
  <si>
    <t>20.9910087585, 105.8447799683</t>
  </si>
  <si>
    <t>20.9909763336, 105.8447723389</t>
  </si>
  <si>
    <t>VI1106.96801</t>
  </si>
  <si>
    <t>Vinmart 927-929 Trần Hưng Đạo, Phường Vân Giang</t>
  </si>
  <si>
    <t>927-929 Trần Hưng Đạo, Phường Vân Giang, TP. Ninh Bình, Tỉnh Ninh Bình</t>
  </si>
  <si>
    <t>20.2560577393, 105.9722061157</t>
  </si>
  <si>
    <t>20.2561073303, 105.9721908569</t>
  </si>
  <si>
    <t>HN300212T2</t>
  </si>
  <si>
    <t>Hào Hiệp II</t>
  </si>
  <si>
    <t>358, CMT8, TT An Thạnh, Thuận An, Bình Dương</t>
  </si>
  <si>
    <t>AL-02F-3011</t>
  </si>
  <si>
    <t>Nguyễn Thị Tường Vy</t>
  </si>
  <si>
    <t>10.9441366196, 106.6909179688</t>
  </si>
  <si>
    <t>XH4001.103285</t>
  </si>
  <si>
    <t>BHX Thửa đất số 206</t>
  </si>
  <si>
    <t xml:space="preserve">Thửa đất số 206, Tờ bản đồ số 29, KP  Ninh Phước, P  Ninh Thạnh, TP  Tây Ninh, Tỉnh Tây Ninh</t>
  </si>
  <si>
    <t>11.3079595566, 106.1324462891</t>
  </si>
  <si>
    <t>11.3080158234, 106.1324234009</t>
  </si>
  <si>
    <t>KC100110KW</t>
  </si>
  <si>
    <t>KIDS PLAZA Số 50-52 chung cư HH4B Linh Đàm</t>
  </si>
  <si>
    <t>Số 50-52 chung cư HH4B Linh Đàm, p. Hoàng Liệt, q. Hoàng Mai</t>
  </si>
  <si>
    <t>20.9629898071, 105.8260650635</t>
  </si>
  <si>
    <t>20.9633197784, 105.8261032104</t>
  </si>
  <si>
    <t>NT40541LRX</t>
  </si>
  <si>
    <t>Siêu thị GS-25 SH01, Chung cư Opal Tower</t>
  </si>
  <si>
    <t>SH01, Chung cư Opal Tower, Saigon Pearl, số 92, Nguyễn Hữu Cảnh, P.22, Q.Bình Thạnh, Hồ Chí Minh</t>
  </si>
  <si>
    <t>10.7892847061, 106.7180633545</t>
  </si>
  <si>
    <t>10.7893314362, 106.7180404663</t>
  </si>
  <si>
    <t>SG4040.77518</t>
  </si>
  <si>
    <t>SF_B6/14_QUOC LO 50</t>
  </si>
  <si>
    <t>B6/14 Quốc Lộ 50, xã Bình Hưng, Huyện Bình Chánh</t>
  </si>
  <si>
    <t>10.7162046432, 106.6553955078</t>
  </si>
  <si>
    <t>10.7162113190, 106.6553649902</t>
  </si>
  <si>
    <t>XH4001.100657</t>
  </si>
  <si>
    <t>BHX Tổ 1 Ô 1, Ấp Bắc</t>
  </si>
  <si>
    <t xml:space="preserve">Tổ 1, Ô 1, Ấp Bắc, xã Hoà Long, TP  Bà Rịa, Tỉnh Bà Rạ-Vũng Tàu</t>
  </si>
  <si>
    <t>10.5212144852, 107.2045822144</t>
  </si>
  <si>
    <t>10.5212516785, 107.2046127319</t>
  </si>
  <si>
    <t>XH4001.111951</t>
  </si>
  <si>
    <t>BHX Tổ 2, Thôn Phú Thạnh</t>
  </si>
  <si>
    <t xml:space="preserve">Tổ 2, Thôn Phú Thạnh, Xã Vĩnh Thạnh, TP  Nha Trang, Tỉnh Khánh Hòa</t>
  </si>
  <si>
    <t>12.2594003677, 109.1494598389</t>
  </si>
  <si>
    <t>12.2593975067, 109.1494445801</t>
  </si>
  <si>
    <t>MB00KC100110IS</t>
  </si>
  <si>
    <t>Circle K 286 Kim Ngưu, Hai Bà Trưng</t>
  </si>
  <si>
    <t>20.9990119934, 105.8618621826</t>
  </si>
  <si>
    <t>VM1009.84909</t>
  </si>
  <si>
    <t>VMP_HNI_O5_TOA_NEWSKYLINE</t>
  </si>
  <si>
    <t>Ô thương mại dịch vụ số 5 - tầng 01, Tòa nhà NewSkyline, Lô CC2 Khu đô thị mới Văn Quán - Yên Phúc, Phường Văn Quán, Quận Hà Đông, TP Hà Nội</t>
  </si>
  <si>
    <t>20.9766025543, 105.7893753052</t>
  </si>
  <si>
    <t>20.9765110016, 105.7894058228</t>
  </si>
  <si>
    <t>SG4040.31021</t>
  </si>
  <si>
    <t>SF CHAU V LIEM</t>
  </si>
  <si>
    <t xml:space="preserve">20-22 Châu Văn Liêm, Phường 10, Quận 5, Tp  HCM</t>
  </si>
  <si>
    <t>10.7513456345, 106.6590347290</t>
  </si>
  <si>
    <t>KA50031017</t>
  </si>
  <si>
    <t>Tú Mỹ</t>
  </si>
  <si>
    <t>168, Ấp 2, X.Tắc Vân, TP.Cà Mau, Cà Mau</t>
  </si>
  <si>
    <t>AL-07B-4008</t>
  </si>
  <si>
    <t>Hà Trung Tín</t>
  </si>
  <si>
    <t>9.1674070358, 105.2668228149</t>
  </si>
  <si>
    <t>LT4010.6216</t>
  </si>
  <si>
    <t>LOTTE QUAN 11</t>
  </si>
  <si>
    <t>940B,Đường 3/2,Quận 11,ThànhPhốHồChíMinh</t>
  </si>
  <si>
    <t>10.8229742050, 106.6936111450</t>
  </si>
  <si>
    <t>10.8385086060, 106.6715011597</t>
  </si>
  <si>
    <t>VI4001.40593</t>
  </si>
  <si>
    <t>VM 31 TRUONG P PHAN</t>
  </si>
  <si>
    <t xml:space="preserve">Chung cư Hoàng Kim Thế Gia, 31 Trương Phước Phan, P  Bình Trị Đông, quận Bình Tân, TPHCM</t>
  </si>
  <si>
    <t>10.7730445862, 106.6141510010</t>
  </si>
  <si>
    <t>10.7730684280, 106.6141586304</t>
  </si>
  <si>
    <t>VI3004.53448</t>
  </si>
  <si>
    <t>VMP_152A_XO_VIET_N_TINH</t>
  </si>
  <si>
    <t>152A Xô Viết Nghệ Tĩnh, Phường Thắng Tam, TP Vũng Tàu</t>
  </si>
  <si>
    <t>10.3484544754, 107.0864715576</t>
  </si>
  <si>
    <t>10.3489694595, 107.0870132446</t>
  </si>
  <si>
    <t>10.8608093262, 106.7790222168</t>
  </si>
  <si>
    <t>10.8607149124, 106.7790069580</t>
  </si>
  <si>
    <t>VI5015.85891</t>
  </si>
  <si>
    <t>VMP_LAN_69_HUNG_VUONG</t>
  </si>
  <si>
    <t xml:space="preserve">69 Hùng Vương, Phường 2, TP  Tân An, Tỉnh Long An</t>
  </si>
  <si>
    <t>10.5401058197, 106.4041290283</t>
  </si>
  <si>
    <t>10.5402269363, 106.4040603638</t>
  </si>
  <si>
    <t>SG4040.49837</t>
  </si>
  <si>
    <t>Satra 8_DUONG_CONG_KHI</t>
  </si>
  <si>
    <t xml:space="preserve">8 Dương Công Khi, Ấp Tân Lập, Xã Tân Thới Nhì, Huyện Hóc Môn, TP  HCM</t>
  </si>
  <si>
    <t>10.8998374939, 106.5752868652</t>
  </si>
  <si>
    <t>10.8998041153, 106.5752563477</t>
  </si>
  <si>
    <t>TT101611YQ</t>
  </si>
  <si>
    <t>Tạ Văn Nam</t>
  </si>
  <si>
    <t>Mai Trung , Hiệp Hòa, Bắc Giang</t>
  </si>
  <si>
    <t>AL-12F-1005</t>
  </si>
  <si>
    <t>Trần Thị Lan</t>
  </si>
  <si>
    <t>08H30 - 19H30</t>
  </si>
  <si>
    <t>21.3354320526, 105.9225311279</t>
  </si>
  <si>
    <t>SH50043355</t>
  </si>
  <si>
    <t>Shop Kiều Trang</t>
  </si>
  <si>
    <t>0, 504 Lý Thường Kiệt, P.4, TP.Sóc Trăng, Sóc Trăng</t>
  </si>
  <si>
    <t>AL-11A-4001</t>
  </si>
  <si>
    <t>Dương Thanh Loan</t>
  </si>
  <si>
    <t>9.6022014618, 105.9707717896</t>
  </si>
  <si>
    <t>SG4040.57238</t>
  </si>
  <si>
    <t>SF_31_HO_VAN_LONG</t>
  </si>
  <si>
    <t>31 Hồ Văn Long, Phường Bình Hưng Hòa B, Quận Bình Tân</t>
  </si>
  <si>
    <t>10.8180713654, 106.5998229980</t>
  </si>
  <si>
    <t>10.8180809021, 106.5997238159</t>
  </si>
  <si>
    <t>VI4001.44903</t>
  </si>
  <si>
    <t>VMP 4 DOAN KET</t>
  </si>
  <si>
    <t xml:space="preserve">24 Đoàn kết, Khu Phố 2, Phường Bình Thọ, TP  Thủ Đức, TP  Hồ Chí Minh</t>
  </si>
  <si>
    <t>10.8474874496, 106.7682189941</t>
  </si>
  <si>
    <t>10.8474845886, 106.7682342529</t>
  </si>
  <si>
    <t>10.7730541229, 106.6141967773</t>
  </si>
  <si>
    <t>10.7730016708, 106.6142349243</t>
  </si>
  <si>
    <t>VI4001.55121</t>
  </si>
  <si>
    <t>VMP_HCM_1_54_THANH_DA</t>
  </si>
  <si>
    <t>1/54 Thanh Đa, Phường 27, Quận Bình Thạnh, TPHCM</t>
  </si>
  <si>
    <t>10.8131933212, 106.7206039429</t>
  </si>
  <si>
    <t>10.8131875992, 106.7205657959</t>
  </si>
  <si>
    <t>XH4001.57305</t>
  </si>
  <si>
    <t>BHX Một phần thửa 1</t>
  </si>
  <si>
    <t xml:space="preserve">Một phần thửa 1, tờ bản đồ số: 95 (BĐĐC), 28 Trịnh Đình Thảo, Phường Hoà Thạnh, Quận Tân Phú, TP  Hồ Chí Minh</t>
  </si>
  <si>
    <t>10.7750005722, 106.6350021362</t>
  </si>
  <si>
    <t>10.7750082016, 106.6349868774</t>
  </si>
  <si>
    <t>CF5001.112723</t>
  </si>
  <si>
    <t>CF_CT_TRAN_PHU_71</t>
  </si>
  <si>
    <t>71 Trần Phú, Phường Cái Khế, Quận Ninh Kiều, Thành phố Cần Thơ</t>
  </si>
  <si>
    <t>10.0480051041, 105.7832489014</t>
  </si>
  <si>
    <t>10.0481300354, 105.7832260132</t>
  </si>
  <si>
    <t>KC100110I1</t>
  </si>
  <si>
    <t>Circle K 232 Lạc Trung</t>
  </si>
  <si>
    <t xml:space="preserve">232 Lạc Trung, P.Vĩnh Tuy, Q.Hai Bà Trưng, Hà Nội </t>
  </si>
  <si>
    <t>21.0029811859, 105.8668441772</t>
  </si>
  <si>
    <t>21.0029811859, 105.8668594360</t>
  </si>
  <si>
    <t>NT40541DG0</t>
  </si>
  <si>
    <t>Circle K 27Bis, Tôn Thất Tùng</t>
  </si>
  <si>
    <t>27Bis, Tôn Thất Tùng, P.Phạm Ngũ Lão, Q.1, Hồ Chí Minh</t>
  </si>
  <si>
    <t>10.7706079483, 106.6879119873</t>
  </si>
  <si>
    <t>10.7706098557, 106.6877975464</t>
  </si>
  <si>
    <t>NC5004134L</t>
  </si>
  <si>
    <t>Chị Ngân</t>
  </si>
  <si>
    <t>227, Điện Biên Phủ, P.An Thạnh, TX.Hồng Ngự, Đồng Tháp</t>
  </si>
  <si>
    <t>AL-03G-4011</t>
  </si>
  <si>
    <t>Nguyễn Thị Cẩm Phướng</t>
  </si>
  <si>
    <t>10.5493202209, 105.5133590698</t>
  </si>
  <si>
    <t>CO4037.5086</t>
  </si>
  <si>
    <t>CM DAI ST LINH TRUNG</t>
  </si>
  <si>
    <t xml:space="preserve">934 Quốc Lộ 1A, P  Linh Trung, TP  Thủ Đức, TP  Hồ Chí Minh</t>
  </si>
  <si>
    <t>ST-12C-3004</t>
  </si>
  <si>
    <t>Trần Hoàng Tuấn</t>
  </si>
  <si>
    <t>10.8682317734, 106.7760620117</t>
  </si>
  <si>
    <t>VI4001.31166</t>
  </si>
  <si>
    <t>VM CC THU THIEM</t>
  </si>
  <si>
    <t xml:space="preserve">Căn 0 01,tầng1,Lô A,CC Thủ Thiêm Star,đường 54,KP3,P Bình Trưng Đông,TP  Thủ Đức,TP  Hồ Chí Minh</t>
  </si>
  <si>
    <t>10.7915658951, 106.7774581909</t>
  </si>
  <si>
    <t>10.7916097641, 106.7773742676</t>
  </si>
  <si>
    <t>NC40171JQ2</t>
  </si>
  <si>
    <t>Circle K 49, Nguyen Van Bao</t>
  </si>
  <si>
    <t>49, Nguyen Van Bao, P.7, Q.Gò Vấp, Hồ Chí Minh</t>
  </si>
  <si>
    <t>10.8231344223, 106.6860275269</t>
  </si>
  <si>
    <t>10.8232450485, 106.6860504150</t>
  </si>
  <si>
    <t xml:space="preserve">CTY TNHH TM &amp; DV Sinh Hằng </t>
  </si>
  <si>
    <t>SH20031035</t>
  </si>
  <si>
    <t>Kiên Phương</t>
  </si>
  <si>
    <t>Tổ 4, TT Cẩm Thủy, H Cẩm Thủy, Thanh Hóa</t>
  </si>
  <si>
    <t>AL-08C-1045</t>
  </si>
  <si>
    <t>Nguyễn Thị Luyến</t>
  </si>
  <si>
    <t>19.9680156708, 105.6002273560</t>
  </si>
  <si>
    <t>NC5004129N</t>
  </si>
  <si>
    <t>Chị Tài</t>
  </si>
  <si>
    <t>192, Hùng Vương, Chợ Tân Hồng, Ấp1, TT.Sa Rài, H.Tân Hồng, Đồng Tháp</t>
  </si>
  <si>
    <t>AL-12E-4012</t>
  </si>
  <si>
    <t>Tống Thị Thúy Diện</t>
  </si>
  <si>
    <t>10.8807401657, 105.4517822266</t>
  </si>
  <si>
    <t>VI4001.63224</t>
  </si>
  <si>
    <t>VMP_HCM_1192_LE_VAN_LUONG</t>
  </si>
  <si>
    <t>1192 Lê Văn Lương, ấp 3, Xã Phước Kiểng, Huyện Nhà Bè, TPHCM</t>
  </si>
  <si>
    <t>10.7028751373, 106.7038040161</t>
  </si>
  <si>
    <t>10.7028579712, 106.7037887573</t>
  </si>
  <si>
    <t>VC1014.55412</t>
  </si>
  <si>
    <t>VM_QUANG_BINH</t>
  </si>
  <si>
    <t>Tầng 2, TTTM Đồng Hới, đường Quách Xuân Quỳ, phường Hải Đình, TP Đồng Hới, tỉnh Quảng Bình</t>
  </si>
  <si>
    <t>ST-11C-1003</t>
  </si>
  <si>
    <t>Nguyễn Thị Nga</t>
  </si>
  <si>
    <t>17.4652671814, 106.6261672974</t>
  </si>
  <si>
    <t>AT200410G7</t>
  </si>
  <si>
    <t>Đề Hiếu</t>
  </si>
  <si>
    <t xml:space="preserve">Khối  10, Nghi Thủy, P.Nghi Thủy, TX.Cửa Lò, Nghệ An</t>
  </si>
  <si>
    <t>AL-12C-1003</t>
  </si>
  <si>
    <t>Nguyễn Thị Thơ</t>
  </si>
  <si>
    <t>18.8181819916, 105.7164382935</t>
  </si>
  <si>
    <t>TN101110L7</t>
  </si>
  <si>
    <t>Tuấn Hạnh</t>
  </si>
  <si>
    <t>Sân Đình, Vĩnh Ninh, Vĩnh Ninh, Thanh Trì, Hà Nội</t>
  </si>
  <si>
    <t>AL-04A-1120</t>
  </si>
  <si>
    <t>20.9335021973, 105.8280487061</t>
  </si>
  <si>
    <t>TB101210XZ</t>
  </si>
  <si>
    <t>73, Tuệ Tĩnh, Bùi Thị Xuân, Hai Bà Trưng, Hà Nội</t>
  </si>
  <si>
    <t>AL-04A-1036</t>
  </si>
  <si>
    <t>21.0151805878, 105.8483581543</t>
  </si>
  <si>
    <t>DX100610JL</t>
  </si>
  <si>
    <t>Thế giới sữa và bỉm</t>
  </si>
  <si>
    <t>10, Hùng Vương, P.Hòa Lạc, TP.Móng Cái, Quảng Ninh</t>
  </si>
  <si>
    <t>AL-11F-1001</t>
  </si>
  <si>
    <t>Đoàn Thị Thùy Linh</t>
  </si>
  <si>
    <t>21.5291099548, 107.9690704346</t>
  </si>
  <si>
    <t>TS2001100M</t>
  </si>
  <si>
    <t>TH Thu Trang</t>
  </si>
  <si>
    <t>Thôn 3, Nhân Cơ, Đắk Rlấp, Đăk Nông</t>
  </si>
  <si>
    <t>AL-08C-2060</t>
  </si>
  <si>
    <t>Mai Thị Lam Tuyền</t>
  </si>
  <si>
    <t>11.9812240601, 107.5801849365</t>
  </si>
  <si>
    <t>TN1011133V</t>
  </si>
  <si>
    <t>Đối diện Vinatex , Vạn Phúc, Vạn Phúc , Hà Đông, Hà Nội</t>
  </si>
  <si>
    <t>AL-03C-1004</t>
  </si>
  <si>
    <t>20.9782276154, 105.7744369507</t>
  </si>
  <si>
    <t>NC40171LR4</t>
  </si>
  <si>
    <t>Circle K 14, Nguyễn Văn Bảo</t>
  </si>
  <si>
    <t>14, Nguyễn Văn Bảo, P.4, Q.Gò Vấp, Hồ Chí Minh</t>
  </si>
  <si>
    <t>10.8231334686, 106.6859588623</t>
  </si>
  <si>
    <t>10.8231363297, 106.6859512329</t>
  </si>
  <si>
    <t>VM1009.54555</t>
  </si>
  <si>
    <t>VMP_HNI_FLC_STAR_TOWER</t>
  </si>
  <si>
    <t>Tầng 1 (L1),Tòa nhà FLC Star Tower, 418 Quang Trung, phường La Khê, quận Hà Đông, Hà Nội</t>
  </si>
  <si>
    <t>20.9697666168, 105.7852630615</t>
  </si>
  <si>
    <t>20.9796562195, 105.7479858398</t>
  </si>
  <si>
    <t>XH4001.113615</t>
  </si>
  <si>
    <t>BHX Số 2, Thôn 2</t>
  </si>
  <si>
    <t>Số 2, Thôn 2, Xã Cư ÊBur, TP Buôn Ma Thuột, Tỉnh Đắk Lắk</t>
  </si>
  <si>
    <t>12.6952514648, 108.0286712646</t>
  </si>
  <si>
    <t>12.6953325272, 108.0287246704</t>
  </si>
  <si>
    <t>MT1004102V</t>
  </si>
  <si>
    <t>Vu Viet Dinh</t>
  </si>
  <si>
    <t>Sặt, Sặt, TT.Kẻ Sặt, H.Bình Giang, Hải Dương</t>
  </si>
  <si>
    <t>AL-04A-1074</t>
  </si>
  <si>
    <t>Lương Thị Kim Oanh</t>
  </si>
  <si>
    <t>20.9104061127, 106.1459732056</t>
  </si>
  <si>
    <t>GL2002113P</t>
  </si>
  <si>
    <t>Phan Thị Ánh Luỹ</t>
  </si>
  <si>
    <t>108, Trần Phú, Diên Hồng, Pleiku, Gia Lai</t>
  </si>
  <si>
    <t>AL-10B-2004</t>
  </si>
  <si>
    <t>Vũ Thị Huyền</t>
  </si>
  <si>
    <t>13.9775705338, 107.9956817627</t>
  </si>
  <si>
    <t>VI4001.43130</t>
  </si>
  <si>
    <t>VM DRAGON HILL</t>
  </si>
  <si>
    <t xml:space="preserve">Căn shop TM 03, Tầng trệt block 1 ( Khu 1 ) Khu cao ốc Phú Long,phân khu 15A1, Nguyễn Hữu Thọ,xã Phước Kiển,H Nhà Bè,TP  HCM</t>
  </si>
  <si>
    <t>10.7106294632, 106.7081680298</t>
  </si>
  <si>
    <t>10.7105026245, 106.7086105347</t>
  </si>
  <si>
    <t>QD2001101Y</t>
  </si>
  <si>
    <t>Hoa Truyền</t>
  </si>
  <si>
    <t>291, Đình Hương, X.Đông Cương, TP.Thanh Hóa, Thanh Hóa</t>
  </si>
  <si>
    <t>AL-12E-1003</t>
  </si>
  <si>
    <t>19.8447799683, 105.7683105469</t>
  </si>
  <si>
    <t>MT500113DA</t>
  </si>
  <si>
    <t>Bách Hóa Trung An</t>
  </si>
  <si>
    <t>Tỉnh lộ 864, Ấp Bình Tạo, Trung An, Mỹ Tho, Tiền Giang</t>
  </si>
  <si>
    <t>AL-03D-3033</t>
  </si>
  <si>
    <t>Nguyễn Xuân Ngọc</t>
  </si>
  <si>
    <t>10.3482265472, 106.3343505859</t>
  </si>
  <si>
    <t>HT40321586</t>
  </si>
  <si>
    <t>Phương Điền</t>
  </si>
  <si>
    <t>79A, Quốc Lộ 1K, Linh Xuân, Thủ Đức, HCM</t>
  </si>
  <si>
    <t>AL-04D-3003</t>
  </si>
  <si>
    <t>10.8782062531, 106.7664718628</t>
  </si>
  <si>
    <t>XH4001.88167</t>
  </si>
  <si>
    <t>BHX Lô 2A2-4A2-6A2, Đường 3A</t>
  </si>
  <si>
    <t xml:space="preserve">Lô 2A2-4A2-6A2, Đường 3A, KDC Hưng Phú 1, P  Hưng Phú, Q  Cái Răng, TP  Cần Thơ</t>
  </si>
  <si>
    <t>10.0202331543, 105.7820816040</t>
  </si>
  <si>
    <t>10.0202636719, 105.7819290161</t>
  </si>
  <si>
    <t>G74003.41510</t>
  </si>
  <si>
    <t>G7 MINISTOP 46 Nguyễn Lâm,Phường 6</t>
  </si>
  <si>
    <t>46 Nguyễn Lâm,Phường 6,Quận 10,Tp HCM</t>
  </si>
  <si>
    <t>10.7635822296, 106.6634368896</t>
  </si>
  <si>
    <t>10.7636499405, 106.6634216309</t>
  </si>
  <si>
    <t>VI1102.85010</t>
  </si>
  <si>
    <t>VMP_NAN_57A_NTMK</t>
  </si>
  <si>
    <t>57A Nguyễn Thị Minh Khai, phường Lê Mao, Tp Vinh, Nghệ An</t>
  </si>
  <si>
    <t>18.6717491150, 105.6814880371</t>
  </si>
  <si>
    <t>18.6718082428, 105.6815032959</t>
  </si>
  <si>
    <t>TL40041BUK</t>
  </si>
  <si>
    <t>Circle K S34_2, Sky Garden 3</t>
  </si>
  <si>
    <t>S34_2, Sky Garden 3, P.Tân Phong, Q.7, Hồ Chí Minh</t>
  </si>
  <si>
    <t>10.7329664230, 106.7059326172</t>
  </si>
  <si>
    <t>FM2002187R</t>
  </si>
  <si>
    <t>Tâm Chính</t>
  </si>
  <si>
    <t>Hòa Phú, Buôn Ma Thuột, Đăk Lăk</t>
  </si>
  <si>
    <t>AL-05D-2004</t>
  </si>
  <si>
    <t>Đoàn Thị Huyền</t>
  </si>
  <si>
    <t>12.6169757843, 107.9400482178</t>
  </si>
  <si>
    <t>XH4001.92099</t>
  </si>
  <si>
    <t>BHX Thửa đất số 32, tờ bản đồ số 26</t>
  </si>
  <si>
    <t xml:space="preserve">Thửa đất số 32, tờ bản đồ số 26, Ấp Xoài Đôi, xã Long Trạch, H  Cần Đước, Tỉnh Long An</t>
  </si>
  <si>
    <t>10.5989742279, 106.5881423950</t>
  </si>
  <si>
    <t>10.5989274979, 106.5881500244</t>
  </si>
  <si>
    <t>MP40021IJ6</t>
  </si>
  <si>
    <t>Family Mart 750, Hương Lộ 2</t>
  </si>
  <si>
    <t>750, Hương Lộ 2, Khu phố 10, P.Bình Trị Đông A, Q.Bình Tân, Hồ Chí Minh</t>
  </si>
  <si>
    <t>10.7651681900, 106.6033020020</t>
  </si>
  <si>
    <t>10.7651548386, 106.6033172607</t>
  </si>
  <si>
    <t>XH4001.81520</t>
  </si>
  <si>
    <t>BHX 382 Hoàng Bá Bích</t>
  </si>
  <si>
    <t>382 Hoàng Bá Bích, Khu phố 5A, Phường Long Bình, Thành phố Biên Hòa, Tỉnh Đồng Nai</t>
  </si>
  <si>
    <t>10.9403429031, 106.8798904419</t>
  </si>
  <si>
    <t>10.9403648376, 106.8798828125</t>
  </si>
  <si>
    <t>HN300211CG</t>
  </si>
  <si>
    <t>Mamy Baby</t>
  </si>
  <si>
    <t>1159, CMT8, Phú Thọ, Thủ Dầu Một, Bình Dương</t>
  </si>
  <si>
    <t>AL-01D-3001</t>
  </si>
  <si>
    <t>Vương Thị Thúy Nga</t>
  </si>
  <si>
    <t>10.9634609222, 106.6716232300</t>
  </si>
  <si>
    <t>VI4001.53702</t>
  </si>
  <si>
    <t>VMP_1189_1191_PHAM_V_BACH</t>
  </si>
  <si>
    <t>1189-1191 Phạm Văn Bạch, Phường 12, Quận Gò Vấp, TPHCM</t>
  </si>
  <si>
    <t>10.8372802734, 106.6455230713</t>
  </si>
  <si>
    <t>10.8379278183, 106.6454544067</t>
  </si>
  <si>
    <t>NC500412BW</t>
  </si>
  <si>
    <t>50, Hùng Vương, P.An Thạnh, TX.Hồng Ngự, Đồng Tháp</t>
  </si>
  <si>
    <t>AL-04A-4132</t>
  </si>
  <si>
    <t>Nguyễn Thị Út Em</t>
  </si>
  <si>
    <t>10.8066625595, 105.3412857056</t>
  </si>
  <si>
    <t>CO4013.5062</t>
  </si>
  <si>
    <t>CM HUYNH TAN PHAT</t>
  </si>
  <si>
    <t>80/4A Huỳnh Tấn Phát, Phường Phú Mỹ, Quận 7, TP HCM</t>
  </si>
  <si>
    <t>ST-04A-3050</t>
  </si>
  <si>
    <t>Lê Thành Lợi</t>
  </si>
  <si>
    <t>08h00 - 21h00</t>
  </si>
  <si>
    <t>10.7123565674, 106.7364730835</t>
  </si>
  <si>
    <t>PT40351OXE</t>
  </si>
  <si>
    <t>BS Mart 72, Thân Nhân Trung</t>
  </si>
  <si>
    <t>72, Thân Nhân Trung, P.13, Q.Tân Bình, Hồ Chí Minh</t>
  </si>
  <si>
    <t>10.8045930862, 106.6425018311</t>
  </si>
  <si>
    <t>10.8046064377, 106.6424713135</t>
  </si>
  <si>
    <t>NT40541E40</t>
  </si>
  <si>
    <t xml:space="preserve">Family Mart Căn số S07, KDC phức hợp Sài Gòn Pearl </t>
  </si>
  <si>
    <t>Căn số S07, KDC phức hợp Sài Gòn Pearl , 92, Nguyễn Hữu Cảnh, P.22, Q.Bình Thạnh, Hồ Chí Minh</t>
  </si>
  <si>
    <t>10.7908067703, 106.7185668945</t>
  </si>
  <si>
    <t>10.7907714844, 106.7186813354</t>
  </si>
  <si>
    <t>Hồng Hưng</t>
  </si>
  <si>
    <t>HH3009120O</t>
  </si>
  <si>
    <t>Út Yên</t>
  </si>
  <si>
    <t>Chợ Tân Biên, Quốc lộ 22B, Tân Biên, Tân Biên, Tây Ninh</t>
  </si>
  <si>
    <t>AL-03G-3012</t>
  </si>
  <si>
    <t>Hoàng Yến</t>
  </si>
  <si>
    <t>11.5404777527, 106.0051727295</t>
  </si>
  <si>
    <t>XH4001.76256</t>
  </si>
  <si>
    <t>BHX Thửa đất số 89 và Thửa đất số 51, Tờ bản đồ số 5</t>
  </si>
  <si>
    <t>Thửa đất số 89 và Thửa đất số 51, Tờ bản đồ số 5, Đường ĐT884, Phường Phú Tân, Thành Phố Bến Tre, Tỉnh Bến Tre</t>
  </si>
  <si>
    <t>10.2589769363, 106.3609619141</t>
  </si>
  <si>
    <t>10.2589931488, 106.3609619141</t>
  </si>
  <si>
    <t>VI4001.101483</t>
  </si>
  <si>
    <t>VMP_32_TAN_THOI_NHAT_21</t>
  </si>
  <si>
    <t xml:space="preserve">32 Tân Thới Nhất 21, P  Tân Thới Nhất, Quận 12, TP HCM</t>
  </si>
  <si>
    <t>10.8229703903, 106.6225051880</t>
  </si>
  <si>
    <t>10.8230953217, 106.6224441528</t>
  </si>
  <si>
    <t>KC100110KY</t>
  </si>
  <si>
    <t>KIDS PLAZA Số 56 Giang Văn Minh</t>
  </si>
  <si>
    <t>Số 56 Giang Văn Minh, Quận Ba Đình</t>
  </si>
  <si>
    <t>21.0518150330, 105.8087310791</t>
  </si>
  <si>
    <t>21.0517826080, 105.8086547852</t>
  </si>
  <si>
    <t>Thạch Lam</t>
  </si>
  <si>
    <t>NL2019109S</t>
  </si>
  <si>
    <t>Lê</t>
  </si>
  <si>
    <t>Thôn 4, Quế Châu, Quế Thuận, Quế Sơn, Quảng Nam</t>
  </si>
  <si>
    <t>AL-08C-2016</t>
  </si>
  <si>
    <t>Nguyễn Thị Ngọc Mai</t>
  </si>
  <si>
    <t>15.6866798401, 108.2518692017</t>
  </si>
  <si>
    <t>NT40541LGH</t>
  </si>
  <si>
    <t>Siêu thị GS-25 Số 155A, Nam Kỳ Khởi Nghĩa</t>
  </si>
  <si>
    <t>Số 155A, Nam Kỳ Khởi Nghĩa, P.6, Q.3, Hồ Chí Minh</t>
  </si>
  <si>
    <t>10.7823276520, 106.6920318604</t>
  </si>
  <si>
    <t>10.7822895050, 106.6920547485</t>
  </si>
  <si>
    <t>HT40321EXR</t>
  </si>
  <si>
    <t>Cô Năm</t>
  </si>
  <si>
    <t>53, Lê Văn Việt, Hiệp Phú, 9, HCM</t>
  </si>
  <si>
    <t>AL-04A-3028</t>
  </si>
  <si>
    <t>Nguyễn Thanh Loan</t>
  </si>
  <si>
    <t>10.8478956223, 106.7755889893</t>
  </si>
  <si>
    <t>MK40021IAX</t>
  </si>
  <si>
    <t>Family Mart 299, Nguyen Tri PHuong</t>
  </si>
  <si>
    <t>299, Nguyen Tri PHuong, P.5, Q.10, Hồ Chí Minh</t>
  </si>
  <si>
    <t>10.7614421844, 106.6684341431</t>
  </si>
  <si>
    <t>10.7614345551, 106.6684417725</t>
  </si>
  <si>
    <t>TB1012119C</t>
  </si>
  <si>
    <t>Phương Chi</t>
  </si>
  <si>
    <t>126, Hàng Buồm, Hàng Buồm, Hoàn Kiếm, Hà Nội</t>
  </si>
  <si>
    <t>AL-04F-1006</t>
  </si>
  <si>
    <t>Ngô Phương Thùy</t>
  </si>
  <si>
    <t>21.0353240967, 105.8500976563</t>
  </si>
  <si>
    <t>TN30101012</t>
  </si>
  <si>
    <t>Hiếu An</t>
  </si>
  <si>
    <t>111, Hải Thượng Lãn Ông, Đông Hải, Phan Rang - Tháp Chàm, Ninh Thuận</t>
  </si>
  <si>
    <t>AL-04A-2089</t>
  </si>
  <si>
    <t>11.5490875244, 109.0249252319</t>
  </si>
  <si>
    <t>VI2003.58166</t>
  </si>
  <si>
    <t>VMP_274_NG_PHUOC_NGUYEN</t>
  </si>
  <si>
    <t>274 Nguyễn Phước Nguyên, Tổ 49, Phường An Khê, Quận Thanh Khê, TP Đà Nẵng</t>
  </si>
  <si>
    <t>16.0536499023, 108.1839218140</t>
  </si>
  <si>
    <t>16.0553779602, 108.1878051758</t>
  </si>
  <si>
    <t>HD100711H7</t>
  </si>
  <si>
    <t>Nguyễn Định</t>
  </si>
  <si>
    <t>Đường Ngang, Minh Thành, X.Minh Thành, H.Yên Hưng, Quảng Ninh</t>
  </si>
  <si>
    <t>AL-08C-1043</t>
  </si>
  <si>
    <t>Vũ Ngọc Nhung</t>
  </si>
  <si>
    <t>21.0045356750, 106.8555450439</t>
  </si>
  <si>
    <t>VI3003.61808</t>
  </si>
  <si>
    <t>VMP_BDG_108HOANG_HOA_THAM</t>
  </si>
  <si>
    <t>108 Hoàng Hoa Thám, Phường Hiệp Thành, TP Thủ Dầu Một, Tỉnh Bình Dương</t>
  </si>
  <si>
    <t>10.9915580750, 106.6634445190</t>
  </si>
  <si>
    <t>10.9915609360, 106.6634597778</t>
  </si>
  <si>
    <t>VI4001.62362</t>
  </si>
  <si>
    <t>VMP_HCM_15_HO_BA_KIEN</t>
  </si>
  <si>
    <t>15 Hồ Bá Kiện, Phường 15, Quận 10, TPHCM</t>
  </si>
  <si>
    <t>10.7812032700, 106.6689376831</t>
  </si>
  <si>
    <t>12.2510890961, 109.1842727661</t>
  </si>
  <si>
    <t>MB00KC100110KH</t>
  </si>
  <si>
    <t>KIDS PLAZA Số 21 Vương Thừa Vũ, Quận Thanh Xuân</t>
  </si>
  <si>
    <t>Số 21 Vương Thừa Vũ, Quận Thanh Xuân</t>
  </si>
  <si>
    <t>21.0009021759, 105.8223571777</t>
  </si>
  <si>
    <t>21.0008697510, 105.8223342896</t>
  </si>
  <si>
    <t>TA1006144F</t>
  </si>
  <si>
    <t>Lan Cường</t>
  </si>
  <si>
    <t>Chợ Kim, Xuân Nộn, Đông Anh, Hà Nội</t>
  </si>
  <si>
    <t>AL-11B-1006</t>
  </si>
  <si>
    <t>Phan Thị Yến</t>
  </si>
  <si>
    <t>21.1729831696, 105.8637084961</t>
  </si>
  <si>
    <t>EB4001_14014</t>
  </si>
  <si>
    <t>222 Trần Duy Hưng,Trung Hòa,Q Cầu Giấy,TP Hà Nội</t>
  </si>
  <si>
    <t>21.0062007904, 105.7934188843</t>
  </si>
  <si>
    <t>XH4001.106931</t>
  </si>
  <si>
    <t>BHX Số 59, Thôn Lộc Tân</t>
  </si>
  <si>
    <t>Số 59, Thôn Lộc Tân, Xã Phú Lộc, Huyện Krông Năng, Tỉnh Đắk Lắk</t>
  </si>
  <si>
    <t>12.9518280029, 108.3425140381</t>
  </si>
  <si>
    <t>12.9518404007, 108.3425979614</t>
  </si>
  <si>
    <t>VC1012.48690</t>
  </si>
  <si>
    <t>VM HAI PHONG</t>
  </si>
  <si>
    <t>Tầng 2,TTTM VinCom Hải Phòng; Số 4, 5, 7A Lê thánh Tông,P.Máy tơ,Q.Ngô Quyền,TP Hải Phòng</t>
  </si>
  <si>
    <t>ST-04A-1080</t>
  </si>
  <si>
    <t>Nguyễn Thị Trinh</t>
  </si>
  <si>
    <t>20.8661766052, 106.6912841797</t>
  </si>
  <si>
    <t>DT201010RR</t>
  </si>
  <si>
    <t>Diệp</t>
  </si>
  <si>
    <t>TT Vĩnh Điện, TT Vĩnh Điện, Điện Bàn, Quảng Nam</t>
  </si>
  <si>
    <t>AL-08C-2013</t>
  </si>
  <si>
    <t>Nguyễn Thị Diệu Tuyết</t>
  </si>
  <si>
    <t>15.8872613907, 108.2521743774</t>
  </si>
  <si>
    <t>KG40031RGO</t>
  </si>
  <si>
    <t>Family Mart L1-13 khu trung tâm thương mại dự án The Gold View, 346 bến Vân Đồn</t>
  </si>
  <si>
    <t>L1-13 khu trung tâm thương mại dự án The Gold View, 346 bến Vân Đồn, P.1, Q.4, Hồ Chí Minh</t>
  </si>
  <si>
    <t>10.7562484741, 106.6921463013</t>
  </si>
  <si>
    <t>10.7565164566, 106.6921005249</t>
  </si>
  <si>
    <t>HT40321PHI</t>
  </si>
  <si>
    <t>Circle K 45, Thống Nhất</t>
  </si>
  <si>
    <t>45, Thống Nhất, P.Bình Thọ, Q.Thủ Đức, Hồ Chí Minh</t>
  </si>
  <si>
    <t>10.8425207138, 106.7681579590</t>
  </si>
  <si>
    <t>KC100110F8</t>
  </si>
  <si>
    <t>OKONO MART 18 Đại Linh</t>
  </si>
  <si>
    <t xml:space="preserve">18 Đại Linh, Phường Trung Văn, Quận Nam Từ Liêm, Hà Nội </t>
  </si>
  <si>
    <t>20.9940090179, 105.7765808105</t>
  </si>
  <si>
    <t>20.9940128326, 105.7766189575</t>
  </si>
  <si>
    <t>MK400213QS</t>
  </si>
  <si>
    <t>78A3, Cao Văn Lầu, 2, 6, HCM</t>
  </si>
  <si>
    <t>AL-09A-3025</t>
  </si>
  <si>
    <t>Nguyễn Thị Thu Hồng</t>
  </si>
  <si>
    <t>10.7482137680, 106.6489562988</t>
  </si>
  <si>
    <t>10.8232994080, 106.6929855347</t>
  </si>
  <si>
    <t>ST-04A-3151</t>
  </si>
  <si>
    <t>Trần Quốc Trung</t>
  </si>
  <si>
    <t>10.7811183929, 106.6925811768</t>
  </si>
  <si>
    <t>TH2010.24440</t>
  </si>
  <si>
    <t>MIEN NUI THANH HOA ST Miền Tây,Khu phố 2</t>
  </si>
  <si>
    <t>ST Miền Tây,Khu phố 2,TT Quan Hóa,H Quan Hóa,T Thanh Hóa</t>
  </si>
  <si>
    <t>20.3849887848, 105.1007308960</t>
  </si>
  <si>
    <t>20.3837013245, 105.1019592285</t>
  </si>
  <si>
    <t>KA500322YM</t>
  </si>
  <si>
    <t>CH Tự Chọn Thanh Thanh</t>
  </si>
  <si>
    <t>0, Ngang Cà Fe TvàT, Cổng Chào 2, TT.Cái Nước, H.Cái Nước, Cà Mau</t>
  </si>
  <si>
    <t>AL-11D-4001</t>
  </si>
  <si>
    <t>Cô Thị Thùy Dương</t>
  </si>
  <si>
    <t>8.9377832413, 105.0125503540</t>
  </si>
  <si>
    <t>ST-09D-3001</t>
  </si>
  <si>
    <t>Lê Đình Trung</t>
  </si>
  <si>
    <t>10.8279619217, 106.7213363647</t>
  </si>
  <si>
    <t>GL20021215</t>
  </si>
  <si>
    <t>Phan Thị Ánh Nhung</t>
  </si>
  <si>
    <t>7, Nguyễn Văn Trỗi, Hội Thương, Pleiku, Gia Lai</t>
  </si>
  <si>
    <t>AL-05A-2007</t>
  </si>
  <si>
    <t>Nguyễn Thị Thanh Dung</t>
  </si>
  <si>
    <t>08h00 - 17h30</t>
  </si>
  <si>
    <t>13.9780082703, 108.0028457642</t>
  </si>
  <si>
    <t>HM20051034</t>
  </si>
  <si>
    <t>Thư Sinh</t>
  </si>
  <si>
    <t>28, Nguyễn Lương Bằng, Hòa Khánh Bắc, Liên Chiểu, Đà Nẵng</t>
  </si>
  <si>
    <t>AL-10D-2009</t>
  </si>
  <si>
    <t>Đặng Thị Mỹ Linh</t>
  </si>
  <si>
    <t>16.0725326538, 108.1502227783</t>
  </si>
  <si>
    <t>TT1013105X</t>
  </si>
  <si>
    <t xml:space="preserve">Trịnh Văn Vụ </t>
  </si>
  <si>
    <t>Trịnh Xá, Trịnh Xá, X.Thiên Hương, H.Thủy Nguyên, Hải Phòng</t>
  </si>
  <si>
    <t>AL-04A-1091</t>
  </si>
  <si>
    <t>Trần Thị Thúy Vân</t>
  </si>
  <si>
    <t>20.9223613739, 106.6440124512</t>
  </si>
  <si>
    <t>KC100110JC</t>
  </si>
  <si>
    <t>Circle K số 1A1 Đầm Trấu</t>
  </si>
  <si>
    <t>số 1A1 Đầm Trấu, Phường Bạch Đằng, Hai Bà Trưng, Hà Nội</t>
  </si>
  <si>
    <t>21.0115375519, 105.8641510010</t>
  </si>
  <si>
    <t>21.0115470886, 105.8641433716</t>
  </si>
  <si>
    <t>DT2010118W</t>
  </si>
  <si>
    <t>Chợ Điện Hòa, Điện Hòa, Điện Bàn, Quảng Nam</t>
  </si>
  <si>
    <t>AL-08C-2007</t>
  </si>
  <si>
    <t>15.9170808792, 108.2006225586</t>
  </si>
  <si>
    <t>QD200114JP</t>
  </si>
  <si>
    <t>KIDSPLAZA</t>
  </si>
  <si>
    <t>59, Nguyễn Trãi, P.Ba Đình, TP.Thanh Hóa, Thanh Hóa</t>
  </si>
  <si>
    <t>19.8035449982, 105.7765579224</t>
  </si>
  <si>
    <t>19.8035507202, 105.7765045166</t>
  </si>
  <si>
    <t>VM1014.53787</t>
  </si>
  <si>
    <t>Vinmart Lô 15+16 MBQH TĐC Đông Bắc Ga, thành phố Thanh Hóa</t>
  </si>
  <si>
    <t>Lô 15+16 MBQH TĐC Đông Bắc Ga, thành phố Thanh Hóa, tỉnh Thanh Hóa</t>
  </si>
  <si>
    <t>19.8205165863, 105.7695999146</t>
  </si>
  <si>
    <t>19.8204498291, 105.7695083618</t>
  </si>
  <si>
    <t>VC5001.44720</t>
  </si>
  <si>
    <t>VM NINH KIEU</t>
  </si>
  <si>
    <t>Số 42 Đuờng 30/4, P An Phú, Q Ninh Kiều, Tp Cần Thơ</t>
  </si>
  <si>
    <t>10.0305328369, 105.7809371948</t>
  </si>
  <si>
    <t>10.0307006836, 105.7811584473</t>
  </si>
  <si>
    <t>NC100210QN</t>
  </si>
  <si>
    <t>Chợ Cầu, Hải Hưng, Hải Hậu , Nam Định</t>
  </si>
  <si>
    <t>AL-08C-1042</t>
  </si>
  <si>
    <t>Đỗ Thị Kim Oanh</t>
  </si>
  <si>
    <t>20.1984272003, 106.3059082031</t>
  </si>
  <si>
    <t>KC100110J4</t>
  </si>
  <si>
    <t>Circle K số 54/56 Lĩnh Nam</t>
  </si>
  <si>
    <t>số 54/56 Lĩnh Nam, Hoàng Mai, Hà Nội</t>
  </si>
  <si>
    <t>20.9893341064, 105.8656311035</t>
  </si>
  <si>
    <t>20.9893150330, 105.8655700684</t>
  </si>
  <si>
    <t>XH4001.105510</t>
  </si>
  <si>
    <t xml:space="preserve">BHX 219 Nguyễn Bỉnh Khiêm, KP  Đông Hồ</t>
  </si>
  <si>
    <t xml:space="preserve">219 Nguyễn Bỉnh Khiêm, KP  Đông Hồ, P  Vĩnh Thanh, TP  Rạch Giá, T  Kiên Giang</t>
  </si>
  <si>
    <t>10.0178222656, 105.0830230713</t>
  </si>
  <si>
    <t>10.0178747177, 105.0828475952</t>
  </si>
  <si>
    <t>VM2013.54567</t>
  </si>
  <si>
    <t>VM Bảo Lộc</t>
  </si>
  <si>
    <t>83 Lê Hồng Phong, Phường 1, TP Bảo Lộc, Tỉnh Lâm Đồng</t>
  </si>
  <si>
    <t>ST-04D-3010</t>
  </si>
  <si>
    <t>Bùi Thị Bích Huyền</t>
  </si>
  <si>
    <t>11.5442924500, 107.8117446899</t>
  </si>
  <si>
    <t>DP300710V3</t>
  </si>
  <si>
    <t>Hoàng Gia Phúc</t>
  </si>
  <si>
    <t>61/10, Tân Phú, Tân Bình, Dĩ An, Bình Dương</t>
  </si>
  <si>
    <t>AL-08C-3007</t>
  </si>
  <si>
    <t>Trần Lê Ngọc Thảo</t>
  </si>
  <si>
    <t>10.9290828705, 106.7538146973</t>
  </si>
  <si>
    <t>10.8519887924, 106.6896820068</t>
  </si>
  <si>
    <t>10.8232088089, 106.6858673096</t>
  </si>
  <si>
    <t>LA500112UE</t>
  </si>
  <si>
    <t>Dương Thùy</t>
  </si>
  <si>
    <t xml:space="preserve">Đầu Chợ  Thuận Đạo, Chợ Thuận Đạo, X.Lương Hòa, H.Bến Lức, Long An</t>
  </si>
  <si>
    <t>AL-05D-4004</t>
  </si>
  <si>
    <t>Nguyễn Văn Tường</t>
  </si>
  <si>
    <t>10.6255702972, 106.4886856079</t>
  </si>
  <si>
    <t>KC1001105J</t>
  </si>
  <si>
    <t>Công Ty CP Thương Mại và Dịch Vụ SE7VEN Việt Nam 50 Biệt Thự 2</t>
  </si>
  <si>
    <t>50 Biệt Thự 2, Bắc Linh Đàm,P.Hoàng Liệt,Q.Hoàng Mai,Hà Nội</t>
  </si>
  <si>
    <t>20.9639072418, 105.8270187378</t>
  </si>
  <si>
    <t>20.9639034271, 105.8270111084</t>
  </si>
  <si>
    <t>DT1002110A</t>
  </si>
  <si>
    <t>Phạm Thị Nhân</t>
  </si>
  <si>
    <t>Xóm 2, Thụy Phong, X.Thụy Phong, H.Thái Thụy, Thái Bình</t>
  </si>
  <si>
    <t>AL-04A-1114</t>
  </si>
  <si>
    <t>Phạm Thị Thu Linh</t>
  </si>
  <si>
    <t>20.5542469025, 106.4821472168</t>
  </si>
  <si>
    <t>MT1002_11068</t>
  </si>
  <si>
    <t>ST-01D-1002</t>
  </si>
  <si>
    <t>Vũ Văn Phóng</t>
  </si>
  <si>
    <t>20.9698657990, 105.8666534424</t>
  </si>
  <si>
    <t>HT200212I2</t>
  </si>
  <si>
    <t>Thái Thị Bắc</t>
  </si>
  <si>
    <t>25, Nguyễn Thụy, Trần Phú, TP Quảng Ngãi, Quảng Ngãi</t>
  </si>
  <si>
    <t>AL-04A-2014</t>
  </si>
  <si>
    <t>Tôn Thị Ngọc Thoa</t>
  </si>
  <si>
    <t>15.1200561523, 108.7842864990</t>
  </si>
  <si>
    <t>NV200210MJ</t>
  </si>
  <si>
    <t>Shop Đăng Quang</t>
  </si>
  <si>
    <t>KM 51, Cư Huê, Ea Kar , Đăk Lăk</t>
  </si>
  <si>
    <t>AL-06F-2001</t>
  </si>
  <si>
    <t>Đào Thị Khánh Hòa</t>
  </si>
  <si>
    <t>12.8088216782, 108.4452896118</t>
  </si>
  <si>
    <t>FM2002109O</t>
  </si>
  <si>
    <t>Tuyết Xuân</t>
  </si>
  <si>
    <t>Ngã 3 Quỳnh Tân, TT Buôn Trấp, Krông Ana, Đăk Lăk</t>
  </si>
  <si>
    <t>AL-03G-2005</t>
  </si>
  <si>
    <t>Nguyễn Thị Thu Nhi</t>
  </si>
  <si>
    <t>12.4959106445, 108.0464859009</t>
  </si>
  <si>
    <t>VT1003109D</t>
  </si>
  <si>
    <t>Thơm Lý</t>
  </si>
  <si>
    <t>Khu 4, TT.Phố Mới, Quế Võ, Bắc Ninh</t>
  </si>
  <si>
    <t>AL-04B-1004</t>
  </si>
  <si>
    <t>08h00 - 18h15</t>
  </si>
  <si>
    <t>21.1572265625, 106.1514739990</t>
  </si>
  <si>
    <t>GL2002138G</t>
  </si>
  <si>
    <t>Phạm Văn Dũng</t>
  </si>
  <si>
    <t>154 Trần Hưng Đạo, Mang Yang, Gia Lai</t>
  </si>
  <si>
    <t>AL-05G-2007</t>
  </si>
  <si>
    <t>Đỗ Thị Thuý Kiều</t>
  </si>
  <si>
    <t>14.0433464050, 108.2642364502</t>
  </si>
  <si>
    <t>NC100213QF</t>
  </si>
  <si>
    <t>Huyền Anh Mart</t>
  </si>
  <si>
    <t>Hải Trung, Hải Trung, X.Hải Trung, H.Hải Hậu, Nam Định</t>
  </si>
  <si>
    <t>AL-09F-1007</t>
  </si>
  <si>
    <t>20.2014636993, 106.2745666504</t>
  </si>
  <si>
    <t>G74003.29971</t>
  </si>
  <si>
    <t>G7 MINISTOP 351A Nguyễn Trọng Tuyển,Phường 1</t>
  </si>
  <si>
    <t>351A Nguyễn Trọng Tuyển,Phường 1,Quận Tân Bình,Tp HCM</t>
  </si>
  <si>
    <t>10.7728557587, 106.6219482422</t>
  </si>
  <si>
    <t>10.8187751770, 106.6352081299</t>
  </si>
  <si>
    <t>KG40031RMB</t>
  </si>
  <si>
    <t>Circle K 74, Nguyễn Cơ Thạch</t>
  </si>
  <si>
    <t>74, Nguyễn Cơ Thạch, P.13, Q.4, Hồ Chí Minh</t>
  </si>
  <si>
    <t>10.7483644485, 106.6674728394</t>
  </si>
  <si>
    <t>TD500514T5</t>
  </si>
  <si>
    <t>Mỹ Hương</t>
  </si>
  <si>
    <t>Lô C 12,, Khóm 2, TT.Vũng Liêm, H.Vũng Liêm, Vĩnh Long</t>
  </si>
  <si>
    <t>AL-04A-4072</t>
  </si>
  <si>
    <t>Nguyễn Phúc Trân</t>
  </si>
  <si>
    <t>10.0968294144, 106.1857757568</t>
  </si>
  <si>
    <t>LA50011097</t>
  </si>
  <si>
    <t>Tân Tiến</t>
  </si>
  <si>
    <t>4, NGUYễN TRUNG TRựC, P.2, TP.Tân An, Long An</t>
  </si>
  <si>
    <t>AL-04A-4089</t>
  </si>
  <si>
    <t>Dương Thị Huỳnh Yến</t>
  </si>
  <si>
    <t>10.5398092270, 106.4080352783</t>
  </si>
  <si>
    <t>XH4001.78899</t>
  </si>
  <si>
    <t>BHX 6/3B đường Nguyễn Huỳnh Đức, Phường 3</t>
  </si>
  <si>
    <t>6/3B đường Nguyễn Huỳnh Đức, Phường 3, Thành phố Mỹ Tho, Tỉnh Tiền Giang</t>
  </si>
  <si>
    <t>10.3582830429, 106.3750457764</t>
  </si>
  <si>
    <t>10.3584089279, 106.3750839233</t>
  </si>
  <si>
    <t>TA101010TG</t>
  </si>
  <si>
    <t>Thái Sơn</t>
  </si>
  <si>
    <t>Trần Phú, Trưng Nhị, Phúc Yên, Vĩnh Phúc</t>
  </si>
  <si>
    <t>AL-08C-1059</t>
  </si>
  <si>
    <t>21.2538375854, 105.7133789063</t>
  </si>
  <si>
    <t>20.8608551025, 106.6851730347</t>
  </si>
  <si>
    <t>VI1126.99938</t>
  </si>
  <si>
    <t>VMP_HBH_253_PHUNG_HUNG</t>
  </si>
  <si>
    <t xml:space="preserve">253 Phùng Hưng, Phường Hữu Nghị, TP  Hòa Bình, Tỉnh Hòa Bình</t>
  </si>
  <si>
    <t>20.8413696289, 105.3373794556</t>
  </si>
  <si>
    <t>20.8413372040, 105.3373870850</t>
  </si>
  <si>
    <t>MT3003.6364</t>
  </si>
  <si>
    <t>Mega Bien Hoa</t>
  </si>
  <si>
    <t>Khu phố 4,Phường Quang Vinh,Thành Phố Biên Hòa,Tỉnh Đồng Nai</t>
  </si>
  <si>
    <t>10.9570636749, 106.8148651123</t>
  </si>
  <si>
    <t>LO5001157G</t>
  </si>
  <si>
    <t>Shop Trần Thủy 2</t>
  </si>
  <si>
    <t>H1B, Nguyễn Bỉnh Khiêm, P.Vĩnh Quang, TP.Rạch Giá, Kiên Giang</t>
  </si>
  <si>
    <t>AL-09F-4001</t>
  </si>
  <si>
    <t>Trần Phương Nhu</t>
  </si>
  <si>
    <t>10.0178327560, 105.0826339722</t>
  </si>
  <si>
    <t>BN1003.4827</t>
  </si>
  <si>
    <t>CTY DV TM BAC NINH TTTM DABACO, Lý Thái Tổ</t>
  </si>
  <si>
    <t>TTTM DABACO, Lý Thái Tổ, TP Bắc Ninh</t>
  </si>
  <si>
    <t>ST-04A-1041</t>
  </si>
  <si>
    <t>Nguyễn Thị Diệu Phương</t>
  </si>
  <si>
    <t>21.1737022400, 106.0643768311</t>
  </si>
  <si>
    <t>DL200411JA</t>
  </si>
  <si>
    <t>Bảo Phương</t>
  </si>
  <si>
    <t>Tổ 5, khối 6, Thành Nhất, Buôn Ma Thuột, Đăk Lăk</t>
  </si>
  <si>
    <t>AL-08F-2002</t>
  </si>
  <si>
    <t>Huỳnh Thị Thu Hương</t>
  </si>
  <si>
    <t>12.6815824509, 108.0064315796</t>
  </si>
  <si>
    <t>Cty TNHH TMDV Triều Dân</t>
  </si>
  <si>
    <t>TD500325A4</t>
  </si>
  <si>
    <t>ST Hiếu Linh</t>
  </si>
  <si>
    <t>0, Ấp Thị Tứ, Lộ mới, TT.Phong Điền, H.Phong Điền, Cần Thơ</t>
  </si>
  <si>
    <t>AL-09A-4002</t>
  </si>
  <si>
    <t>Lê Thị Như Ý</t>
  </si>
  <si>
    <t>10.1124448776, 105.6304092407</t>
  </si>
  <si>
    <t>DT201011CT</t>
  </si>
  <si>
    <t>70, Điện Biên Phủ, Hội An, Hội An, Quảng Nam</t>
  </si>
  <si>
    <t>AL-03F-2003</t>
  </si>
  <si>
    <t>Huỳnh Thị Thu Thủy</t>
  </si>
  <si>
    <t>15.8880701065, 108.3034057617</t>
  </si>
  <si>
    <t>TP2002116N</t>
  </si>
  <si>
    <t>Chính Phượng</t>
  </si>
  <si>
    <t>106, Lê Hữu Lập, P.Lam Sơn, TP.Thanh Hóa, Thanh Hóa</t>
  </si>
  <si>
    <t>AL-04A-1062</t>
  </si>
  <si>
    <t>Lê Thị Thảo</t>
  </si>
  <si>
    <t>19.8072776794, 105.8470153809</t>
  </si>
  <si>
    <t>LO5001159F</t>
  </si>
  <si>
    <t>CH Phương Thảo</t>
  </si>
  <si>
    <t>276, Nguyễn Trung Trực, P. Vĩnh Quang, TP.Rạch Giá, Kiên Giang</t>
  </si>
  <si>
    <t>AL-04G-4004</t>
  </si>
  <si>
    <t>Lưu Thị Ngọc Như</t>
  </si>
  <si>
    <t>10.0000648499, 105.0902252197</t>
  </si>
  <si>
    <t>10.8220748901, 106.6866836548</t>
  </si>
  <si>
    <t>10.8220806122, 106.6867218018</t>
  </si>
  <si>
    <t>MP40021KFD</t>
  </si>
  <si>
    <t>Siêu thị GS-25 52 Trương Phước Phan, P.Bình Trị Đông</t>
  </si>
  <si>
    <t>52 Trương Phước Phan, P.Bình Trị Đông, Q. Bình Tân</t>
  </si>
  <si>
    <t>10.7725763321, 106.6139831543</t>
  </si>
  <si>
    <t>10.7725830078, 106.6139907837</t>
  </si>
  <si>
    <t>10.7607765198, 106.6681518555</t>
  </si>
  <si>
    <t>10.7607393265, 106.6680679321</t>
  </si>
  <si>
    <t>PT40351P72</t>
  </si>
  <si>
    <t>Circle K 50, Nhất Chị Mai</t>
  </si>
  <si>
    <t>50, Nhất Chị Mai, P.13, Q.Tân Bình, Hồ Chí Minh</t>
  </si>
  <si>
    <t>10.7881584167, 106.6246871948</t>
  </si>
  <si>
    <t>10.7881555557, 106.6246871948</t>
  </si>
  <si>
    <t>VI1001.47565</t>
  </si>
  <si>
    <t>VMP QNH 618 HA LAM</t>
  </si>
  <si>
    <t>618 Hà Lầm, phường Hà Lầm, Tp.Hạ Long, Quảng Ninh.</t>
  </si>
  <si>
    <t>20.9664802551, 107.1089630127</t>
  </si>
  <si>
    <t>20.9664878845, 107.1089630127</t>
  </si>
  <si>
    <t>XN SXGC Đại Thắng</t>
  </si>
  <si>
    <t>DT1002117G</t>
  </si>
  <si>
    <t>Nguyễn Văn Sỹ</t>
  </si>
  <si>
    <t>137, Doãn Khuê, TP Thái Bình, Thái Bình</t>
  </si>
  <si>
    <t>AL-04A-1079</t>
  </si>
  <si>
    <t>Bùi Thị Lương</t>
  </si>
  <si>
    <t>20.4345836639, 106.3196487427</t>
  </si>
  <si>
    <t>NT40541DH8</t>
  </si>
  <si>
    <t>Family Mart Phòng 101, 23</t>
  </si>
  <si>
    <t>Phòng 101, 23, Lê Quý Đôn, P.6, Q.3, Hồ Chí Minh</t>
  </si>
  <si>
    <t>10.7811937332, 106.6908950806</t>
  </si>
  <si>
    <t>10.7812347412, 106.6909103394</t>
  </si>
  <si>
    <t>QP10011FOC</t>
  </si>
  <si>
    <t>Anh Tú</t>
  </si>
  <si>
    <t>100, Nhân Hòa, Khương Trung, Thanh Xuân, Hà Nội</t>
  </si>
  <si>
    <t>AL-07F-1012</t>
  </si>
  <si>
    <t>Hoàng Thị Cúc</t>
  </si>
  <si>
    <t>08h00 - 19h00</t>
  </si>
  <si>
    <t>21.0019664764, 105.8070144653</t>
  </si>
  <si>
    <t>HT200310YE</t>
  </si>
  <si>
    <t>Lê Hằng</t>
  </si>
  <si>
    <t>154, Nguyễn Biểu, P.Nam Hà, TP.Hà Tĩnh, Hà Tĩnh</t>
  </si>
  <si>
    <t>AL-02G-1001</t>
  </si>
  <si>
    <t>Lưu Thị Mến</t>
  </si>
  <si>
    <t>18.3296737671, 105.9048080444</t>
  </si>
  <si>
    <t>NC1002110Y</t>
  </si>
  <si>
    <t>Oánh Mười</t>
  </si>
  <si>
    <t>chợ, Cổ Lễ, Trực Ninh, Trực Ninh, Nam Định</t>
  </si>
  <si>
    <t>AL-07A-1007</t>
  </si>
  <si>
    <t>Mai Thị Trang</t>
  </si>
  <si>
    <t>20.3225421906, 106.2655029297</t>
  </si>
  <si>
    <t>16.0220413208, 108.2133407593</t>
  </si>
  <si>
    <t>MT1004157D</t>
  </si>
  <si>
    <t>Chị Duyên - chọn giá đúng</t>
  </si>
  <si>
    <t>., Thái HọcThị Trấn Sao Đỏ, P.Sao Đỏ, TX.Chí Linh, Hải Dương</t>
  </si>
  <si>
    <t>AL-08C-1029</t>
  </si>
  <si>
    <t>Đoàn Thị Bùi</t>
  </si>
  <si>
    <t>21.1126518250, 106.3939437866</t>
  </si>
  <si>
    <t>XH4001.82696</t>
  </si>
  <si>
    <t>BHX Thửa Đất Số 787</t>
  </si>
  <si>
    <t>Thửa Đất Số 787, tờ bản đồ số 02 và Thửa đất số 2524, Tờ bản đồi số 2DH-1, Khu Phố Đông B, Phường Đông Hòa, Thị Xã Dĩ An, Tỉnh Bình Dương</t>
  </si>
  <si>
    <t>10.8989419937, 106.7813034058</t>
  </si>
  <si>
    <t>10.8989639282, 106.7813186646</t>
  </si>
  <si>
    <t>MK40021ROW</t>
  </si>
  <si>
    <t>Circle K 311, Nguyễn Tri Phương</t>
  </si>
  <si>
    <t>311, Nguyễn Tri Phương, P.5, Q.10, Hồ Chí Minh</t>
  </si>
  <si>
    <t>10.7617998123, 106.6683731079</t>
  </si>
  <si>
    <t>10.7617044449, 106.6683502197</t>
  </si>
  <si>
    <t>TN1011177J</t>
  </si>
  <si>
    <t xml:space="preserve">MP_Mart  </t>
  </si>
  <si>
    <t>101, Chùa Nhĩ, Thanh Liệt, Thanh Trì , Hà Nội</t>
  </si>
  <si>
    <t>AL-06A-1004</t>
  </si>
  <si>
    <t>20.9676418304, 105.8197326660</t>
  </si>
  <si>
    <t>TD1014120Q</t>
  </si>
  <si>
    <t>Đồng cỏ Xanh</t>
  </si>
  <si>
    <t>163, Cao Xanh, P.Cao Xanh, TP.Hạ Long, Quảng Ninh</t>
  </si>
  <si>
    <t>AL-04A-1113</t>
  </si>
  <si>
    <t>Bùi Thị Từ</t>
  </si>
  <si>
    <t>20.9659652710, 107.0838088989</t>
  </si>
  <si>
    <t>DT5012116L</t>
  </si>
  <si>
    <t>Duy Phúc</t>
  </si>
  <si>
    <t>24 Bis, Nguyễn Ngọc Hân, P.Mỹ Bình, TP.Long Xuyên, An Giang</t>
  </si>
  <si>
    <t>AL-01D-4002</t>
  </si>
  <si>
    <t>Bùi Thị Thu Cúc</t>
  </si>
  <si>
    <t>10.3877401352, 105.4343185425</t>
  </si>
  <si>
    <t>TN1011132R</t>
  </si>
  <si>
    <t>Shop Hiển Hằng</t>
  </si>
  <si>
    <t>Đội 2, La Khê, Hà Đông, Hà Nội</t>
  </si>
  <si>
    <t>AL-06C-1006</t>
  </si>
  <si>
    <t>Hồ Thị Hoàng Anh</t>
  </si>
  <si>
    <t>20.9684581757, 105.7640304565</t>
  </si>
  <si>
    <t>VT100310XU</t>
  </si>
  <si>
    <t>Lại Thị Tuyết</t>
  </si>
  <si>
    <t>Chợ Phố Mới, TT.Phố Mới, Quế Võ, Bắc Ninh</t>
  </si>
  <si>
    <t>AL-04B-1005</t>
  </si>
  <si>
    <t>08h00 - 18h30</t>
  </si>
  <si>
    <t>21.1531085968, 106.1496505737</t>
  </si>
  <si>
    <t>NC20011010</t>
  </si>
  <si>
    <t>Hoàng Thị Nhỏ</t>
  </si>
  <si>
    <t>158, Lê Lợi, X.Đức Ninh, TP.Đồng Hới, Quảng Bình</t>
  </si>
  <si>
    <t>AL-04F-1001</t>
  </si>
  <si>
    <t>Trương Thị Thúy</t>
  </si>
  <si>
    <t>17.4464912415, 106.6145935059</t>
  </si>
  <si>
    <t>DT201011CB</t>
  </si>
  <si>
    <t>Điện Nam Bắc, Điện Nam, Điện Bàn, Quảng Nam</t>
  </si>
  <si>
    <t>AL-08C-2018</t>
  </si>
  <si>
    <t>Võ Thị Toàn</t>
  </si>
  <si>
    <t>15.9283838272, 108.2566757202</t>
  </si>
  <si>
    <t>LH300713TN</t>
  </si>
  <si>
    <t>Quầy Thuốc Tây</t>
  </si>
  <si>
    <t>Ngã 3, Thôn 1, Dasar, Lạc Dương, Lâm Đồng</t>
  </si>
  <si>
    <t>AL-11B-2006</t>
  </si>
  <si>
    <t>Bế Thị Thủy</t>
  </si>
  <si>
    <t>12.0551137924, 108.4900970459</t>
  </si>
  <si>
    <t>KL300111AW</t>
  </si>
  <si>
    <t>Đường Bời Lời, KP Gia Huỳnh, Trảng Bàng, Trảng Bàng, Tây Ninh</t>
  </si>
  <si>
    <t>AL-10E-3001</t>
  </si>
  <si>
    <t>Bế Kim Bầu</t>
  </si>
  <si>
    <t>08h30 - 19h00</t>
  </si>
  <si>
    <t>11.0354595184, 106.3623275757</t>
  </si>
  <si>
    <t>NPP Chính Mai</t>
  </si>
  <si>
    <t>CM2002108U</t>
  </si>
  <si>
    <t>Phúc Ánh</t>
  </si>
  <si>
    <t>Chợ Nghĩa Thuận, X Nghĩa Thuận, TX Thái Hòa, Nghệ An</t>
  </si>
  <si>
    <t>AL-08C-1037</t>
  </si>
  <si>
    <t>Đặng Thị Lâm</t>
  </si>
  <si>
    <t>19.3752346039, 105.3894729614</t>
  </si>
  <si>
    <t>LC1009.39786</t>
  </si>
  <si>
    <t>Lan Chi Đường Quyết Thắng</t>
  </si>
  <si>
    <t>Đường Quyết Thắng, P. Trung Sơn, TP. Tam Điệp, T. Ninh Bình</t>
  </si>
  <si>
    <t>ST-03E-1006</t>
  </si>
  <si>
    <t>Đào Thị Thu Thủy</t>
  </si>
  <si>
    <t>20.1559543610, 105.9226989746</t>
  </si>
  <si>
    <t>HT40321PLV</t>
  </si>
  <si>
    <t>Thúy Anh</t>
  </si>
  <si>
    <t>249, Kha Vạn Cân, Hiệp Bình Chánh, Thủ Đức, HCM</t>
  </si>
  <si>
    <t>AL-03F-3005</t>
  </si>
  <si>
    <t>Nguyễn Thế Hiễn</t>
  </si>
  <si>
    <t>10.8292646408, 106.7216567993</t>
  </si>
  <si>
    <t>CF4001.60528</t>
  </si>
  <si>
    <t>CF DS3 HIỆP BÌNH PHƯỚC</t>
  </si>
  <si>
    <t>12 Đường Số 3, Phường Hiệp Bình Phước, TP. Thủ Đức, TP. Hồ Chí Minh</t>
  </si>
  <si>
    <t>10.8390655518, 106.7135848999</t>
  </si>
  <si>
    <t>10.8389568329, 106.7136154175</t>
  </si>
  <si>
    <t>ST-11F-3006</t>
  </si>
  <si>
    <t>Nguyễn Quốc Cường</t>
  </si>
  <si>
    <t>10.7544307709, 106.6337890625</t>
  </si>
  <si>
    <t>DT100212FQ</t>
  </si>
  <si>
    <t>Trần Văn Phóng</t>
  </si>
  <si>
    <t>Vũ Tiến, Vũ Tiến, X.Vũ Tiến, H.Vũ Thư, Thái Bình</t>
  </si>
  <si>
    <t>AL-03G-1002</t>
  </si>
  <si>
    <t>20.5289478302, 106.1908493042</t>
  </si>
  <si>
    <t>NT40541E2D</t>
  </si>
  <si>
    <t>Circle K 92, Nguyễn Hữu Cảnh</t>
  </si>
  <si>
    <t>92, Nguyễn Hữu Cảnh, P.22, Q.Bình Thạnh, Hồ Chí Minh</t>
  </si>
  <si>
    <t>10.7908372879, 106.7185668945</t>
  </si>
  <si>
    <t>LH300713WQ</t>
  </si>
  <si>
    <t>1, Nguyễn Văn Cừ, 1, TP Đà Lạt, Lâm Đồng</t>
  </si>
  <si>
    <t>AL-05G-2004</t>
  </si>
  <si>
    <t>11.9409246445, 108.4317703247</t>
  </si>
  <si>
    <t>TT102610U8</t>
  </si>
  <si>
    <t>Thịnh Quỳnh</t>
  </si>
  <si>
    <t>Số 2, Trần Nhân Tông, TT.Vĩnh Trụ, H.Lý Nhân, Hà Nam</t>
  </si>
  <si>
    <t>AL-12D-1003</t>
  </si>
  <si>
    <t>Trần Thị Huệ</t>
  </si>
  <si>
    <t>20.5252304077, 106.0788650513</t>
  </si>
  <si>
    <t>PT501713T2</t>
  </si>
  <si>
    <t>Lô 2, căn 7, TTTM Rạch Sỏi, chợ Rạch Sỏi, P.Rạch Sỏi, TP.Rạch Giá, Kiên Giang</t>
  </si>
  <si>
    <t>AL-03C-4003</t>
  </si>
  <si>
    <t>Nguyễn Thị Ngọc Yến</t>
  </si>
  <si>
    <t>9.9544296265, 105.1205520630</t>
  </si>
  <si>
    <t>HD1009101U</t>
  </si>
  <si>
    <t>Dũng Hà</t>
  </si>
  <si>
    <t>Ngã 4 La, Minh Khai, X.Minh Khai, H.Hưng Hà, Thái Bình</t>
  </si>
  <si>
    <t>AL-06D-1008</t>
  </si>
  <si>
    <t>Tạ Thị Hoa</t>
  </si>
  <si>
    <t>20.5809001923, 106.2399902344</t>
  </si>
  <si>
    <t>VI2012.103341</t>
  </si>
  <si>
    <t>Vinmart Plus 162 Bùi Thị Xuân, Phường Phường Đúc</t>
  </si>
  <si>
    <t>162 Bùi Thị Xuân, Phường Phường Đúc, TP Huế, Thừa Thiên Huế</t>
  </si>
  <si>
    <t>16.4544715881, 107.5682525635</t>
  </si>
  <si>
    <t>16.4544792175, 107.5683212280</t>
  </si>
  <si>
    <t>QN100210UC</t>
  </si>
  <si>
    <t>Sữa Bỉm Quảng Ninh</t>
  </si>
  <si>
    <t>đông xá vân đồn, đông xá vân đồn, X.Đông Xá, H.Vân Đồn, Quảng Ninh</t>
  </si>
  <si>
    <t>AL-08C-1024</t>
  </si>
  <si>
    <t>21.0647888184, 107.4148635864</t>
  </si>
  <si>
    <t>SH20031136</t>
  </si>
  <si>
    <t>Lâm Lộc</t>
  </si>
  <si>
    <t>Khu 5, TT Quán Lào, H Yên Định, Thanh Hóa</t>
  </si>
  <si>
    <t>AL-03G-1003</t>
  </si>
  <si>
    <t>Trịnh Thị Hồng</t>
  </si>
  <si>
    <t>19.9708709717, 105.6522674561</t>
  </si>
  <si>
    <t>LH300713JG</t>
  </si>
  <si>
    <t>TH Thu Hằng</t>
  </si>
  <si>
    <t>Chợ Ka Đô, Ka Đô, Đơn Dương, Lâm Đồng</t>
  </si>
  <si>
    <t>AL-04A-2133</t>
  </si>
  <si>
    <t>Võ Thị Xuân</t>
  </si>
  <si>
    <t>11.7556266785, 108.5296859741</t>
  </si>
  <si>
    <t>LH3007117O</t>
  </si>
  <si>
    <t>Mai Thắng</t>
  </si>
  <si>
    <t>200, Phan Đình Phùng, 2, TP Đà Lạt, Lâm Đồng</t>
  </si>
  <si>
    <t>AL-03G-2001</t>
  </si>
  <si>
    <t>Phạm Nguyễn Phương Thảo</t>
  </si>
  <si>
    <t>11.9486064911, 108.4356155396</t>
  </si>
  <si>
    <t>BM300311DB</t>
  </si>
  <si>
    <t>CH Sữa Bảo Trí</t>
  </si>
  <si>
    <t>Quốc lộ 13, Tổ 2, ấp 3, Lộc Thái, Lộc Ninh, Bình Phước</t>
  </si>
  <si>
    <t>AL-07D-3007</t>
  </si>
  <si>
    <t>11.8252010345, 106.5953369141</t>
  </si>
  <si>
    <t>DT1002109V</t>
  </si>
  <si>
    <t>Trần Thị Kim Anh</t>
  </si>
  <si>
    <t>221, Trần Hưng Đạo, TP Thái Bình, Thái Bình</t>
  </si>
  <si>
    <t>AL-04A-1059</t>
  </si>
  <si>
    <t>Đặng Thị Tuyết</t>
  </si>
  <si>
    <t>20.4617004395, 106.3338088989</t>
  </si>
  <si>
    <t>HT40321RMC</t>
  </si>
  <si>
    <t>Kid Zone</t>
  </si>
  <si>
    <t>38,Đường 6,Phước Bình,9,HCM</t>
  </si>
  <si>
    <t>AL-08F-3002</t>
  </si>
  <si>
    <t>Tống Ngọc Thơ</t>
  </si>
  <si>
    <t>10.8171024323, 106.7727127075</t>
  </si>
  <si>
    <t>PT501713KK</t>
  </si>
  <si>
    <t>Bé Xinh</t>
  </si>
  <si>
    <t>663, Minh Lương, TT.Minh Lương, X.Châu Thành, Kiên Giang</t>
  </si>
  <si>
    <t>AL-08F-4001</t>
  </si>
  <si>
    <t>Thị Bích Như</t>
  </si>
  <si>
    <t>9.9056491852, 105.1584472656</t>
  </si>
  <si>
    <t>CO2008.112385</t>
  </si>
  <si>
    <t>CM QUANG BINH</t>
  </si>
  <si>
    <t>Số 7, đường 23-8, Phường Đồng Phú, Thành phố Đồng Hới, Tỉnh Quảng Bình</t>
  </si>
  <si>
    <t>ST-01B-1004</t>
  </si>
  <si>
    <t>Nguyễn Thị Thúy An</t>
  </si>
  <si>
    <t>17.4616794586, 106.6184387207</t>
  </si>
  <si>
    <t>TN10181009</t>
  </si>
  <si>
    <t>21, Đinh Tiên Hoàng, Tổ 6A, Nguyễn Phúc, TP.Yên Bái, Yên Bái</t>
  </si>
  <si>
    <t>AL-10C-1008</t>
  </si>
  <si>
    <t>Phạm Thị Ngân</t>
  </si>
  <si>
    <t>21.7240352631, 104.9141082764</t>
  </si>
  <si>
    <t>ST-12E-4007</t>
  </si>
  <si>
    <t>Dương Minh Hòa</t>
  </si>
  <si>
    <t>10.4593782425, 105.6401214600</t>
  </si>
  <si>
    <t>KA5003206S</t>
  </si>
  <si>
    <t>Phi Thường</t>
  </si>
  <si>
    <t>AL-03G-4002</t>
  </si>
  <si>
    <t>Văn Bé Diễm</t>
  </si>
  <si>
    <t>9.0414838791, 104.8314971924</t>
  </si>
  <si>
    <t>VC5003.101188</t>
  </si>
  <si>
    <t>VM_SOC_TRANG</t>
  </si>
  <si>
    <t xml:space="preserve">Tầng 2 Trung tâm thương mại Vincom Plaza Sóc Trăng, đường Trần Hưng Đạo, Phường 2, TP  Sóc Trăng, Tỉnh Sóc Trăng</t>
  </si>
  <si>
    <t>ST-12E-4001</t>
  </si>
  <si>
    <t>Tiêu Quang Vinh</t>
  </si>
  <si>
    <t>9.5971975327, 105.9710235596</t>
  </si>
  <si>
    <t>PL5001134J</t>
  </si>
  <si>
    <t>Phượng Nủi</t>
  </si>
  <si>
    <t>0, Đường 1/5, P.1, TP.Vĩnh Long, Vĩnh Long</t>
  </si>
  <si>
    <t>AL-12E-4004</t>
  </si>
  <si>
    <t>10.2579183578, 105.9724807739</t>
  </si>
  <si>
    <t>LA5001101Y</t>
  </si>
  <si>
    <t>Sáu Thủy</t>
  </si>
  <si>
    <t>2/11_Khu 2, Phan Văn Tình, TT.Thủ Thừa, H.Thủ Thừa, Long An</t>
  </si>
  <si>
    <t>AL-09F-4012</t>
  </si>
  <si>
    <t>Hồ Thị Diễm Kiều</t>
  </si>
  <si>
    <t>10.6010704041, 106.4027175903</t>
  </si>
  <si>
    <t>EB4001.39009</t>
  </si>
  <si>
    <t>BIGC LE TRONG TAN</t>
  </si>
  <si>
    <t>Tầng hầm 1,2 và trệt,Tòa nhà Artemis,Số 3 Lê Trọng Tấn,P.Khương Mai,Q.Thanh Xuân,Hà Nội</t>
  </si>
  <si>
    <t>ST-10F-1002</t>
  </si>
  <si>
    <t>Lại Hồng Minh</t>
  </si>
  <si>
    <t>21.0000228882, 105.8284683228</t>
  </si>
  <si>
    <t>HN50021SI6</t>
  </si>
  <si>
    <t>Kim Thy</t>
  </si>
  <si>
    <t>Khu Vực 5, Thị Trấn Hiệp Hòa, TT.Hiệp Hòa, H.Đức Hòa, Long An</t>
  </si>
  <si>
    <t>AL-08C-4039</t>
  </si>
  <si>
    <t>Lê Hồng Thép</t>
  </si>
  <si>
    <t>11.0153741837, 106.3619003296</t>
  </si>
  <si>
    <t>HH200218DU</t>
  </si>
  <si>
    <t>Hạnh Hoàng</t>
  </si>
  <si>
    <t>443, Giải Phóng, Ea Drang, Ea Hleo, Đăk Lăk</t>
  </si>
  <si>
    <t>AL-04A-2125</t>
  </si>
  <si>
    <t>13.2004146576, 108.2052841187</t>
  </si>
  <si>
    <t>KC100110NQ</t>
  </si>
  <si>
    <t>Circlek Số 12 Tam Trinh</t>
  </si>
  <si>
    <t>Số 12 Tam Trinh,P.Minh Khai,Quận Hai Bà Trưng,Hà Nội</t>
  </si>
  <si>
    <t>20.9953899384, 105.8621978760</t>
  </si>
  <si>
    <t>20.9951877594, 105.8622589111</t>
  </si>
  <si>
    <t>TA100612NV</t>
  </si>
  <si>
    <t>Mai Hạnh</t>
  </si>
  <si>
    <t>Ga, Đông Anh, Đông Anh, Hà Nội</t>
  </si>
  <si>
    <t>AL-07C-1003</t>
  </si>
  <si>
    <t>Nguyễn Thị Huân</t>
  </si>
  <si>
    <t>21.1543369293, 105.8513717651</t>
  </si>
  <si>
    <t>DT201011EG</t>
  </si>
  <si>
    <t>Ngọc Thạch</t>
  </si>
  <si>
    <t>Thôn Ngọc Vinh, Điện Ngọc, Điện Bàn, Quảng Nam</t>
  </si>
  <si>
    <t>AL-03F-2001</t>
  </si>
  <si>
    <t>15.9557847977, 108.2513122559</t>
  </si>
  <si>
    <t>GH500112E2</t>
  </si>
  <si>
    <t>ap Trung, ap Trung, X.Đông Thạnh, H.Cần Giuộc, Long An</t>
  </si>
  <si>
    <t>AL-06C-4004</t>
  </si>
  <si>
    <t>Phạm Thị Hải Yến</t>
  </si>
  <si>
    <t>10.5360126495, 106.6723937988</t>
  </si>
  <si>
    <t>TD500520GN</t>
  </si>
  <si>
    <t>Lâm Hồng Điệp</t>
  </si>
  <si>
    <t>Chợ Đôn Xuân, ấp chợ, X.Đôn Xuân, H.Trà Cú, Trà Vinh</t>
  </si>
  <si>
    <t>AL-03E-4010</t>
  </si>
  <si>
    <t>Trầm Thị Phương Trâm</t>
  </si>
  <si>
    <t>9.6447649002, 106.3474655151</t>
  </si>
  <si>
    <t>MT100415QE</t>
  </si>
  <si>
    <t>Sông Tần 3</t>
  </si>
  <si>
    <t>., X.Hồng Lạc, X.Hồng Lạc, H.Thanh Hà, Hải Dương</t>
  </si>
  <si>
    <t>AL-12A-1002</t>
  </si>
  <si>
    <t>Vũ Thị Liên</t>
  </si>
  <si>
    <t>20.9828071594, 106.3528366089</t>
  </si>
  <si>
    <t>DT2015113U</t>
  </si>
  <si>
    <t>Hà Thắng</t>
  </si>
  <si>
    <t>Kios 3, Chợ Phố Châu, TT Phố Châu, H Hương Sơn, Hà Tĩnh</t>
  </si>
  <si>
    <t>AL-10D-1008</t>
  </si>
  <si>
    <t>Hồ Thị Ánh</t>
  </si>
  <si>
    <t>18.5108242035, 105.4226074219</t>
  </si>
  <si>
    <t>HT200312JA</t>
  </si>
  <si>
    <t>ốt 01_ Chợ TT Kỳ Anh, Quốc lộ 1A, TT.Kỳ Anh, H.Kỳ Anh, Hà Tĩnh</t>
  </si>
  <si>
    <t>AL-08E-1001</t>
  </si>
  <si>
    <t>Nguyễn Thị Kim Phượng</t>
  </si>
  <si>
    <t>18.0783634186, 106.2889328003</t>
  </si>
  <si>
    <t>DT2015113M</t>
  </si>
  <si>
    <t>Nhâm Cường</t>
  </si>
  <si>
    <t>Khối 7, TT Đức Thọ, TT.Đức Thọ, H.Đức Thọ, Hà Tĩnh</t>
  </si>
  <si>
    <t>AL-08A-1009</t>
  </si>
  <si>
    <t>Lưu Thị Thanh Bình</t>
  </si>
  <si>
    <t>18.5366458893, 105.5865173340</t>
  </si>
  <si>
    <t>MT500110ZC</t>
  </si>
  <si>
    <t>Minh Tâm</t>
  </si>
  <si>
    <t>Cách Trạm Y Tế 10m, Âp Thân Đạo, X.Thân Cửu Nghĩa, H.Châu Thành, Tiền Giang</t>
  </si>
  <si>
    <t>AL-12C-4001</t>
  </si>
  <si>
    <t>Lưu Thị Kim Tím</t>
  </si>
  <si>
    <t>10.4387645721, 106.3337173462</t>
  </si>
  <si>
    <t>LA500112MM</t>
  </si>
  <si>
    <t>Hoàng Huy</t>
  </si>
  <si>
    <t>87, Khu 1, Ấp Chợ, Phước Lợi, Bến Lức, Long An</t>
  </si>
  <si>
    <t>AL-04A-4083</t>
  </si>
  <si>
    <t>Bùi Thị Minh Trang</t>
  </si>
  <si>
    <t>10.6392679214, 106.5340270996</t>
  </si>
  <si>
    <t>GH5001129M</t>
  </si>
  <si>
    <t>Lan Đài</t>
  </si>
  <si>
    <t>204, Lo AKhu A1, TT.Cần Đước, H.Cần Đước, Long An</t>
  </si>
  <si>
    <t>AL-06A-4006</t>
  </si>
  <si>
    <t>Trần Thị Cẩm Vân</t>
  </si>
  <si>
    <t>10.5041007996, 106.6045684814</t>
  </si>
  <si>
    <t>HT2002112B</t>
  </si>
  <si>
    <t>Anh Tùng</t>
  </si>
  <si>
    <t>68, Ngô Quyền, Nguyễn Nghiêm, TP Quảng Ngãi, Quảng Ngãi</t>
  </si>
  <si>
    <t>AL-04A-2040</t>
  </si>
  <si>
    <t>Trần Thị Hà</t>
  </si>
  <si>
    <t>15.1230907440, 108.8050994873</t>
  </si>
  <si>
    <t>DT1002113T</t>
  </si>
  <si>
    <t>Phạm Thế Hùng</t>
  </si>
  <si>
    <t>Chợ Búng, Việt Hùng, X.Việt Hùng, H.Vũ Thư, Thái Bình</t>
  </si>
  <si>
    <t>CH-08D-1001</t>
  </si>
  <si>
    <t>20.4742584229, 106.2283782959</t>
  </si>
  <si>
    <t>CO4023.5072</t>
  </si>
  <si>
    <t>CM TUY LY VUONG</t>
  </si>
  <si>
    <t>Số 40-54 Tuy Lý Vương, P 13, Q 8, TP HCM</t>
  </si>
  <si>
    <t>ST-06F-3014</t>
  </si>
  <si>
    <t>Nguyễn Minh Lộc</t>
  </si>
  <si>
    <t>10.7440195084, 106.6550598145</t>
  </si>
  <si>
    <t>TD300110IT</t>
  </si>
  <si>
    <t>Ngọc Mai 2</t>
  </si>
  <si>
    <t>Ngã 4 cầu xéo, TT Long thành, Long Thành, Đồng Nai</t>
  </si>
  <si>
    <t>AL-08F-3011</t>
  </si>
  <si>
    <t>10.7856369019, 106.9518966675</t>
  </si>
  <si>
    <t>KA500322X7</t>
  </si>
  <si>
    <t>Lô Thoa</t>
  </si>
  <si>
    <t>0, Chợ Cái Nước, TT.Cái Nước, H.Cái Nước, Cà Mau</t>
  </si>
  <si>
    <t>AL-12A-4001</t>
  </si>
  <si>
    <t>Võ Hồng Điểm</t>
  </si>
  <si>
    <t>8.9399843216, 105.0160980225</t>
  </si>
  <si>
    <t>NV2002103L</t>
  </si>
  <si>
    <t>Võ Thị Thu Sơn</t>
  </si>
  <si>
    <t>Khối 1, Chợ Khánh Dương, Madrak, Mađrak, Đăk Lăk</t>
  </si>
  <si>
    <t>AL-06F-2005</t>
  </si>
  <si>
    <t>12.7528390884, 108.7386627197</t>
  </si>
  <si>
    <t>MT100414TA</t>
  </si>
  <si>
    <t>Tuấn Huyền</t>
  </si>
  <si>
    <t>., KDC Nam Quang, Tiền Trung, P.Ái Quốc, TP.Hải Dương, Hải Dương</t>
  </si>
  <si>
    <t>AL-05G-1001</t>
  </si>
  <si>
    <t>Vũ Thị Huyền Trang</t>
  </si>
  <si>
    <t>20.9732418060, 106.3769302368</t>
  </si>
  <si>
    <t>NC100210FB</t>
  </si>
  <si>
    <t>Trang Cường</t>
  </si>
  <si>
    <t>Xóm 7, Hải Toàn, Hải Hậu, Nam Định</t>
  </si>
  <si>
    <t>AL-10A-1003</t>
  </si>
  <si>
    <t>20.1449146271, 106.2080078125</t>
  </si>
  <si>
    <t>KA500322MA</t>
  </si>
  <si>
    <t>Shop Ngọc Oanh</t>
  </si>
  <si>
    <t>0, Đường Số 4, Khóm 1, TT.Trần Văn Thời, H.Trần Văn Thời, Cà Mau</t>
  </si>
  <si>
    <t>AL-03F-4001</t>
  </si>
  <si>
    <t>Tống Bảo Quốc</t>
  </si>
  <si>
    <t>9.0740928650, 104.9707031250</t>
  </si>
  <si>
    <t>HD100711FJ</t>
  </si>
  <si>
    <t>Vũ Văn Thanh</t>
  </si>
  <si>
    <t>Số 560, Quang Trung, P.Quang Trung, TP.Uông Bí, Quảng Ninh</t>
  </si>
  <si>
    <t>AL-03G-1008</t>
  </si>
  <si>
    <t>Vũ Thùy Linh</t>
  </si>
  <si>
    <t>07h30 - 18h00</t>
  </si>
  <si>
    <t>21.0345191956, 106.7681808472</t>
  </si>
  <si>
    <t>EB4001.58840</t>
  </si>
  <si>
    <t>BIGC MY THO</t>
  </si>
  <si>
    <t>545 đường Lên Văn Phẩm, phường 5, thành phố Mỹ Tho, tỉnh Tiền Giang, Việt Nam</t>
  </si>
  <si>
    <t>ST-08A-4003</t>
  </si>
  <si>
    <t>10.3587293625, 106.3409652710</t>
  </si>
  <si>
    <t>KT201010CA</t>
  </si>
  <si>
    <t>TH Ngân Điện</t>
  </si>
  <si>
    <t>Đăk Ha, Đăk Glong, Đăk Nông</t>
  </si>
  <si>
    <t>AL-02C-2003</t>
  </si>
  <si>
    <t>Võ Thị Thúy Nga</t>
  </si>
  <si>
    <t>12.0828714371, 107.7847976685</t>
  </si>
  <si>
    <t>Hương Nguyễn</t>
  </si>
  <si>
    <t>HN30021009</t>
  </si>
  <si>
    <t>Lan Thành</t>
  </si>
  <si>
    <t>Số 792_Khu 3, Phan Đăng Lưu, Tân An, Thủ Dầu Một, Bình Dương</t>
  </si>
  <si>
    <t>AL-08F-3003</t>
  </si>
  <si>
    <t>Lê Minh Hiếu</t>
  </si>
  <si>
    <t>11.0210933685, 106.6193313599</t>
  </si>
  <si>
    <t>ST-06C-2004</t>
  </si>
  <si>
    <t>Nguyễn Thanh Trường</t>
  </si>
  <si>
    <t>16.0252513885, 108.2200469971</t>
  </si>
  <si>
    <t>Bé Lan</t>
  </si>
  <si>
    <t>BL300110GU</t>
  </si>
  <si>
    <t>Trường Quân</t>
  </si>
  <si>
    <t>24, Lê Lợi, An Lộc, Bình Long, Bình Phước</t>
  </si>
  <si>
    <t>AL-05C-3002</t>
  </si>
  <si>
    <t>Châu Thị Nhung</t>
  </si>
  <si>
    <t>11.6524362564, 106.6059341431</t>
  </si>
  <si>
    <t>AT2004124Q</t>
  </si>
  <si>
    <t>Hoài Thương</t>
  </si>
  <si>
    <t>81, Võ Thị Sáu, P.Trường Thi, TP.Vinh, Nghệ An</t>
  </si>
  <si>
    <t>AL-04A-1107</t>
  </si>
  <si>
    <t>Phạm Thúy Thương</t>
  </si>
  <si>
    <t>18.6673641205, 105.6972579956</t>
  </si>
  <si>
    <t>PL200110PY</t>
  </si>
  <si>
    <t>Yến Chi</t>
  </si>
  <si>
    <t>180, Chu Văn An, Ba Đồn, Ba Đồn, Quảng Bình</t>
  </si>
  <si>
    <t>AL-12F-1001</t>
  </si>
  <si>
    <t>Đỗ Thị Linh Diệu</t>
  </si>
  <si>
    <t>17.7529525757, 106.4238433838</t>
  </si>
  <si>
    <t>TP2002117B</t>
  </si>
  <si>
    <t>Thái Phượng</t>
  </si>
  <si>
    <t>164, Hải Thượng Lãn Ông, P.Đông Vệ, TP.Thanh Hóa, Thanh Hóa</t>
  </si>
  <si>
    <t>AL-10C-1018</t>
  </si>
  <si>
    <t>Hoàng Thị Hòa</t>
  </si>
  <si>
    <t>19.7791213989, 105.7725906372</t>
  </si>
  <si>
    <t>SH500410OG</t>
  </si>
  <si>
    <t>TH Quyên</t>
  </si>
  <si>
    <t>131, Trần Việt Châu, P.An Hòa, Q.Ninh Kiều, Cần Thơ</t>
  </si>
  <si>
    <t>AL-04A-4011</t>
  </si>
  <si>
    <t>Trương Ngọc Trúc Hằng</t>
  </si>
  <si>
    <t>10.0497350693, 105.7735977173</t>
  </si>
  <si>
    <t>Hoàng Trang</t>
  </si>
  <si>
    <t>HT201712AS</t>
  </si>
  <si>
    <t>Chợ Mũi Né, KP 5, Mũi Né, Phan Thiết, Bình Thuận</t>
  </si>
  <si>
    <t>AL-03F-2013</t>
  </si>
  <si>
    <t>Lê Đào Phúc Nguyên</t>
  </si>
  <si>
    <t>10.9359455109, 108.2863616943</t>
  </si>
  <si>
    <t>IM2005.11034</t>
  </si>
  <si>
    <t>INTIMEX 46 Phan Đình Phùng,Hải Châu 1</t>
  </si>
  <si>
    <t>46 Phan Đình Phùng,Hải Châu 1,Q Hải Châu,Đà Nẵng</t>
  </si>
  <si>
    <t>ST-04A-2006</t>
  </si>
  <si>
    <t>Lê Thị Bích Tiên</t>
  </si>
  <si>
    <t>16.0706195831, 108.2211837769</t>
  </si>
  <si>
    <t>DT100211HX</t>
  </si>
  <si>
    <t>Bùi Thị Lan</t>
  </si>
  <si>
    <t>217, Hai Bà Trưng, P.Lê Hồng Phong, TP.Thái Bình, Thái Bình</t>
  </si>
  <si>
    <t>AL-04A-1073</t>
  </si>
  <si>
    <t>20.4476699829, 106.3430404663</t>
  </si>
  <si>
    <t>QD200114HE</t>
  </si>
  <si>
    <t>Ngọc Ánh</t>
  </si>
  <si>
    <t>0, K5, TT.Rừng Thông, H.Đông Sơn, Thanh Hóa</t>
  </si>
  <si>
    <t>AL-02F-1002</t>
  </si>
  <si>
    <t>Ngô Thị Hoài Thu</t>
  </si>
  <si>
    <t>19.8153343201, 105.7311782837</t>
  </si>
  <si>
    <t>CO2006.5050</t>
  </si>
  <si>
    <t>Coop Khánh Hòa</t>
  </si>
  <si>
    <t>02 Lê Hồng Phong,P Phước Hải,Tp Nha Trang,T Khánh Hòa</t>
  </si>
  <si>
    <t>ST-07C-2004</t>
  </si>
  <si>
    <t>Cao Lê Quốc Cường</t>
  </si>
  <si>
    <t>12.2427434921, 109.1818389893</t>
  </si>
  <si>
    <t>TT10161040</t>
  </si>
  <si>
    <t>Long Nghĩa</t>
  </si>
  <si>
    <t>11, Lý Thái Tổ, TP.Bắc Giang, Bắc Giang</t>
  </si>
  <si>
    <t>AL-06B-1004</t>
  </si>
  <si>
    <t>07h30 - 18h30</t>
  </si>
  <si>
    <t>21.2755184174, 106.1896438599</t>
  </si>
  <si>
    <t>ST-06C-1001</t>
  </si>
  <si>
    <t>18.3385734558, 105.8976058960</t>
  </si>
  <si>
    <t>LD50021302</t>
  </si>
  <si>
    <t>Mỹ Thiện</t>
  </si>
  <si>
    <t>14, Trần Khánh Dư, TT.Cái Dầu, H.Châu Phú, An Giang</t>
  </si>
  <si>
    <t>AL-08C-4009</t>
  </si>
  <si>
    <t>Trần Thị Bích Trâm</t>
  </si>
  <si>
    <t>10.5684204102, 105.2423324585</t>
  </si>
  <si>
    <t>HD100911PO</t>
  </si>
  <si>
    <t>Tạ Văn Hưng</t>
  </si>
  <si>
    <t>Đa phú, thống nhất, X.Thống Nhất, H.Hưng Hà, Thái Bình</t>
  </si>
  <si>
    <t>AL-05E-1004</t>
  </si>
  <si>
    <t>Đoàn Thị Ngọc</t>
  </si>
  <si>
    <t>20.6012134552, 106.2273178101</t>
  </si>
  <si>
    <t>10.9871921539, 106.8688964844</t>
  </si>
  <si>
    <t>ST-12A-2003</t>
  </si>
  <si>
    <t>Đỗ Ánh Tuyết</t>
  </si>
  <si>
    <t>12.2578744888, 109.1345062256</t>
  </si>
  <si>
    <t>9.1742382050, 105.1470108032</t>
  </si>
  <si>
    <t>CH-05D-3002</t>
  </si>
  <si>
    <t>Đỗ Thị Hồng</t>
  </si>
  <si>
    <t>11.5413455963, 107.7766952515</t>
  </si>
  <si>
    <t>SH20021013</t>
  </si>
  <si>
    <t xml:space="preserve">Lê Thị Phương Hà </t>
  </si>
  <si>
    <t>48, Nguyễn Tất Thành, TT Tăng Bạch Hổ, Hoài Ân, Bình Định</t>
  </si>
  <si>
    <t>AL-03G-2008</t>
  </si>
  <si>
    <t>Lê Thị Mỹ Hạnh</t>
  </si>
  <si>
    <t>14.3642950058, 108.9709014893</t>
  </si>
  <si>
    <t>TD50051250</t>
  </si>
  <si>
    <t>Thủy chợ</t>
  </si>
  <si>
    <t>Chợ dưới Trà Vinh, Thị Xã Trà Vinh, P.3, TP.Trà Vinh, Trà Vinh</t>
  </si>
  <si>
    <t>AL-01E-4005</t>
  </si>
  <si>
    <t>Đoàn Thị Bé Thơ</t>
  </si>
  <si>
    <t>9.9365034103, 106.3447036743</t>
  </si>
  <si>
    <t>Thanh Bình</t>
  </si>
  <si>
    <t>TB3002110J</t>
  </si>
  <si>
    <t>Cô Sắc</t>
  </si>
  <si>
    <t>548, Thống Nhất, Tân An, TX Lagi, Bình Thuận</t>
  </si>
  <si>
    <t>AL-10A-2003</t>
  </si>
  <si>
    <t>Ngô Gia Kim Phụng</t>
  </si>
  <si>
    <t>10.6819095612, 107.7520751953</t>
  </si>
  <si>
    <t>HN300210OD</t>
  </si>
  <si>
    <t>ĐL Sữa Hào Hiệp</t>
  </si>
  <si>
    <t>331, DT745, Tổ 20, KP Thạnh Hòa, An Thạnh, Thuận An, Bình Dương</t>
  </si>
  <si>
    <t>AL-02D-3003</t>
  </si>
  <si>
    <t>Trần Thị Hồng Phúc</t>
  </si>
  <si>
    <t>10.9290599823, 106.6987533569</t>
  </si>
  <si>
    <t>CM1002.5034</t>
  </si>
  <si>
    <t>CM VINH PHUC</t>
  </si>
  <si>
    <t>Tòa nhà TTTM Soiva Plaza,Đường Mê Linh,P Khai Quang,Tp Vĩnh Yên,T Vĩnh Phúc</t>
  </si>
  <si>
    <t>ST-04A-1044</t>
  </si>
  <si>
    <t>21.3129291534, 105.6141586304</t>
  </si>
  <si>
    <t>VI1102.90009</t>
  </si>
  <si>
    <t>VM_NAN_99_HERMANN_GMEINER</t>
  </si>
  <si>
    <t>99 Hermann Gmeiner, Phường Hưng Phúc, TP. Vinh, Tỉnh Nghệ An</t>
  </si>
  <si>
    <t>18.6834278107, 105.6887664795</t>
  </si>
  <si>
    <t>18.6833915710, 105.6888580322</t>
  </si>
  <si>
    <t>HN500114I7</t>
  </si>
  <si>
    <t>anh Chi</t>
  </si>
  <si>
    <t>1, cầu Xã Hời, X.Tân An Thạnh, H.Bình Tân, Vĩnh Long</t>
  </si>
  <si>
    <t>AL-03F-4009</t>
  </si>
  <si>
    <t>Khúc Thành Lộc</t>
  </si>
  <si>
    <t>10.1404314041, 105.7171478271</t>
  </si>
  <si>
    <t xml:space="preserve">DNTN Thịnh Phát </t>
  </si>
  <si>
    <t>TP20021175</t>
  </si>
  <si>
    <t>Hưng Hường</t>
  </si>
  <si>
    <t>215, Quang Trung, P Đông Vệ, TP Thanh Hóa, Thanh Hóa</t>
  </si>
  <si>
    <t>AL-04F-1003</t>
  </si>
  <si>
    <t>Lưu Thị Thanh Vân</t>
  </si>
  <si>
    <t>19.7909145355, 105.7771301270</t>
  </si>
  <si>
    <t>CO2014.103205</t>
  </si>
  <si>
    <t>Coop Cu Mgar</t>
  </si>
  <si>
    <t>Thua dat 11, to ban do so 31, to dan pho 2 duong Hung Vuong, Thi tran Quang Phu, Huyen Cu M gar, Tinh Dak Lak</t>
  </si>
  <si>
    <t>ST-12E-2003</t>
  </si>
  <si>
    <t>Trương Hồng Tuyến</t>
  </si>
  <si>
    <t>12.8228940964, 108.0775299072</t>
  </si>
  <si>
    <t>TV200211AT</t>
  </si>
  <si>
    <t>Cửa hàng Nhật Ý</t>
  </si>
  <si>
    <t>AL-12F-2007</t>
  </si>
  <si>
    <t>Ngô Thị Mỹ Hằng</t>
  </si>
  <si>
    <t>12.5365953445, 109.2171401978</t>
  </si>
  <si>
    <t>PT501710TM</t>
  </si>
  <si>
    <t>TT Ngọc Liên</t>
  </si>
  <si>
    <t>0, Lô 1, Chợ Số 1, X.Mong Thọ, X.Châu Thành, Kiên Giang</t>
  </si>
  <si>
    <t>AL-03G-4008</t>
  </si>
  <si>
    <t>Cao Văn Hải</t>
  </si>
  <si>
    <t>10.0247240067, 105.1940078735</t>
  </si>
  <si>
    <t>ST-09C-2001</t>
  </si>
  <si>
    <t>Lương Văn Bình</t>
  </si>
  <si>
    <t>16.0249462128, 108.2193756104</t>
  </si>
  <si>
    <t>TP2002125I</t>
  </si>
  <si>
    <t>Sâm Minh</t>
  </si>
  <si>
    <t>TK Vinh Sơn, TT Bút Sơn, TT Hoằng Hóa, H Hoằng Hóa, Thanh Hóa</t>
  </si>
  <si>
    <t>AL-08C-1026</t>
  </si>
  <si>
    <t>19.8500175476, 105.8546676636</t>
  </si>
  <si>
    <t>DNTN Hương Sơn</t>
  </si>
  <si>
    <t>HS200211QN</t>
  </si>
  <si>
    <t>Dung Lợi</t>
  </si>
  <si>
    <t>Xóm 12, X Xuân Hòa, H Nam Đàn, Nghệ An</t>
  </si>
  <si>
    <t>AL-04E-1010</t>
  </si>
  <si>
    <t>Nguyễn Thị Thanh</t>
  </si>
  <si>
    <t>18.6961879730, 105.5260086060</t>
  </si>
  <si>
    <t>HT200314DT</t>
  </si>
  <si>
    <t>Đan Chi</t>
  </si>
  <si>
    <t>161, Vũ Quang, P Thạch Linh, TP Hà Tĩnh, Hà Tĩnh</t>
  </si>
  <si>
    <t>AL-03G-1004</t>
  </si>
  <si>
    <t>Trịnh Thị Hiền</t>
  </si>
  <si>
    <t>18.3402233124, 105.8828125000</t>
  </si>
  <si>
    <t>AT2004107U</t>
  </si>
  <si>
    <t>Quỳnh Liên 3</t>
  </si>
  <si>
    <t>Chợ Cọi, Lê Viết Thuật, X.Hưng Lộc, TP.Vinh, Nghệ An</t>
  </si>
  <si>
    <t>AL-11D-1004</t>
  </si>
  <si>
    <t>Võ Thị Hải</t>
  </si>
  <si>
    <t>18.6973476410, 105.7054138184</t>
  </si>
  <si>
    <t>PL200111JF</t>
  </si>
  <si>
    <t>Thiện Nhân</t>
  </si>
  <si>
    <t>số 16, Quang Trung, X.Quảng Thọ, H.Quảng Trạch, Quảng Bình</t>
  </si>
  <si>
    <t>AL-03D-1005</t>
  </si>
  <si>
    <t>Nguyễn Thị Duyên</t>
  </si>
  <si>
    <t>17.7535324097, 106.4252700806</t>
  </si>
  <si>
    <t>VV10011189</t>
  </si>
  <si>
    <t xml:space="preserve">Tuyển Hằng </t>
  </si>
  <si>
    <t>Xóm 1 , Đê Thanh Xuyên, Ứng Hòa , Hà Nội</t>
  </si>
  <si>
    <t>AL-10C-1015</t>
  </si>
  <si>
    <t>Vũ Thị Hằng</t>
  </si>
  <si>
    <t>20.6843948364, 105.7541427612</t>
  </si>
  <si>
    <t>VT100311D9</t>
  </si>
  <si>
    <t>Thuý Hải</t>
  </si>
  <si>
    <t>Cầu Đò, Trung Kênh, Lương Tài, Bắc Ninh</t>
  </si>
  <si>
    <t>AL-08C-1048</t>
  </si>
  <si>
    <t>07h00 - 19h00</t>
  </si>
  <si>
    <t>21.0443019867, 106.2770690918</t>
  </si>
  <si>
    <t>VT100310TL</t>
  </si>
  <si>
    <t>Em Linh</t>
  </si>
  <si>
    <t>TT.Phố Mới, Quế Võ, Bắc Ninh</t>
  </si>
  <si>
    <t>AL-06F-1004</t>
  </si>
  <si>
    <t>Doãn Thị Huyền</t>
  </si>
  <si>
    <t>21.1527080536, 106.1508941650</t>
  </si>
  <si>
    <t>HT200311L3</t>
  </si>
  <si>
    <t>k9, TT Thạch Hà, TT.Thạch Hà, H.Thạch Hà, Hà Tĩnh</t>
  </si>
  <si>
    <t>AL-12F-1003</t>
  </si>
  <si>
    <t>18.3760490417, 105.8541870117</t>
  </si>
  <si>
    <t>ST-12C-4001</t>
  </si>
  <si>
    <t>Trần Thúy Ái</t>
  </si>
  <si>
    <t>10.3843898773, 104.4887695313</t>
  </si>
  <si>
    <t>DT501219Y5</t>
  </si>
  <si>
    <t>Tiên Tiến</t>
  </si>
  <si>
    <t>F83, Hà Hoàng Hổ, P.Đông Xuyên, TP.Long Xuyên, An Giang</t>
  </si>
  <si>
    <t>AL-04A-4058</t>
  </si>
  <si>
    <t>Võ Thị Hồng Yến</t>
  </si>
  <si>
    <t>10.3777580261, 105.4311981201</t>
  </si>
  <si>
    <t>NT101111Y2</t>
  </si>
  <si>
    <t>Tuyết</t>
  </si>
  <si>
    <t>322, Cát Dài, P.Cát Dài, Q.Lê Chân, Hải Phòng</t>
  </si>
  <si>
    <t>AL-12D-1001</t>
  </si>
  <si>
    <t>Đặng Thị Bích</t>
  </si>
  <si>
    <t>20.8519420624, 106.6737442017</t>
  </si>
  <si>
    <t>VC1001.48055</t>
  </si>
  <si>
    <t>VM HA LONG</t>
  </si>
  <si>
    <t>Tầng 2,TTTM Vincom Center Hạ Long,KV.Cột đồng hồ,P.Bạch Đằng,Tp.Hạ Long,T.Quảng Ninh</t>
  </si>
  <si>
    <t>ST-04C-1001</t>
  </si>
  <si>
    <t>Bùi Thị Nga</t>
  </si>
  <si>
    <t>20.9503040314, 107.0838546753</t>
  </si>
  <si>
    <t>NN2004112A</t>
  </si>
  <si>
    <t>Tôn Thị Phương Lan</t>
  </si>
  <si>
    <t>Khối phố Thiên Bình, TT Tiên Kỳ, Tiên Phước, Quảng Nam</t>
  </si>
  <si>
    <t>AL-01G-2001</t>
  </si>
  <si>
    <t>Võ Thị Sáu</t>
  </si>
  <si>
    <t>15.4877948761, 108.3058471680</t>
  </si>
  <si>
    <t>DL200411WO</t>
  </si>
  <si>
    <t>Shop Sữa 16</t>
  </si>
  <si>
    <t>73, CMT8, Quảng Phú, Cư Mgar, Đăk Lăk</t>
  </si>
  <si>
    <t>AL-04A-2130</t>
  </si>
  <si>
    <t>Phạm Thị Thu Huyền</t>
  </si>
  <si>
    <t>12.7704010010, 107.9900131226</t>
  </si>
  <si>
    <t>TT101610X4</t>
  </si>
  <si>
    <t>Trang Khang</t>
  </si>
  <si>
    <t>Bố Hạ, Yên Thế, Bắc Giang</t>
  </si>
  <si>
    <t>AL-10F-1005</t>
  </si>
  <si>
    <t>Linh Quang Huy</t>
  </si>
  <si>
    <t>07h00 - 18h00</t>
  </si>
  <si>
    <t>21.4496574402, 106.1963424683</t>
  </si>
  <si>
    <t>NT101111XC</t>
  </si>
  <si>
    <t>Phùng Cẩm Liên</t>
  </si>
  <si>
    <t>202, Phan Bội Châu, P.Phan Bội Châu, Q.Hồng Bàng, Hải Phòng</t>
  </si>
  <si>
    <t>AL-06E-1002</t>
  </si>
  <si>
    <t>20.8560619354, 106.6735382080</t>
  </si>
  <si>
    <t>ST-07E-3010</t>
  </si>
  <si>
    <t>Đinh Thị Ngọc Diễm</t>
  </si>
  <si>
    <t>10.7636508942, 106.6566925049</t>
  </si>
  <si>
    <t>VV100110M7</t>
  </si>
  <si>
    <t>Thu Huyền</t>
  </si>
  <si>
    <t>Cầu Thanh Ấm, TT.Vân Đình, Ứng Hòa , Hà Nội</t>
  </si>
  <si>
    <t>AL-09F-1009</t>
  </si>
  <si>
    <t>Trịnh Thị Thanh Tâm</t>
  </si>
  <si>
    <t>21.0456256866, 105.8092346191</t>
  </si>
  <si>
    <t>DT501213Z3</t>
  </si>
  <si>
    <t>Shop Phương Nam</t>
  </si>
  <si>
    <t>55A, Tôn Thất Thuyết (đối diện cafe Cây Mai), P.Bình Khánh, TP.Long Xuyên, An Giang</t>
  </si>
  <si>
    <t>AL-10E-4001</t>
  </si>
  <si>
    <t>Mai Kim Ngân</t>
  </si>
  <si>
    <t>10.3918848038, 105.4244918823</t>
  </si>
  <si>
    <t>NV200210HT</t>
  </si>
  <si>
    <t>Shop Mẹ &amp; Bé</t>
  </si>
  <si>
    <t>Chợ 38, Ea Phê, Krông Pắk, Đăk Lăk</t>
  </si>
  <si>
    <t>AL-08C-2043</t>
  </si>
  <si>
    <t>Trần Thị Như Thắm</t>
  </si>
  <si>
    <t>12.7297267914, 108.3664321899</t>
  </si>
  <si>
    <t>VT100311P7</t>
  </si>
  <si>
    <t>Hương Thảo</t>
  </si>
  <si>
    <t>AL-03F-1004</t>
  </si>
  <si>
    <t>Mai Thị Hậu</t>
  </si>
  <si>
    <t>21.1527347565, 106.1494369507</t>
  </si>
  <si>
    <t>MT10041685</t>
  </si>
  <si>
    <t>Hiệu thuốc 68, Ngã 4 Ghẽ, Hải Dương</t>
  </si>
  <si>
    <t>AL-09F-1010</t>
  </si>
  <si>
    <t>20.9409999847, 106.2166061401</t>
  </si>
  <si>
    <t>PL500113QF</t>
  </si>
  <si>
    <t>My - Tỷ Mai</t>
  </si>
  <si>
    <t>1K-1H, Hoàng Thái Hiếu, P.1, TP.Vĩnh Long, Vĩnh Long</t>
  </si>
  <si>
    <t>AL-03G-4007</t>
  </si>
  <si>
    <t>Lương Thị Yến</t>
  </si>
  <si>
    <t>10.2548446655, 105.9730148315</t>
  </si>
  <si>
    <t>HH3009108W</t>
  </si>
  <si>
    <t>Đức Huy</t>
  </si>
  <si>
    <t>Kios 9, Tổ 5, KP1, TT.Tân Châu, Tân Châu, Tây Ninh</t>
  </si>
  <si>
    <t>AL-03G-3003</t>
  </si>
  <si>
    <t>Nguyễn Minh Duy</t>
  </si>
  <si>
    <t>11.5527076721, 106.1618881226</t>
  </si>
  <si>
    <t>ST-07F-3006</t>
  </si>
  <si>
    <t>Nguyễn Thị Tuyết Vân</t>
  </si>
  <si>
    <t>10.9666671753, 106.8543319702</t>
  </si>
  <si>
    <t>PH50091029</t>
  </si>
  <si>
    <t>Lâm Hài</t>
  </si>
  <si>
    <t>0, Chợ Thới Bình, Khóm 1, TT.Thới Bình, H.Thới Bình, Cà Mau</t>
  </si>
  <si>
    <t>AL-11E-4004</t>
  </si>
  <si>
    <t>Trần Thu Vân</t>
  </si>
  <si>
    <t>9.3454265594, 105.0888900757</t>
  </si>
  <si>
    <t>ST-03E-2001</t>
  </si>
  <si>
    <t>13.7683706284, 109.2217559814</t>
  </si>
  <si>
    <t>TH1015103B</t>
  </si>
  <si>
    <t>Vân Xô</t>
  </si>
  <si>
    <t>Thị Trấn Chũ , Lục Ngạn, Bắc Giang</t>
  </si>
  <si>
    <t>AL-03G-1011</t>
  </si>
  <si>
    <t>Đặng Thị Huyền Trang</t>
  </si>
  <si>
    <t>21.3755302429, 106.5749130249</t>
  </si>
  <si>
    <t>ST-06A-1004</t>
  </si>
  <si>
    <t>21.2664260864, 106.2079849243</t>
  </si>
  <si>
    <t>LO5001106V</t>
  </si>
  <si>
    <t>Cô Xuân</t>
  </si>
  <si>
    <t>126, Trần Phú, P.Vĩnh Thanh Vân, TP.Rạch Giá, Kiên Giang</t>
  </si>
  <si>
    <t>AL-11D-4006</t>
  </si>
  <si>
    <t>Ngô Thị Thu Thảo</t>
  </si>
  <si>
    <t>10.0116195679, 105.0845642090</t>
  </si>
  <si>
    <t>15.1209087372, 108.8064880371</t>
  </si>
  <si>
    <t>15.1209268570, 108.8065719604</t>
  </si>
  <si>
    <t>ST-03F-3019</t>
  </si>
  <si>
    <t>Trần Thị Kim Oanh</t>
  </si>
  <si>
    <t>10.8237190247, 106.6927642822</t>
  </si>
  <si>
    <t>Phương Hùng</t>
  </si>
  <si>
    <t>PH200210LV</t>
  </si>
  <si>
    <t>Lê Thị Thanh Quyền</t>
  </si>
  <si>
    <t>351, Quang Trung, An Phú, Anh Khê, Gia Lai</t>
  </si>
  <si>
    <t>AL-04G-2001</t>
  </si>
  <si>
    <t>Phan Thanh Thảo</t>
  </si>
  <si>
    <t>13.9545640945, 108.6642532349</t>
  </si>
  <si>
    <t>NC100210QQ</t>
  </si>
  <si>
    <t>Chị Lợi</t>
  </si>
  <si>
    <t>Chợ Chùa, TT Nam Giang, TT.Nam Giang, H.Nam Trực, Nam Định</t>
  </si>
  <si>
    <t>AL-08C-1019</t>
  </si>
  <si>
    <t>Hoàng Thị Hiền</t>
  </si>
  <si>
    <t>20.2934665680, 106.1679611206</t>
  </si>
  <si>
    <t>ST-03G-1008</t>
  </si>
  <si>
    <t>Nguyễn Thị Xuyến</t>
  </si>
  <si>
    <t>20.4387302399, 106.1531982422</t>
  </si>
  <si>
    <t>PH50091003</t>
  </si>
  <si>
    <t xml:space="preserve">Lý Cần Thành </t>
  </si>
  <si>
    <t>0, Chợ Vĩnh Thuận, Ấp Vĩnh Phước 2, TT.Vĩnh Thuận, H.Vĩnh Thuận, Kiên Giang</t>
  </si>
  <si>
    <t>AL-04A-4048</t>
  </si>
  <si>
    <t>Từ Thị Huỳnh</t>
  </si>
  <si>
    <t>9.5120267868, 105.2585372925</t>
  </si>
  <si>
    <t>QL500110JG</t>
  </si>
  <si>
    <t>Bảo Châu</t>
  </si>
  <si>
    <t>0, Chợ Cũ, Vĩnh Châu, TT.Vĩnh Châu, H.Vĩnh Châu, Sóc Trăng</t>
  </si>
  <si>
    <t>AL-05D-4010</t>
  </si>
  <si>
    <t>Trịnh Xiếu Khênh</t>
  </si>
  <si>
    <t>9.3245649338, 105.9817733765</t>
  </si>
  <si>
    <t>ST-04D-2001</t>
  </si>
  <si>
    <t>Đặng Thị Lội</t>
  </si>
  <si>
    <t>16.4597549438, 107.5993652344</t>
  </si>
  <si>
    <t>ST-04G-3012</t>
  </si>
  <si>
    <t>Nguyễn Thị Thu Trâm</t>
  </si>
  <si>
    <t>10.9579191208, 106.8147735596</t>
  </si>
  <si>
    <t>ST-03F-3004</t>
  </si>
  <si>
    <t>Bùi Quang Huy</t>
  </si>
  <si>
    <t>10.9578008652, 106.8146972656</t>
  </si>
  <si>
    <t>21.0279731750, 105.8252487183</t>
  </si>
  <si>
    <t>21.0279388428, 105.8252105713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</si>
</sst>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5">
    <font>
      <sz val="11"/>
      <color theme="1"/>
      <name val="Calibri"/>
      <family val="2"/>
      <scheme val="minor"/>
    </font>
    <font>
      <b/>
      <sz val="11"/>
      <color theme="0"/>
      <name val="Calibri"/>
      <family val="2"/>
      <scheme val="minor"/>
    </font>
    <font>
      <b/>
      <sz val="11"/>
      <color theme="1"/>
      <name val="Calibri"/>
      <family val="2"/>
      <scheme val="minor"/>
    </font>
    <font>
      <b/>
      <sz val="16"/>
      <color rgb="FFFF0000"/>
      <name val="Calibri"/>
      <family val="2"/>
      <scheme val="minor"/>
    </font>
    <font>
      <u/>
      <sz val="11"/>
      <color rgb="FF0000FF"/>
      <name val="Calibri"/>
      <family val="2"/>
      <scheme val="minor"/>
    </font>
  </fonts>
  <fills count="6">
    <fill>
      <patternFill patternType="none"/>
    </fill>
    <fill>
      <patternFill patternType="gray125"/>
    </fill>
    <fill>
      <patternFill patternType="solid">
        <fgColor theme="8" tint="-0.249977111117893"/>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5"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ouble">
        <color indexed="64"/>
      </bottom>
      <diagonal/>
    </border>
    <border>
      <left/>
      <right/>
      <top style="double">
        <color indexed="64"/>
      </top>
      <bottom/>
      <diagonal/>
    </border>
    <border>
      <left style="thin">
        <color rgb="FF000000" tint="0"/>
      </left>
      <right style="thin">
        <color rgb="FF000000" tint="0"/>
      </right>
      <top style="thin">
        <color rgb="FF000000" tint="0"/>
      </top>
      <bottom style="thin">
        <color rgb="FF000000" tint="0"/>
      </bottom>
      <diagonal/>
    </border>
  </borders>
  <cellStyleXfs count="1">
    <xf numFmtId="0" fontId="0" fillId="0" borderId="0"/>
  </cellStyleXfs>
  <cellXfs count="21">
    <xf numFmtId="0" applyNumberFormat="1" fontId="0" applyFont="1" fillId="0" applyFill="1" borderId="0" applyBorder="1" xfId="0" applyProtection="1"/>
    <xf numFmtId="0" applyNumberFormat="1" fontId="2" applyFont="1" fillId="0" applyFill="1" borderId="0" applyBorder="1" xfId="0" applyProtection="1" applyAlignment="1">
      <alignment horizontal="center" vertical="center" wrapText="1"/>
    </xf>
    <xf numFmtId="0" applyNumberFormat="1" fontId="1" applyFont="1" fillId="2" applyFill="1" borderId="1" applyBorder="1" xfId="0" applyProtection="1" applyAlignment="1">
      <alignment horizontal="center" vertical="center" wrapText="1"/>
    </xf>
    <xf numFmtId="0" applyNumberFormat="1" fontId="0" applyFont="1" fillId="0" applyFill="1" borderId="0" applyBorder="1" xfId="0" applyProtection="1" applyAlignment="1">
      <alignment horizontal="center"/>
    </xf>
    <xf numFmtId="0" applyNumberFormat="1" fontId="0" applyFont="1" fillId="0" applyFill="1" borderId="4" applyBorder="1" xfId="0" applyProtection="1"/>
    <xf numFmtId="164" applyNumberFormat="1" fontId="1" applyFont="1" fillId="2" applyFill="1" borderId="1" applyBorder="1" xfId="0" applyProtection="1" applyAlignment="1">
      <alignment horizontal="center" vertical="center" wrapText="1"/>
    </xf>
    <xf numFmtId="164" applyNumberFormat="1" fontId="0" applyFont="1" fillId="0" applyFill="1" borderId="0" applyBorder="1" xfId="0" applyProtection="1" applyAlignment="1">
      <alignment horizontal="center"/>
    </xf>
    <xf numFmtId="14" applyNumberFormat="1" fontId="0" applyFont="1" fillId="0" applyFill="1" borderId="0" applyBorder="1" xfId="0" applyProtection="1" applyAlignment="1">
      <alignment horizontal="center"/>
    </xf>
    <xf numFmtId="14" applyNumberFormat="1" fontId="1" applyFont="1" fillId="2" applyFill="1" borderId="1" applyBorder="1" xfId="0" applyProtection="1" applyAlignment="1">
      <alignment horizontal="center" vertical="center" wrapText="1"/>
    </xf>
    <xf numFmtId="0" applyNumberFormat="1" fontId="0" applyFont="1" fillId="0" applyFill="1" borderId="0" applyBorder="1" xfId="0" applyProtection="1" applyAlignment="1">
      <alignment horizontal="right"/>
    </xf>
    <xf numFmtId="0" applyNumberFormat="1" fontId="0" applyFont="1" fillId="5" applyFill="1" borderId="2" applyBorder="1" xfId="0" applyProtection="1" applyAlignment="1">
      <alignment horizontal="center" vertical="center"/>
    </xf>
    <xf numFmtId="0" applyNumberFormat="1" fontId="0" applyFont="1" fillId="4" applyFill="1" borderId="2" applyBorder="1" xfId="0" applyProtection="1" applyAlignment="1">
      <alignment horizontal="center"/>
    </xf>
    <xf numFmtId="0" applyNumberFormat="1" fontId="0" applyFont="1" fillId="3" applyFill="1" borderId="2" applyBorder="1" xfId="0" applyProtection="1" applyAlignment="1">
      <alignment horizontal="center"/>
    </xf>
    <xf numFmtId="0" applyNumberFormat="1" fontId="3" applyFont="1" fillId="0" applyFill="1" borderId="3" applyBorder="1" xfId="0" applyProtection="1" applyAlignment="1">
      <alignment horizontal="center" vertical="center"/>
    </xf>
    <xf numFmtId="0" applyNumberFormat="1" fontId="0" applyFont="1" fillId="0" applyFill="1" borderId="4" applyBorder="1" xfId="0" applyProtection="1" applyAlignment="1">
      <alignment horizontal="center"/>
    </xf>
    <xf numFmtId="0" applyNumberFormat="1" fontId="0" applyFont="1" fillId="0" applyFill="1" borderId="5" applyBorder="1" xfId="0" applyProtection="1"/>
    <xf numFmtId="14" applyNumberFormat="1" fontId="0" applyFont="1" fillId="0" applyFill="1" borderId="5" applyBorder="1" xfId="0" applyProtection="1" applyAlignment="1">
      <alignment horizontal="center"/>
    </xf>
    <xf numFmtId="0" applyNumberFormat="1" fontId="0" applyFont="1" fillId="0" applyFill="1" borderId="5" applyBorder="1" xfId="0" applyProtection="1" applyAlignment="1">
      <alignment horizontal="center"/>
    </xf>
    <xf numFmtId="164" applyNumberFormat="1" fontId="0" applyFont="1" fillId="0" applyFill="1" borderId="5" applyBorder="1" xfId="0" applyProtection="1" applyAlignment="1">
      <alignment horizontal="center"/>
    </xf>
    <xf numFmtId="0" applyNumberFormat="1" fontId="0" applyFont="1" fillId="0" applyFill="1" borderId="5" applyBorder="1" xfId="0" applyProtection="1" applyAlignment="1">
      <alignment horizontal="right"/>
    </xf>
    <xf numFmtId="164" applyNumberFormat="1" fontId="4" applyFont="1" fillId="0" applyFill="1" borderId="5" applyBorder="1" xfId="0" applyProtection="1" applyAlignment="1">
      <alignment horizontal="center"/>
    </xf>
  </cellXfs>
  <cellStyles count="1">
    <cellStyle name="Normal" xfId="0" builtinId="0"/>
  </cellStyles>
  <dxfs count="0"/>
  <tableStyles count="0" defaultTableStyle="TableStyleMedium2" defaultPivotStyle="PivotStyleLight16"/>
  <colors>
    <mruColors>
      <color rgb="FFFFCCFF"/>
      <color rgb="FFD0B8CA"/>
      <color rgb="FFC5A1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4DB37-5A17-42B0-841A-A6F1D6BEF9B2}">
  <dimension ref="A1:AB3001"/>
  <sheetViews>
    <sheetView tabSelected="1" workbookViewId="0">
      <selection activeCell="F5" sqref="F5"/>
    </sheetView>
  </sheetViews>
  <sheetFormatPr defaultRowHeight="14.5" x14ac:dyDescent="0.35"/>
  <cols>
    <col min="1" max="1" width="7.453125" customWidth="1"/>
    <col min="3" max="3" width="17.1796875" customWidth="1"/>
    <col min="4" max="4" width="11.453125" customWidth="1"/>
    <col min="5" max="5" width="9.54296875" customWidth="1"/>
    <col min="8" max="8" width="13.453125" customWidth="1"/>
    <col min="9" max="9" width="28.81640625" customWidth="1"/>
    <col min="10" max="10" width="33.54296875" customWidth="1"/>
    <col min="11" max="11" width="13.1796875" customWidth="1"/>
    <col min="12" max="12" width="21.1796875" customWidth="1"/>
    <col min="13" max="13" width="13.7265625" customWidth="1"/>
    <col min="14" max="14" width="21.54296875" customWidth="1"/>
    <col min="15" max="15" width="13.453125" customWidth="1"/>
    <col min="16" max="16" width="14.54296875" customWidth="1"/>
    <col min="17" max="17" width="24.81640625" customWidth="1"/>
    <col min="18" max="18" width="16.453125" customWidth="1" style="7"/>
    <col min="19" max="19" width="19.7265625" customWidth="1" style="3"/>
    <col min="20" max="20" width="11.54296875" customWidth="1" style="6"/>
    <col min="21" max="21" width="11.7265625" customWidth="1" style="6"/>
    <col min="22" max="22" width="12.1796875" customWidth="1" style="6"/>
    <col min="23" max="23" width="15.54296875" customWidth="1"/>
    <col min="24" max="24" width="16.26953125" customWidth="1"/>
    <col min="25" max="25" width="15" customWidth="1"/>
    <col min="26" max="27" width="14.453125" customWidth="1" style="9"/>
    <col min="28" max="28" width="33.81640625" customWidth="1"/>
  </cols>
  <sheetData>
    <row r="1" ht="23.5" customHeight="1">
      <c r="C1" s="13" t="s">
        <v>0</v>
      </c>
      <c r="D1" s="13"/>
      <c r="E1" s="13"/>
      <c r="F1" s="13"/>
      <c r="G1" s="13"/>
      <c r="H1" s="13"/>
      <c r="I1" s="13"/>
      <c r="J1" s="13"/>
      <c r="K1" s="13"/>
    </row>
    <row r="2" ht="15">
      <c r="C2" s="14" t="s">
        <v>1</v>
      </c>
      <c r="D2" s="14"/>
      <c r="E2" s="14"/>
      <c r="F2" s="14"/>
      <c r="G2" s="14"/>
      <c r="H2" s="4"/>
      <c r="I2" s="4"/>
    </row>
    <row r="3" ht="14.5" customHeight="1">
      <c r="A3" s="10" t="s">
        <v>2</v>
      </c>
      <c r="B3" s="10"/>
      <c r="C3" s="10"/>
      <c r="D3" s="10"/>
      <c r="E3" s="10"/>
      <c r="F3" s="10"/>
      <c r="G3" s="10"/>
      <c r="H3" s="10"/>
      <c r="I3" s="10"/>
      <c r="J3" s="10"/>
      <c r="K3" s="11" t="s">
        <v>3</v>
      </c>
      <c r="L3" s="11"/>
      <c r="M3" s="11"/>
      <c r="N3" s="11"/>
      <c r="O3" s="11"/>
      <c r="P3" s="11"/>
      <c r="Q3" s="11"/>
      <c r="R3" s="12" t="s">
        <v>4</v>
      </c>
      <c r="S3" s="12"/>
      <c r="T3" s="12"/>
      <c r="U3" s="12"/>
      <c r="V3" s="12"/>
      <c r="W3" s="12"/>
      <c r="X3" s="12"/>
      <c r="Y3" s="12"/>
      <c r="Z3" s="12"/>
      <c r="AA3" s="12"/>
      <c r="AB3" s="12"/>
    </row>
    <row r="4" ht="36" customHeight="1" s="1" customFormat="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c r="P4" s="2" t="s">
        <v>20</v>
      </c>
      <c r="Q4" s="2" t="s">
        <v>21</v>
      </c>
      <c r="R4" s="8" t="s">
        <v>22</v>
      </c>
      <c r="S4" s="2" t="s">
        <v>23</v>
      </c>
      <c r="T4" s="5" t="s">
        <v>24</v>
      </c>
      <c r="U4" s="5" t="s">
        <v>25</v>
      </c>
      <c r="V4" s="5" t="s">
        <v>26</v>
      </c>
      <c r="W4" s="2" t="s">
        <v>27</v>
      </c>
      <c r="X4" s="2" t="s">
        <v>28</v>
      </c>
      <c r="Y4" s="2" t="s">
        <v>29</v>
      </c>
      <c r="Z4" s="2" t="s">
        <v>30</v>
      </c>
      <c r="AA4" s="2" t="s">
        <v>31</v>
      </c>
      <c r="AB4" s="2" t="s">
        <v>32</v>
      </c>
    </row>
    <row r="5">
      <c r="A5" s="15">
        <v>1</v>
      </c>
      <c r="B5" s="15" t="s">
        <v>33</v>
      </c>
      <c r="C5" s="15" t="s">
        <v>34</v>
      </c>
      <c r="D5" s="15" t="s">
        <v>35</v>
      </c>
      <c r="E5" s="15" t="s">
        <v>35</v>
      </c>
      <c r="F5" s="15" t="s">
        <v>35</v>
      </c>
      <c r="G5" s="15" t="s">
        <v>36</v>
      </c>
      <c r="H5" s="15" t="s">
        <v>37</v>
      </c>
      <c r="I5" s="15" t="s">
        <v>38</v>
      </c>
      <c r="J5" s="15" t="s">
        <v>39</v>
      </c>
      <c r="K5" s="15" t="s">
        <v>40</v>
      </c>
      <c r="L5" s="15" t="s">
        <v>41</v>
      </c>
      <c r="M5" s="15" t="s">
        <v>42</v>
      </c>
      <c r="N5" s="15" t="s">
        <v>43</v>
      </c>
      <c r="O5" s="15" t="s">
        <v>44</v>
      </c>
      <c r="P5" s="15" t="s">
        <v>45</v>
      </c>
      <c r="Q5" s="15" t="s">
        <v>46</v>
      </c>
      <c r="R5" s="16">
        <v>44329</v>
      </c>
      <c r="S5" s="17" t="s">
        <v>47</v>
      </c>
      <c r="T5" s="20">
        <f>HYPERLINK("https://vnm.spiral.com.vn//uploaded/20210513/848006f6-0a8a-4a63-bc1e-61723b21a152.JPEG","17:30:25")</f>
      </c>
      <c r="U5" s="18"/>
      <c r="V5" s="18" t="s">
        <v>35</v>
      </c>
      <c r="W5" s="15" t="s">
        <v>48</v>
      </c>
      <c r="X5" s="15" t="s">
        <v>35</v>
      </c>
      <c r="Y5" s="15" t="s">
        <v>35</v>
      </c>
      <c r="Z5" s="19">
        <v>0</v>
      </c>
      <c r="AA5" s="19">
        <v>0</v>
      </c>
      <c r="AB5" s="15" t="s">
        <v>35</v>
      </c>
    </row>
    <row r="6">
      <c r="A6" s="15">
        <v>2</v>
      </c>
      <c r="B6" s="15" t="s">
        <v>49</v>
      </c>
      <c r="C6" s="15" t="s">
        <v>50</v>
      </c>
      <c r="D6" s="15" t="s">
        <v>35</v>
      </c>
      <c r="E6" s="15" t="s">
        <v>35</v>
      </c>
      <c r="F6" s="15" t="s">
        <v>51</v>
      </c>
      <c r="G6" s="15" t="s">
        <v>36</v>
      </c>
      <c r="H6" s="15" t="s">
        <v>52</v>
      </c>
      <c r="I6" s="15" t="s">
        <v>53</v>
      </c>
      <c r="J6" s="15" t="s">
        <v>54</v>
      </c>
      <c r="K6" s="15" t="s">
        <v>40</v>
      </c>
      <c r="L6" s="15" t="s">
        <v>41</v>
      </c>
      <c r="M6" s="15" t="s">
        <v>55</v>
      </c>
      <c r="N6" s="15" t="s">
        <v>56</v>
      </c>
      <c r="O6" s="15" t="s">
        <v>44</v>
      </c>
      <c r="P6" s="15" t="s">
        <v>57</v>
      </c>
      <c r="Q6" s="15" t="s">
        <v>58</v>
      </c>
      <c r="R6" s="16">
        <v>44329</v>
      </c>
      <c r="S6" s="17" t="s">
        <v>59</v>
      </c>
      <c r="T6" s="20">
        <f>HYPERLINK("https://vnm.spiral.com.vn//uploaded/20210513/74970d47-faa0-4d0a-8b3f-b2d8486666b4.JPEG","13:15:05")</f>
      </c>
      <c r="U6" s="20">
        <f>HYPERLINK("https://vnm.spiral.com.vn//uploaded/20210513/7f0b5d66-339c-4c89-9fdf-346555edc5ce.JPEG","17:28:06")</f>
      </c>
      <c r="V6" s="18">
        <v>0.17570601851851853</v>
      </c>
      <c r="W6" s="15" t="s">
        <v>60</v>
      </c>
      <c r="X6" s="15" t="s">
        <v>60</v>
      </c>
      <c r="Y6" s="15" t="s">
        <v>35</v>
      </c>
      <c r="Z6" s="19">
        <v>0</v>
      </c>
      <c r="AA6" s="15">
        <v>0</v>
      </c>
      <c r="AB6" s="15" t="s">
        <v>35</v>
      </c>
    </row>
    <row r="7">
      <c r="A7" s="15">
        <v>3</v>
      </c>
      <c r="B7" s="15" t="s">
        <v>61</v>
      </c>
      <c r="C7" s="15" t="s">
        <v>62</v>
      </c>
      <c r="D7" s="15" t="s">
        <v>35</v>
      </c>
      <c r="E7" s="15" t="s">
        <v>35</v>
      </c>
      <c r="F7" s="15" t="s">
        <v>35</v>
      </c>
      <c r="G7" s="15" t="s">
        <v>36</v>
      </c>
      <c r="H7" s="15" t="s">
        <v>63</v>
      </c>
      <c r="I7" s="15" t="s">
        <v>64</v>
      </c>
      <c r="J7" s="15" t="s">
        <v>65</v>
      </c>
      <c r="K7" s="15" t="s">
        <v>40</v>
      </c>
      <c r="L7" s="15" t="s">
        <v>41</v>
      </c>
      <c r="M7" s="15" t="s">
        <v>66</v>
      </c>
      <c r="N7" s="15" t="s">
        <v>67</v>
      </c>
      <c r="O7" s="15" t="s">
        <v>44</v>
      </c>
      <c r="P7" s="15" t="s">
        <v>68</v>
      </c>
      <c r="Q7" s="15" t="s">
        <v>69</v>
      </c>
      <c r="R7" s="16">
        <v>44329</v>
      </c>
      <c r="S7" s="17" t="s">
        <v>70</v>
      </c>
      <c r="T7" s="20">
        <f>HYPERLINK("https://vnm.spiral.com.vn//uploaded/20210513/DE73981E-D440-485D-95AB-025FE8EBBB4B.jpg","07:07:34")</f>
      </c>
      <c r="U7" s="20">
        <f>HYPERLINK("https://vnm.spiral.com.vn//uploaded/20210513/85A28005-6254-4239-B89E-C3FB023112E5.jpg","17:28:00")</f>
      </c>
      <c r="V7" s="18">
        <v>0.4308564814814815</v>
      </c>
      <c r="W7" s="15" t="s">
        <v>71</v>
      </c>
      <c r="X7" s="15" t="s">
        <v>72</v>
      </c>
      <c r="Y7" s="15" t="s">
        <v>35</v>
      </c>
      <c r="Z7" s="19">
        <v>0</v>
      </c>
      <c r="AA7" s="15">
        <v>0</v>
      </c>
      <c r="AB7" s="15" t="s">
        <v>35</v>
      </c>
    </row>
    <row r="8">
      <c r="A8" s="15">
        <v>4</v>
      </c>
      <c r="B8" s="15" t="s">
        <v>33</v>
      </c>
      <c r="C8" s="15" t="s">
        <v>73</v>
      </c>
      <c r="D8" s="15" t="s">
        <v>35</v>
      </c>
      <c r="E8" s="15" t="s">
        <v>35</v>
      </c>
      <c r="F8" s="15" t="s">
        <v>35</v>
      </c>
      <c r="G8" s="15" t="s">
        <v>74</v>
      </c>
      <c r="H8" s="15" t="s">
        <v>75</v>
      </c>
      <c r="I8" s="15" t="s">
        <v>76</v>
      </c>
      <c r="J8" s="15" t="s">
        <v>77</v>
      </c>
      <c r="K8" s="15" t="s">
        <v>78</v>
      </c>
      <c r="L8" s="15" t="s">
        <v>79</v>
      </c>
      <c r="M8" s="15" t="s">
        <v>80</v>
      </c>
      <c r="N8" s="15" t="s">
        <v>81</v>
      </c>
      <c r="O8" s="15" t="s">
        <v>82</v>
      </c>
      <c r="P8" s="15" t="s">
        <v>83</v>
      </c>
      <c r="Q8" s="15" t="s">
        <v>84</v>
      </c>
      <c r="R8" s="16">
        <v>44329</v>
      </c>
      <c r="S8" s="17" t="s">
        <v>70</v>
      </c>
      <c r="T8" s="20">
        <f>HYPERLINK("https://vnm.spiral.com.vn//uploaded/20210513/c5f8c82b-8cb0-48ec-8481-b3d29826e2cc.JPEG","07:45:59")</f>
      </c>
      <c r="U8" s="20">
        <f>HYPERLINK("https://vnm.spiral.com.vn//uploaded/20210513/752b2f4a-f140-4cf3-9f1d-7747222a74ba.JPEG","17:27:49")</f>
      </c>
      <c r="V8" s="18">
        <v>0.40405092592592595</v>
      </c>
      <c r="W8" s="15" t="s">
        <v>85</v>
      </c>
      <c r="X8" s="15" t="s">
        <v>86</v>
      </c>
      <c r="Y8" s="15" t="s">
        <v>35</v>
      </c>
      <c r="Z8" s="19">
        <v>0</v>
      </c>
      <c r="AA8" s="15">
        <v>0</v>
      </c>
      <c r="AB8" s="15" t="s">
        <v>35</v>
      </c>
    </row>
    <row r="9">
      <c r="A9" s="15">
        <v>5</v>
      </c>
      <c r="B9" s="15" t="s">
        <v>87</v>
      </c>
      <c r="C9" s="15" t="s">
        <v>88</v>
      </c>
      <c r="D9" s="15" t="s">
        <v>89</v>
      </c>
      <c r="E9" s="15" t="s">
        <v>90</v>
      </c>
      <c r="F9" s="15" t="s">
        <v>35</v>
      </c>
      <c r="G9" s="15" t="s">
        <v>74</v>
      </c>
      <c r="H9" s="15" t="s">
        <v>91</v>
      </c>
      <c r="I9" s="15" t="s">
        <v>92</v>
      </c>
      <c r="J9" s="15" t="s">
        <v>93</v>
      </c>
      <c r="K9" s="15" t="s">
        <v>94</v>
      </c>
      <c r="L9" s="15" t="s">
        <v>95</v>
      </c>
      <c r="M9" s="15" t="s">
        <v>96</v>
      </c>
      <c r="N9" s="15" t="s">
        <v>97</v>
      </c>
      <c r="O9" s="15" t="s">
        <v>98</v>
      </c>
      <c r="P9" s="15" t="s">
        <v>99</v>
      </c>
      <c r="Q9" s="15" t="s">
        <v>100</v>
      </c>
      <c r="R9" s="16">
        <v>44329</v>
      </c>
      <c r="S9" s="17" t="s">
        <v>70</v>
      </c>
      <c r="T9" s="20">
        <f>HYPERLINK("https://vnm.spiral.com.vn//uploaded/20210513/59dbd158-5e5f-4f29-8c3f-e671b7426ec0.JPEG","15:02:34")</f>
      </c>
      <c r="U9" s="20">
        <f>HYPERLINK("https://vnm.spiral.com.vn//uploaded/20210513/54c73a7b-d719-4bed-a898-88aaa8184686.JPEG","17:27:44")</f>
      </c>
      <c r="V9" s="18">
        <v>0.10081018518518518</v>
      </c>
      <c r="W9" s="15" t="s">
        <v>101</v>
      </c>
      <c r="X9" s="15" t="s">
        <v>102</v>
      </c>
      <c r="Y9" s="15" t="s">
        <v>35</v>
      </c>
      <c r="Z9" s="19">
        <v>0</v>
      </c>
      <c r="AA9" s="15">
        <v>0</v>
      </c>
      <c r="AB9" s="15" t="s">
        <v>35</v>
      </c>
    </row>
    <row r="10">
      <c r="A10" s="15">
        <v>6</v>
      </c>
      <c r="B10" s="15" t="s">
        <v>103</v>
      </c>
      <c r="C10" s="15" t="s">
        <v>104</v>
      </c>
      <c r="D10" s="15" t="s">
        <v>35</v>
      </c>
      <c r="E10" s="15" t="s">
        <v>35</v>
      </c>
      <c r="F10" s="15" t="s">
        <v>35</v>
      </c>
      <c r="G10" s="15" t="s">
        <v>36</v>
      </c>
      <c r="H10" s="15" t="s">
        <v>105</v>
      </c>
      <c r="I10" s="15" t="s">
        <v>106</v>
      </c>
      <c r="J10" s="15" t="s">
        <v>107</v>
      </c>
      <c r="K10" s="15" t="s">
        <v>40</v>
      </c>
      <c r="L10" s="15" t="s">
        <v>41</v>
      </c>
      <c r="M10" s="15" t="s">
        <v>108</v>
      </c>
      <c r="N10" s="15" t="s">
        <v>109</v>
      </c>
      <c r="O10" s="15" t="s">
        <v>44</v>
      </c>
      <c r="P10" s="15" t="s">
        <v>110</v>
      </c>
      <c r="Q10" s="15" t="s">
        <v>111</v>
      </c>
      <c r="R10" s="16">
        <v>44329</v>
      </c>
      <c r="S10" s="17" t="s">
        <v>112</v>
      </c>
      <c r="T10" s="20">
        <f>HYPERLINK("https://vnm.spiral.com.vn//uploaded/20210513/ab4abb45-b6be-4cd0-8ef8-1b759acc24f7.JPEG","13:54:18")</f>
      </c>
      <c r="U10" s="20">
        <f>HYPERLINK("https://vnm.spiral.com.vn//uploaded/20210513/5349faf9-ea6e-4d5a-b825-7f756378c528.JPEG","17:27:37")</f>
      </c>
      <c r="V10" s="18">
        <v>0.14813657407407407</v>
      </c>
      <c r="W10" s="15" t="s">
        <v>113</v>
      </c>
      <c r="X10" s="15" t="s">
        <v>114</v>
      </c>
      <c r="Y10" s="15" t="s">
        <v>35</v>
      </c>
      <c r="Z10" s="19">
        <v>0</v>
      </c>
      <c r="AA10" s="15">
        <v>0</v>
      </c>
      <c r="AB10" s="15" t="s">
        <v>35</v>
      </c>
    </row>
    <row r="11">
      <c r="A11" s="15">
        <v>7</v>
      </c>
      <c r="B11" s="15" t="s">
        <v>87</v>
      </c>
      <c r="C11" s="15" t="s">
        <v>88</v>
      </c>
      <c r="D11" s="15" t="s">
        <v>115</v>
      </c>
      <c r="E11" s="15" t="s">
        <v>116</v>
      </c>
      <c r="F11" s="15" t="s">
        <v>35</v>
      </c>
      <c r="G11" s="15" t="s">
        <v>74</v>
      </c>
      <c r="H11" s="15" t="s">
        <v>117</v>
      </c>
      <c r="I11" s="15" t="s">
        <v>118</v>
      </c>
      <c r="J11" s="15" t="s">
        <v>119</v>
      </c>
      <c r="K11" s="15" t="s">
        <v>120</v>
      </c>
      <c r="L11" s="15" t="s">
        <v>121</v>
      </c>
      <c r="M11" s="15" t="s">
        <v>122</v>
      </c>
      <c r="N11" s="15" t="s">
        <v>123</v>
      </c>
      <c r="O11" s="15" t="s">
        <v>82</v>
      </c>
      <c r="P11" s="15" t="s">
        <v>124</v>
      </c>
      <c r="Q11" s="15" t="s">
        <v>125</v>
      </c>
      <c r="R11" s="16">
        <v>44329</v>
      </c>
      <c r="S11" s="17" t="s">
        <v>70</v>
      </c>
      <c r="T11" s="20">
        <f>HYPERLINK("https://vnm.spiral.com.vn//uploaded/20210513/6c014410-04c0-4756-985e-96c18b57813f.JPEG","15:58:52")</f>
      </c>
      <c r="U11" s="20">
        <f>HYPERLINK("https://vnm.spiral.com.vn//uploaded/20210513/ad8c31c4-d1c9-4a1e-9c5d-9d01cb0e494d.JPEG","17:27:32")</f>
      </c>
      <c r="V11" s="18">
        <v>0.06157407407407407</v>
      </c>
      <c r="W11" s="15" t="s">
        <v>126</v>
      </c>
      <c r="X11" s="15" t="s">
        <v>127</v>
      </c>
      <c r="Y11" s="15" t="s">
        <v>35</v>
      </c>
      <c r="Z11" s="19">
        <v>0</v>
      </c>
      <c r="AA11" s="15">
        <v>0</v>
      </c>
      <c r="AB11" s="15" t="s">
        <v>35</v>
      </c>
    </row>
    <row r="12">
      <c r="A12" s="15">
        <v>8</v>
      </c>
      <c r="B12" s="15" t="s">
        <v>61</v>
      </c>
      <c r="C12" s="15" t="s">
        <v>62</v>
      </c>
      <c r="D12" s="15" t="s">
        <v>35</v>
      </c>
      <c r="E12" s="15" t="s">
        <v>35</v>
      </c>
      <c r="F12" s="15" t="s">
        <v>35</v>
      </c>
      <c r="G12" s="15" t="s">
        <v>36</v>
      </c>
      <c r="H12" s="15" t="s">
        <v>128</v>
      </c>
      <c r="I12" s="15" t="s">
        <v>129</v>
      </c>
      <c r="J12" s="15" t="s">
        <v>130</v>
      </c>
      <c r="K12" s="15" t="s">
        <v>40</v>
      </c>
      <c r="L12" s="15" t="s">
        <v>41</v>
      </c>
      <c r="M12" s="15" t="s">
        <v>66</v>
      </c>
      <c r="N12" s="15" t="s">
        <v>67</v>
      </c>
      <c r="O12" s="15" t="s">
        <v>44</v>
      </c>
      <c r="P12" s="15" t="s">
        <v>131</v>
      </c>
      <c r="Q12" s="15" t="s">
        <v>132</v>
      </c>
      <c r="R12" s="16">
        <v>44329</v>
      </c>
      <c r="S12" s="17" t="s">
        <v>70</v>
      </c>
      <c r="T12" s="20">
        <f>HYPERLINK("https://vnm.spiral.com.vn//uploaded/20210513/46BC6CAC-B8E3-444A-8CAE-927382263B83.jpg","08:49:30")</f>
      </c>
      <c r="U12" s="20">
        <f>HYPERLINK("https://vnm.spiral.com.vn//uploaded/20210513/C4A15932-56AA-4DEA-998A-FC173BB70E85.jpg","17:27:09")</f>
      </c>
      <c r="V12" s="18">
        <v>0.3594791666666667</v>
      </c>
      <c r="W12" s="15" t="s">
        <v>133</v>
      </c>
      <c r="X12" s="15" t="s">
        <v>134</v>
      </c>
      <c r="Y12" s="15" t="s">
        <v>35</v>
      </c>
      <c r="Z12" s="19">
        <v>0</v>
      </c>
      <c r="AA12" s="15">
        <v>0</v>
      </c>
      <c r="AB12" s="15" t="s">
        <v>35</v>
      </c>
    </row>
    <row r="13">
      <c r="A13" s="15">
        <v>9</v>
      </c>
      <c r="B13" s="15" t="s">
        <v>87</v>
      </c>
      <c r="C13" s="15" t="s">
        <v>88</v>
      </c>
      <c r="D13" s="15" t="s">
        <v>135</v>
      </c>
      <c r="E13" s="15" t="s">
        <v>116</v>
      </c>
      <c r="F13" s="15" t="s">
        <v>35</v>
      </c>
      <c r="G13" s="15" t="s">
        <v>74</v>
      </c>
      <c r="H13" s="15" t="s">
        <v>136</v>
      </c>
      <c r="I13" s="15" t="s">
        <v>137</v>
      </c>
      <c r="J13" s="15" t="s">
        <v>138</v>
      </c>
      <c r="K13" s="15" t="s">
        <v>139</v>
      </c>
      <c r="L13" s="15" t="s">
        <v>140</v>
      </c>
      <c r="M13" s="15" t="s">
        <v>141</v>
      </c>
      <c r="N13" s="15" t="s">
        <v>142</v>
      </c>
      <c r="O13" s="15" t="s">
        <v>82</v>
      </c>
      <c r="P13" s="15" t="s">
        <v>143</v>
      </c>
      <c r="Q13" s="15" t="s">
        <v>144</v>
      </c>
      <c r="R13" s="16">
        <v>44329</v>
      </c>
      <c r="S13" s="17" t="s">
        <v>70</v>
      </c>
      <c r="T13" s="20">
        <f>HYPERLINK("https://vnm.spiral.com.vn//uploaded/20210513/fdabc8df-17a0-4676-8134-76755d680277.JPEG","15:13:44")</f>
      </c>
      <c r="U13" s="20">
        <f>HYPERLINK("https://vnm.spiral.com.vn//uploaded/20210513/4e5a9468-bdb7-4d98-8613-a01b823bff72.JPEG","17:26:44")</f>
      </c>
      <c r="V13" s="18">
        <v>0.09236111111111112</v>
      </c>
      <c r="W13" s="15" t="s">
        <v>145</v>
      </c>
      <c r="X13" s="15" t="s">
        <v>146</v>
      </c>
      <c r="Y13" s="15" t="s">
        <v>35</v>
      </c>
      <c r="Z13" s="19">
        <v>0</v>
      </c>
      <c r="AA13" s="15">
        <v>0</v>
      </c>
      <c r="AB13" s="15" t="s">
        <v>35</v>
      </c>
    </row>
    <row r="14">
      <c r="A14" s="15">
        <v>10</v>
      </c>
      <c r="B14" s="15" t="s">
        <v>61</v>
      </c>
      <c r="C14" s="15" t="s">
        <v>147</v>
      </c>
      <c r="D14" s="15" t="s">
        <v>148</v>
      </c>
      <c r="E14" s="15" t="s">
        <v>90</v>
      </c>
      <c r="F14" s="15" t="s">
        <v>35</v>
      </c>
      <c r="G14" s="15" t="s">
        <v>74</v>
      </c>
      <c r="H14" s="15" t="s">
        <v>149</v>
      </c>
      <c r="I14" s="15" t="s">
        <v>150</v>
      </c>
      <c r="J14" s="15" t="s">
        <v>151</v>
      </c>
      <c r="K14" s="15" t="s">
        <v>152</v>
      </c>
      <c r="L14" s="15" t="s">
        <v>153</v>
      </c>
      <c r="M14" s="15" t="s">
        <v>154</v>
      </c>
      <c r="N14" s="15" t="s">
        <v>155</v>
      </c>
      <c r="O14" s="15" t="s">
        <v>156</v>
      </c>
      <c r="P14" s="15" t="s">
        <v>157</v>
      </c>
      <c r="Q14" s="15" t="s">
        <v>158</v>
      </c>
      <c r="R14" s="16">
        <v>44329</v>
      </c>
      <c r="S14" s="17" t="s">
        <v>159</v>
      </c>
      <c r="T14" s="20">
        <f>HYPERLINK("https://vnm.spiral.com.vn//uploaded/20210513/20de8363-faf1-4059-b060-7bdc345536c3.JPEG","00:07:20")</f>
      </c>
      <c r="U14" s="20">
        <f>HYPERLINK("https://vnm.spiral.com.vn//uploaded/20210513/f3d8bc1a-61db-4e99-9879-45ce56dcfc44.JPEG","17:26:38")</f>
      </c>
      <c r="V14" s="18">
        <v>0.7217361111111111</v>
      </c>
      <c r="W14" s="15" t="s">
        <v>160</v>
      </c>
      <c r="X14" s="15" t="s">
        <v>161</v>
      </c>
      <c r="Y14" s="15" t="s">
        <v>35</v>
      </c>
      <c r="Z14" s="19">
        <v>0</v>
      </c>
      <c r="AA14" s="15">
        <v>0</v>
      </c>
      <c r="AB14" s="15" t="s">
        <v>35</v>
      </c>
    </row>
    <row r="15">
      <c r="A15" s="15">
        <v>11</v>
      </c>
      <c r="B15" s="15" t="s">
        <v>49</v>
      </c>
      <c r="C15" s="15" t="s">
        <v>162</v>
      </c>
      <c r="D15" s="15" t="s">
        <v>89</v>
      </c>
      <c r="E15" s="15" t="s">
        <v>90</v>
      </c>
      <c r="F15" s="15" t="s">
        <v>35</v>
      </c>
      <c r="G15" s="15" t="s">
        <v>74</v>
      </c>
      <c r="H15" s="15" t="s">
        <v>163</v>
      </c>
      <c r="I15" s="15" t="s">
        <v>164</v>
      </c>
      <c r="J15" s="15" t="s">
        <v>165</v>
      </c>
      <c r="K15" s="15" t="s">
        <v>166</v>
      </c>
      <c r="L15" s="15" t="s">
        <v>167</v>
      </c>
      <c r="M15" s="15" t="s">
        <v>168</v>
      </c>
      <c r="N15" s="15" t="s">
        <v>169</v>
      </c>
      <c r="O15" s="15" t="s">
        <v>156</v>
      </c>
      <c r="P15" s="15" t="s">
        <v>170</v>
      </c>
      <c r="Q15" s="15" t="s">
        <v>171</v>
      </c>
      <c r="R15" s="16">
        <v>44329</v>
      </c>
      <c r="S15" s="17" t="s">
        <v>172</v>
      </c>
      <c r="T15" s="20">
        <f>HYPERLINK("https://vnm.spiral.com.vn//uploaded/20210513/0b663794-6e42-459e-9ff2-71c473305f7c.JPEG","17:26:27")</f>
      </c>
      <c r="U15" s="18"/>
      <c r="V15" s="18" t="s">
        <v>35</v>
      </c>
      <c r="W15" s="15" t="s">
        <v>173</v>
      </c>
      <c r="X15" s="15" t="s">
        <v>35</v>
      </c>
      <c r="Y15" s="15" t="s">
        <v>35</v>
      </c>
      <c r="Z15" s="19">
        <v>0</v>
      </c>
      <c r="AA15" s="15">
        <v>0</v>
      </c>
      <c r="AB15" s="15" t="s">
        <v>35</v>
      </c>
    </row>
    <row r="16">
      <c r="A16" s="15">
        <v>12</v>
      </c>
      <c r="B16" s="15" t="s">
        <v>103</v>
      </c>
      <c r="C16" s="15" t="s">
        <v>174</v>
      </c>
      <c r="D16" s="15" t="s">
        <v>135</v>
      </c>
      <c r="E16" s="15" t="s">
        <v>116</v>
      </c>
      <c r="F16" s="15" t="s">
        <v>35</v>
      </c>
      <c r="G16" s="15" t="s">
        <v>74</v>
      </c>
      <c r="H16" s="15" t="s">
        <v>175</v>
      </c>
      <c r="I16" s="15" t="s">
        <v>176</v>
      </c>
      <c r="J16" s="15" t="s">
        <v>177</v>
      </c>
      <c r="K16" s="15" t="s">
        <v>178</v>
      </c>
      <c r="L16" s="15" t="s">
        <v>179</v>
      </c>
      <c r="M16" s="15" t="s">
        <v>180</v>
      </c>
      <c r="N16" s="15" t="s">
        <v>181</v>
      </c>
      <c r="O16" s="15" t="s">
        <v>82</v>
      </c>
      <c r="P16" s="15" t="s">
        <v>182</v>
      </c>
      <c r="Q16" s="15" t="s">
        <v>183</v>
      </c>
      <c r="R16" s="16">
        <v>44329</v>
      </c>
      <c r="S16" s="17" t="s">
        <v>70</v>
      </c>
      <c r="T16" s="20">
        <f>HYPERLINK("https://vnm.spiral.com.vn//uploaded/20210513/80712f5d-b842-4743-83bd-9adf6f85de01.JPEG","16:51:48")</f>
      </c>
      <c r="U16" s="20">
        <f>HYPERLINK("https://vnm.spiral.com.vn//uploaded/20210513/43f18537-49b7-43e8-8b9c-c1450eb95905.JPEG","17:26:19")</f>
      </c>
      <c r="V16" s="18">
        <v>0.02396990740740741</v>
      </c>
      <c r="W16" s="15" t="s">
        <v>184</v>
      </c>
      <c r="X16" s="15" t="s">
        <v>185</v>
      </c>
      <c r="Y16" s="15" t="s">
        <v>35</v>
      </c>
      <c r="Z16" s="19">
        <v>0</v>
      </c>
      <c r="AA16" s="15">
        <v>0</v>
      </c>
      <c r="AB16" s="15" t="s">
        <v>35</v>
      </c>
    </row>
    <row r="17">
      <c r="A17" s="15">
        <v>13</v>
      </c>
      <c r="B17" s="15" t="s">
        <v>103</v>
      </c>
      <c r="C17" s="15" t="s">
        <v>186</v>
      </c>
      <c r="D17" s="15" t="s">
        <v>89</v>
      </c>
      <c r="E17" s="15" t="s">
        <v>90</v>
      </c>
      <c r="F17" s="15" t="s">
        <v>35</v>
      </c>
      <c r="G17" s="15" t="s">
        <v>74</v>
      </c>
      <c r="H17" s="15" t="s">
        <v>187</v>
      </c>
      <c r="I17" s="15" t="s">
        <v>188</v>
      </c>
      <c r="J17" s="15" t="s">
        <v>189</v>
      </c>
      <c r="K17" s="15" t="s">
        <v>190</v>
      </c>
      <c r="L17" s="15" t="s">
        <v>191</v>
      </c>
      <c r="M17" s="15" t="s">
        <v>178</v>
      </c>
      <c r="N17" s="15" t="s">
        <v>179</v>
      </c>
      <c r="O17" s="15" t="s">
        <v>98</v>
      </c>
      <c r="P17" s="15" t="s">
        <v>180</v>
      </c>
      <c r="Q17" s="15" t="s">
        <v>181</v>
      </c>
      <c r="R17" s="16">
        <v>44329</v>
      </c>
      <c r="S17" s="17" t="s">
        <v>70</v>
      </c>
      <c r="T17" s="20">
        <f>HYPERLINK("https://vnm.spiral.com.vn//uploaded/20210513/76307DC6-F02F-4286-82AA-30A380F25157.jpg","07:54:05")</f>
      </c>
      <c r="U17" s="20">
        <f>HYPERLINK("https://vnm.spiral.com.vn//uploaded/20210513/AC644095-62E8-450C-96B1-3BDD265086CE.jpg","17:25:50")</f>
      </c>
      <c r="V17" s="18">
        <v>0.3970486111111111</v>
      </c>
      <c r="W17" s="15" t="s">
        <v>192</v>
      </c>
      <c r="X17" s="15" t="s">
        <v>193</v>
      </c>
      <c r="Y17" s="15" t="s">
        <v>35</v>
      </c>
      <c r="Z17" s="19">
        <v>0</v>
      </c>
      <c r="AA17" s="15">
        <v>0</v>
      </c>
      <c r="AB17" s="15" t="s">
        <v>35</v>
      </c>
    </row>
    <row r="18">
      <c r="A18" s="15">
        <v>14</v>
      </c>
      <c r="B18" s="15" t="s">
        <v>103</v>
      </c>
      <c r="C18" s="15" t="s">
        <v>174</v>
      </c>
      <c r="D18" s="15" t="s">
        <v>35</v>
      </c>
      <c r="E18" s="15" t="s">
        <v>35</v>
      </c>
      <c r="F18" s="15" t="s">
        <v>35</v>
      </c>
      <c r="G18" s="15" t="s">
        <v>36</v>
      </c>
      <c r="H18" s="15" t="s">
        <v>194</v>
      </c>
      <c r="I18" s="15" t="s">
        <v>195</v>
      </c>
      <c r="J18" s="15" t="s">
        <v>196</v>
      </c>
      <c r="K18" s="15" t="s">
        <v>40</v>
      </c>
      <c r="L18" s="15" t="s">
        <v>41</v>
      </c>
      <c r="M18" s="15" t="s">
        <v>108</v>
      </c>
      <c r="N18" s="15" t="s">
        <v>109</v>
      </c>
      <c r="O18" s="15" t="s">
        <v>44</v>
      </c>
      <c r="P18" s="15" t="s">
        <v>197</v>
      </c>
      <c r="Q18" s="15" t="s">
        <v>198</v>
      </c>
      <c r="R18" s="16">
        <v>44329</v>
      </c>
      <c r="S18" s="17" t="s">
        <v>70</v>
      </c>
      <c r="T18" s="20">
        <f>HYPERLINK("https://vnm.spiral.com.vn//uploaded/20210513/af2a4d85-b597-482f-8c4f-84e4f7bac39a.JPEG","06:57:59")</f>
      </c>
      <c r="U18" s="20">
        <f>HYPERLINK("https://vnm.spiral.com.vn//uploaded/20210513/0a75b85b-dd8e-49fc-a67d-c6cfa7bd48c2.JPEG","17:25:50")</f>
      </c>
      <c r="V18" s="18">
        <v>0.43600694444444443</v>
      </c>
      <c r="W18" s="15" t="s">
        <v>199</v>
      </c>
      <c r="X18" s="15" t="s">
        <v>200</v>
      </c>
      <c r="Y18" s="15" t="s">
        <v>35</v>
      </c>
      <c r="Z18" s="19">
        <v>0</v>
      </c>
      <c r="AA18" s="15">
        <v>0</v>
      </c>
      <c r="AB18" s="15" t="s">
        <v>35</v>
      </c>
    </row>
    <row r="19">
      <c r="A19" s="15">
        <v>15</v>
      </c>
      <c r="B19" s="15" t="s">
        <v>61</v>
      </c>
      <c r="C19" s="15" t="s">
        <v>201</v>
      </c>
      <c r="D19" s="15" t="s">
        <v>35</v>
      </c>
      <c r="E19" s="15" t="s">
        <v>35</v>
      </c>
      <c r="F19" s="15" t="s">
        <v>35</v>
      </c>
      <c r="G19" s="15" t="s">
        <v>36</v>
      </c>
      <c r="H19" s="15" t="s">
        <v>202</v>
      </c>
      <c r="I19" s="15" t="s">
        <v>203</v>
      </c>
      <c r="J19" s="15" t="s">
        <v>204</v>
      </c>
      <c r="K19" s="15" t="s">
        <v>40</v>
      </c>
      <c r="L19" s="15" t="s">
        <v>41</v>
      </c>
      <c r="M19" s="15" t="s">
        <v>205</v>
      </c>
      <c r="N19" s="15" t="s">
        <v>206</v>
      </c>
      <c r="O19" s="15" t="s">
        <v>44</v>
      </c>
      <c r="P19" s="15" t="s">
        <v>207</v>
      </c>
      <c r="Q19" s="15" t="s">
        <v>208</v>
      </c>
      <c r="R19" s="16">
        <v>44329</v>
      </c>
      <c r="S19" s="17" t="s">
        <v>70</v>
      </c>
      <c r="T19" s="20">
        <f>HYPERLINK("https://vnm.spiral.com.vn//uploaded/20210513/F29AC09C-095C-4552-8C06-0027CF13BF00.jpg","07:31:14")</f>
      </c>
      <c r="U19" s="20">
        <f>HYPERLINK("https://vnm.spiral.com.vn//uploaded/20210513/608CBC36-728B-48DE-9BF7-6915583110F5.jpg","17:25:21")</f>
      </c>
      <c r="V19" s="18">
        <v>0.4125810185185185</v>
      </c>
      <c r="W19" s="15" t="s">
        <v>209</v>
      </c>
      <c r="X19" s="15" t="s">
        <v>210</v>
      </c>
      <c r="Y19" s="15" t="s">
        <v>35</v>
      </c>
      <c r="Z19" s="19">
        <v>0</v>
      </c>
      <c r="AA19" s="15">
        <v>0</v>
      </c>
      <c r="AB19" s="15" t="s">
        <v>35</v>
      </c>
    </row>
    <row r="20">
      <c r="A20" s="15">
        <v>16</v>
      </c>
      <c r="B20" s="15" t="s">
        <v>33</v>
      </c>
      <c r="C20" s="15" t="s">
        <v>211</v>
      </c>
      <c r="D20" s="15" t="s">
        <v>35</v>
      </c>
      <c r="E20" s="15" t="s">
        <v>35</v>
      </c>
      <c r="F20" s="15" t="s">
        <v>35</v>
      </c>
      <c r="G20" s="15" t="s">
        <v>36</v>
      </c>
      <c r="H20" s="15" t="s">
        <v>212</v>
      </c>
      <c r="I20" s="15" t="s">
        <v>213</v>
      </c>
      <c r="J20" s="15" t="s">
        <v>214</v>
      </c>
      <c r="K20" s="15" t="s">
        <v>40</v>
      </c>
      <c r="L20" s="15" t="s">
        <v>41</v>
      </c>
      <c r="M20" s="15" t="s">
        <v>42</v>
      </c>
      <c r="N20" s="15" t="s">
        <v>43</v>
      </c>
      <c r="O20" s="15" t="s">
        <v>44</v>
      </c>
      <c r="P20" s="15" t="s">
        <v>215</v>
      </c>
      <c r="Q20" s="15" t="s">
        <v>216</v>
      </c>
      <c r="R20" s="16">
        <v>44329</v>
      </c>
      <c r="S20" s="17" t="s">
        <v>70</v>
      </c>
      <c r="T20" s="20">
        <f>HYPERLINK("https://vnm.spiral.com.vn//uploaded/20210513/26721158-1FEA-45D2-A919-711029F67F33.jpg","07:29:21")</f>
      </c>
      <c r="U20" s="20">
        <f>HYPERLINK("https://vnm.spiral.com.vn//uploaded/20210513/6494C5EB-DDCE-4C33-AF2E-E6C2B291FEE9.jpg","17:24:54")</f>
      </c>
      <c r="V20" s="18">
        <v>0.41357638888888887</v>
      </c>
      <c r="W20" s="15" t="s">
        <v>217</v>
      </c>
      <c r="X20" s="15" t="s">
        <v>218</v>
      </c>
      <c r="Y20" s="15" t="s">
        <v>35</v>
      </c>
      <c r="Z20" s="19">
        <v>0</v>
      </c>
      <c r="AA20" s="15">
        <v>0</v>
      </c>
      <c r="AB20" s="15" t="s">
        <v>35</v>
      </c>
    </row>
    <row r="21">
      <c r="A21" s="15">
        <v>17</v>
      </c>
      <c r="B21" s="15" t="s">
        <v>33</v>
      </c>
      <c r="C21" s="15" t="s">
        <v>219</v>
      </c>
      <c r="D21" s="15" t="s">
        <v>35</v>
      </c>
      <c r="E21" s="15" t="s">
        <v>35</v>
      </c>
      <c r="F21" s="15" t="s">
        <v>35</v>
      </c>
      <c r="G21" s="15" t="s">
        <v>36</v>
      </c>
      <c r="H21" s="15" t="s">
        <v>220</v>
      </c>
      <c r="I21" s="15" t="s">
        <v>221</v>
      </c>
      <c r="J21" s="15" t="s">
        <v>222</v>
      </c>
      <c r="K21" s="15" t="s">
        <v>40</v>
      </c>
      <c r="L21" s="15" t="s">
        <v>41</v>
      </c>
      <c r="M21" s="15" t="s">
        <v>42</v>
      </c>
      <c r="N21" s="15" t="s">
        <v>43</v>
      </c>
      <c r="O21" s="15" t="s">
        <v>44</v>
      </c>
      <c r="P21" s="15" t="s">
        <v>223</v>
      </c>
      <c r="Q21" s="15" t="s">
        <v>224</v>
      </c>
      <c r="R21" s="16">
        <v>44329</v>
      </c>
      <c r="S21" s="17" t="s">
        <v>225</v>
      </c>
      <c r="T21" s="20">
        <f>HYPERLINK("https://vnm.spiral.com.vn//uploaded/20210513/AF2C8030-EAB4-4F1B-BC17-8BFE9A2A7B97.jpg","07:36:06")</f>
      </c>
      <c r="U21" s="20">
        <f>HYPERLINK("https://vnm.spiral.com.vn//uploaded/20210513/92F26BFE-26EB-4BF3-BC00-85502C4A59A0.jpg","17:24:14")</f>
      </c>
      <c r="V21" s="18">
        <v>0.4084259259259259</v>
      </c>
      <c r="W21" s="15" t="s">
        <v>226</v>
      </c>
      <c r="X21" s="15" t="s">
        <v>227</v>
      </c>
      <c r="Y21" s="15" t="s">
        <v>35</v>
      </c>
      <c r="Z21" s="19">
        <v>0</v>
      </c>
      <c r="AA21" s="15">
        <v>0</v>
      </c>
      <c r="AB21" s="15" t="s">
        <v>35</v>
      </c>
    </row>
    <row r="22">
      <c r="A22" s="15">
        <v>18</v>
      </c>
      <c r="B22" s="15" t="s">
        <v>61</v>
      </c>
      <c r="C22" s="15" t="s">
        <v>228</v>
      </c>
      <c r="D22" s="15" t="s">
        <v>135</v>
      </c>
      <c r="E22" s="15" t="s">
        <v>116</v>
      </c>
      <c r="F22" s="15" t="s">
        <v>35</v>
      </c>
      <c r="G22" s="15" t="s">
        <v>74</v>
      </c>
      <c r="H22" s="15" t="s">
        <v>229</v>
      </c>
      <c r="I22" s="15" t="s">
        <v>230</v>
      </c>
      <c r="J22" s="15" t="s">
        <v>231</v>
      </c>
      <c r="K22" s="15" t="s">
        <v>152</v>
      </c>
      <c r="L22" s="15" t="s">
        <v>153</v>
      </c>
      <c r="M22" s="15" t="s">
        <v>232</v>
      </c>
      <c r="N22" s="15" t="s">
        <v>233</v>
      </c>
      <c r="O22" s="15" t="s">
        <v>82</v>
      </c>
      <c r="P22" s="15" t="s">
        <v>234</v>
      </c>
      <c r="Q22" s="15" t="s">
        <v>235</v>
      </c>
      <c r="R22" s="16">
        <v>44329</v>
      </c>
      <c r="S22" s="17" t="s">
        <v>35</v>
      </c>
      <c r="T22" s="20">
        <f>HYPERLINK("https://vnm.spiral.com.vn//uploaded/20210513/03ee229d-06bb-48e9-a85a-149fa37f94cc.JPEG","15:33:43")</f>
      </c>
      <c r="U22" s="20">
        <f>HYPERLINK("https://vnm.spiral.com.vn//uploaded/20210513/bb516dd4-54e9-4cff-8d28-ffc50f3bd73f.JPEG","17:24:03")</f>
      </c>
      <c r="V22" s="18">
        <v>0.07662037037037037</v>
      </c>
      <c r="W22" s="15" t="s">
        <v>236</v>
      </c>
      <c r="X22" s="15" t="s">
        <v>237</v>
      </c>
      <c r="Y22" s="15" t="s">
        <v>35</v>
      </c>
      <c r="Z22" s="19">
        <v>0</v>
      </c>
      <c r="AA22" s="15">
        <v>0</v>
      </c>
      <c r="AB22" s="15" t="s">
        <v>35</v>
      </c>
    </row>
    <row r="23">
      <c r="A23" s="15">
        <v>19</v>
      </c>
      <c r="B23" s="15" t="s">
        <v>61</v>
      </c>
      <c r="C23" s="15" t="s">
        <v>147</v>
      </c>
      <c r="D23" s="15" t="s">
        <v>35</v>
      </c>
      <c r="E23" s="15" t="s">
        <v>35</v>
      </c>
      <c r="F23" s="15" t="s">
        <v>35</v>
      </c>
      <c r="G23" s="15" t="s">
        <v>36</v>
      </c>
      <c r="H23" s="15" t="s">
        <v>238</v>
      </c>
      <c r="I23" s="15" t="s">
        <v>239</v>
      </c>
      <c r="J23" s="15" t="s">
        <v>240</v>
      </c>
      <c r="K23" s="15" t="s">
        <v>40</v>
      </c>
      <c r="L23" s="15" t="s">
        <v>41</v>
      </c>
      <c r="M23" s="15" t="s">
        <v>66</v>
      </c>
      <c r="N23" s="15" t="s">
        <v>67</v>
      </c>
      <c r="O23" s="15" t="s">
        <v>44</v>
      </c>
      <c r="P23" s="15" t="s">
        <v>241</v>
      </c>
      <c r="Q23" s="15" t="s">
        <v>242</v>
      </c>
      <c r="R23" s="16">
        <v>44329</v>
      </c>
      <c r="S23" s="17" t="s">
        <v>243</v>
      </c>
      <c r="T23" s="20">
        <f>HYPERLINK("https://vnm.spiral.com.vn//uploaded/20210513/720719d0-696b-4a4d-8bcc-4c14b174da5a.JPEG","07:27:19")</f>
      </c>
      <c r="U23" s="20">
        <f>HYPERLINK("https://vnm.spiral.com.vn//uploaded/20210513/0049c8ec-31ad-48d4-99fc-d4ccbb565409.JPEG","17:23:58")</f>
      </c>
      <c r="V23" s="18">
        <v>0.41434027777777777</v>
      </c>
      <c r="W23" s="15" t="s">
        <v>244</v>
      </c>
      <c r="X23" s="15" t="s">
        <v>245</v>
      </c>
      <c r="Y23" s="15" t="s">
        <v>35</v>
      </c>
      <c r="Z23" s="19">
        <v>0</v>
      </c>
      <c r="AA23" s="15">
        <v>0</v>
      </c>
      <c r="AB23" s="15" t="s">
        <v>35</v>
      </c>
    </row>
    <row r="24">
      <c r="A24" s="15">
        <v>20</v>
      </c>
      <c r="B24" s="15" t="s">
        <v>246</v>
      </c>
      <c r="C24" s="15" t="s">
        <v>247</v>
      </c>
      <c r="D24" s="15" t="s">
        <v>35</v>
      </c>
      <c r="E24" s="15" t="s">
        <v>35</v>
      </c>
      <c r="F24" s="15" t="s">
        <v>248</v>
      </c>
      <c r="G24" s="15" t="s">
        <v>36</v>
      </c>
      <c r="H24" s="15" t="s">
        <v>249</v>
      </c>
      <c r="I24" s="15" t="s">
        <v>250</v>
      </c>
      <c r="J24" s="15" t="s">
        <v>251</v>
      </c>
      <c r="K24" s="15" t="s">
        <v>40</v>
      </c>
      <c r="L24" s="15" t="s">
        <v>41</v>
      </c>
      <c r="M24" s="15" t="s">
        <v>252</v>
      </c>
      <c r="N24" s="15" t="s">
        <v>253</v>
      </c>
      <c r="O24" s="15" t="s">
        <v>44</v>
      </c>
      <c r="P24" s="15" t="s">
        <v>254</v>
      </c>
      <c r="Q24" s="15" t="s">
        <v>255</v>
      </c>
      <c r="R24" s="16">
        <v>44329</v>
      </c>
      <c r="S24" s="17" t="s">
        <v>256</v>
      </c>
      <c r="T24" s="20">
        <f>HYPERLINK("https://vnm.spiral.com.vn//uploaded/20210513/891d8470-df64-43d1-b970-a9beb03e50af.JPEG","07:23:24")</f>
      </c>
      <c r="U24" s="20">
        <f>HYPERLINK("https://vnm.spiral.com.vn//uploaded/20210513/f0ceb7c6-f31d-4f14-92cf-44f527f93059.JPEG","17:23:43")</f>
      </c>
      <c r="V24" s="18">
        <v>0.4168865740740741</v>
      </c>
      <c r="W24" s="15" t="s">
        <v>257</v>
      </c>
      <c r="X24" s="15" t="s">
        <v>258</v>
      </c>
      <c r="Y24" s="15" t="s">
        <v>35</v>
      </c>
      <c r="Z24" s="19">
        <v>0</v>
      </c>
      <c r="AA24" s="15">
        <v>0</v>
      </c>
      <c r="AB24" s="15" t="s">
        <v>35</v>
      </c>
    </row>
    <row r="25">
      <c r="A25" s="15">
        <v>21</v>
      </c>
      <c r="B25" s="15" t="s">
        <v>246</v>
      </c>
      <c r="C25" s="15" t="s">
        <v>259</v>
      </c>
      <c r="D25" s="15" t="s">
        <v>89</v>
      </c>
      <c r="E25" s="15" t="s">
        <v>90</v>
      </c>
      <c r="F25" s="15" t="s">
        <v>35</v>
      </c>
      <c r="G25" s="15" t="s">
        <v>74</v>
      </c>
      <c r="H25" s="15" t="s">
        <v>260</v>
      </c>
      <c r="I25" s="15" t="s">
        <v>261</v>
      </c>
      <c r="J25" s="15" t="s">
        <v>262</v>
      </c>
      <c r="K25" s="15" t="s">
        <v>166</v>
      </c>
      <c r="L25" s="15" t="s">
        <v>167</v>
      </c>
      <c r="M25" s="15" t="s">
        <v>263</v>
      </c>
      <c r="N25" s="15" t="s">
        <v>264</v>
      </c>
      <c r="O25" s="15" t="s">
        <v>156</v>
      </c>
      <c r="P25" s="15" t="s">
        <v>265</v>
      </c>
      <c r="Q25" s="15" t="s">
        <v>266</v>
      </c>
      <c r="R25" s="16">
        <v>44329</v>
      </c>
      <c r="S25" s="17" t="s">
        <v>47</v>
      </c>
      <c r="T25" s="20">
        <f>HYPERLINK("https://vnm.spiral.com.vn//uploaded/20210513/88905757-297D-4971-ACE1-7CE7E1D906DE.jpg","17:23:24")</f>
      </c>
      <c r="U25" s="18"/>
      <c r="V25" s="18" t="s">
        <v>35</v>
      </c>
      <c r="W25" s="15" t="s">
        <v>267</v>
      </c>
      <c r="X25" s="15" t="s">
        <v>35</v>
      </c>
      <c r="Y25" s="15" t="s">
        <v>35</v>
      </c>
      <c r="Z25" s="19">
        <v>0</v>
      </c>
      <c r="AA25" s="15">
        <v>0</v>
      </c>
      <c r="AB25" s="15" t="s">
        <v>35</v>
      </c>
    </row>
    <row r="26">
      <c r="A26" s="15">
        <v>22</v>
      </c>
      <c r="B26" s="15" t="s">
        <v>61</v>
      </c>
      <c r="C26" s="15" t="s">
        <v>62</v>
      </c>
      <c r="D26" s="15" t="s">
        <v>35</v>
      </c>
      <c r="E26" s="15" t="s">
        <v>35</v>
      </c>
      <c r="F26" s="15" t="s">
        <v>35</v>
      </c>
      <c r="G26" s="15" t="s">
        <v>36</v>
      </c>
      <c r="H26" s="15" t="s">
        <v>268</v>
      </c>
      <c r="I26" s="15" t="s">
        <v>269</v>
      </c>
      <c r="J26" s="15" t="s">
        <v>270</v>
      </c>
      <c r="K26" s="15" t="s">
        <v>40</v>
      </c>
      <c r="L26" s="15" t="s">
        <v>41</v>
      </c>
      <c r="M26" s="15" t="s">
        <v>66</v>
      </c>
      <c r="N26" s="15" t="s">
        <v>67</v>
      </c>
      <c r="O26" s="15" t="s">
        <v>44</v>
      </c>
      <c r="P26" s="15" t="s">
        <v>271</v>
      </c>
      <c r="Q26" s="15" t="s">
        <v>272</v>
      </c>
      <c r="R26" s="16">
        <v>44329</v>
      </c>
      <c r="S26" s="17" t="s">
        <v>273</v>
      </c>
      <c r="T26" s="20">
        <f>HYPERLINK("https://vnm.spiral.com.vn//uploaded/20210513/dece1bf4-079b-4121-b6fb-0e31ad6b7afc.JPEG","08:03:42")</f>
      </c>
      <c r="U26" s="20">
        <f>HYPERLINK("https://vnm.spiral.com.vn//uploaded/20210513/f94122f3-1038-4348-8262-1bd6c2b07fb7.JPEG","17:23:19")</f>
      </c>
      <c r="V26" s="18">
        <v>0.38862268518518517</v>
      </c>
      <c r="W26" s="15" t="s">
        <v>274</v>
      </c>
      <c r="X26" s="15" t="s">
        <v>275</v>
      </c>
      <c r="Y26" s="15" t="s">
        <v>35</v>
      </c>
      <c r="Z26" s="19">
        <v>0</v>
      </c>
      <c r="AA26" s="15">
        <v>0</v>
      </c>
      <c r="AB26" s="15" t="s">
        <v>35</v>
      </c>
    </row>
    <row r="27">
      <c r="A27" s="15">
        <v>23</v>
      </c>
      <c r="B27" s="15" t="s">
        <v>246</v>
      </c>
      <c r="C27" s="15" t="s">
        <v>276</v>
      </c>
      <c r="D27" s="15" t="s">
        <v>89</v>
      </c>
      <c r="E27" s="15" t="s">
        <v>90</v>
      </c>
      <c r="F27" s="15" t="s">
        <v>35</v>
      </c>
      <c r="G27" s="15" t="s">
        <v>74</v>
      </c>
      <c r="H27" s="15" t="s">
        <v>277</v>
      </c>
      <c r="I27" s="15" t="s">
        <v>278</v>
      </c>
      <c r="J27" s="15" t="s">
        <v>279</v>
      </c>
      <c r="K27" s="15" t="s">
        <v>263</v>
      </c>
      <c r="L27" s="15" t="s">
        <v>264</v>
      </c>
      <c r="M27" s="15" t="s">
        <v>280</v>
      </c>
      <c r="N27" s="15" t="s">
        <v>281</v>
      </c>
      <c r="O27" s="15" t="s">
        <v>156</v>
      </c>
      <c r="P27" s="15" t="s">
        <v>282</v>
      </c>
      <c r="Q27" s="15" t="s">
        <v>283</v>
      </c>
      <c r="R27" s="16">
        <v>44329</v>
      </c>
      <c r="S27" s="17" t="s">
        <v>284</v>
      </c>
      <c r="T27" s="20">
        <f>HYPERLINK("https://vnm.spiral.com.vn//uploaded/20210513/9bc51a63-f7e2-432d-96db-8697e6e3455a.JPEG","17:23:18")</f>
      </c>
      <c r="U27" s="18"/>
      <c r="V27" s="18" t="s">
        <v>35</v>
      </c>
      <c r="W27" s="15" t="s">
        <v>285</v>
      </c>
      <c r="X27" s="15" t="s">
        <v>35</v>
      </c>
      <c r="Y27" s="15" t="s">
        <v>35</v>
      </c>
      <c r="Z27" s="19">
        <v>0</v>
      </c>
      <c r="AA27" s="15">
        <v>0</v>
      </c>
      <c r="AB27" s="15" t="s">
        <v>35</v>
      </c>
    </row>
    <row r="28">
      <c r="A28" s="15">
        <v>24</v>
      </c>
      <c r="B28" s="15" t="s">
        <v>87</v>
      </c>
      <c r="C28" s="15" t="s">
        <v>88</v>
      </c>
      <c r="D28" s="15" t="s">
        <v>35</v>
      </c>
      <c r="E28" s="15" t="s">
        <v>35</v>
      </c>
      <c r="F28" s="15" t="s">
        <v>35</v>
      </c>
      <c r="G28" s="15" t="s">
        <v>36</v>
      </c>
      <c r="H28" s="15" t="s">
        <v>286</v>
      </c>
      <c r="I28" s="15" t="s">
        <v>287</v>
      </c>
      <c r="J28" s="15" t="s">
        <v>288</v>
      </c>
      <c r="K28" s="15" t="s">
        <v>40</v>
      </c>
      <c r="L28" s="15" t="s">
        <v>41</v>
      </c>
      <c r="M28" s="15" t="s">
        <v>289</v>
      </c>
      <c r="N28" s="15" t="s">
        <v>290</v>
      </c>
      <c r="O28" s="15" t="s">
        <v>44</v>
      </c>
      <c r="P28" s="15" t="s">
        <v>291</v>
      </c>
      <c r="Q28" s="15" t="s">
        <v>292</v>
      </c>
      <c r="R28" s="16">
        <v>44329</v>
      </c>
      <c r="S28" s="17" t="s">
        <v>293</v>
      </c>
      <c r="T28" s="20">
        <f>HYPERLINK("https://vnm.spiral.com.vn//uploaded/20210513/35F4DEA8-43A9-4B01-9CBC-130D843DC996.jpg","07:17:13")</f>
      </c>
      <c r="U28" s="20">
        <f>HYPERLINK("https://vnm.spiral.com.vn//uploaded/20210513/1DD9B888-8A5E-4D00-9913-73E5C7B0D2F2.jpg","17:23:10")</f>
      </c>
      <c r="V28" s="18">
        <v>0.4207986111111111</v>
      </c>
      <c r="W28" s="15" t="s">
        <v>294</v>
      </c>
      <c r="X28" s="15" t="s">
        <v>295</v>
      </c>
      <c r="Y28" s="15" t="s">
        <v>35</v>
      </c>
      <c r="Z28" s="19">
        <v>0</v>
      </c>
      <c r="AA28" s="15">
        <v>0</v>
      </c>
      <c r="AB28" s="15" t="s">
        <v>35</v>
      </c>
    </row>
    <row r="29">
      <c r="A29" s="15">
        <v>25</v>
      </c>
      <c r="B29" s="15" t="s">
        <v>33</v>
      </c>
      <c r="C29" s="15" t="s">
        <v>211</v>
      </c>
      <c r="D29" s="15" t="s">
        <v>35</v>
      </c>
      <c r="E29" s="15" t="s">
        <v>35</v>
      </c>
      <c r="F29" s="15" t="s">
        <v>35</v>
      </c>
      <c r="G29" s="15" t="s">
        <v>36</v>
      </c>
      <c r="H29" s="15" t="s">
        <v>296</v>
      </c>
      <c r="I29" s="15" t="s">
        <v>297</v>
      </c>
      <c r="J29" s="15" t="s">
        <v>298</v>
      </c>
      <c r="K29" s="15" t="s">
        <v>40</v>
      </c>
      <c r="L29" s="15" t="s">
        <v>41</v>
      </c>
      <c r="M29" s="15" t="s">
        <v>42</v>
      </c>
      <c r="N29" s="15" t="s">
        <v>43</v>
      </c>
      <c r="O29" s="15" t="s">
        <v>44</v>
      </c>
      <c r="P29" s="15" t="s">
        <v>299</v>
      </c>
      <c r="Q29" s="15" t="s">
        <v>300</v>
      </c>
      <c r="R29" s="16">
        <v>44329</v>
      </c>
      <c r="S29" s="17" t="s">
        <v>70</v>
      </c>
      <c r="T29" s="20">
        <f>HYPERLINK("https://vnm.spiral.com.vn//uploaded/20210513/ED6BD787-F3D5-4A1A-A92E-1BD56B4C9DCA.jpg","07:55:25")</f>
      </c>
      <c r="U29" s="20">
        <f>HYPERLINK("https://vnm.spiral.com.vn//uploaded/20210513/36F5ADE9-6555-457D-A8C9-7950FDECCCDF.jpg","17:23:06")</f>
      </c>
      <c r="V29" s="18">
        <v>0.394224537037037</v>
      </c>
      <c r="W29" s="15" t="s">
        <v>301</v>
      </c>
      <c r="X29" s="15" t="s">
        <v>302</v>
      </c>
      <c r="Y29" s="15" t="s">
        <v>35</v>
      </c>
      <c r="Z29" s="19">
        <v>0</v>
      </c>
      <c r="AA29" s="15">
        <v>0</v>
      </c>
      <c r="AB29" s="15" t="s">
        <v>35</v>
      </c>
    </row>
    <row r="30">
      <c r="A30" s="15">
        <v>26</v>
      </c>
      <c r="B30" s="15" t="s">
        <v>61</v>
      </c>
      <c r="C30" s="15" t="s">
        <v>303</v>
      </c>
      <c r="D30" s="15" t="s">
        <v>304</v>
      </c>
      <c r="E30" s="15" t="s">
        <v>305</v>
      </c>
      <c r="F30" s="15" t="s">
        <v>35</v>
      </c>
      <c r="G30" s="15" t="s">
        <v>74</v>
      </c>
      <c r="H30" s="15" t="s">
        <v>306</v>
      </c>
      <c r="I30" s="15" t="s">
        <v>307</v>
      </c>
      <c r="J30" s="15" t="s">
        <v>308</v>
      </c>
      <c r="K30" s="15" t="s">
        <v>309</v>
      </c>
      <c r="L30" s="15" t="s">
        <v>310</v>
      </c>
      <c r="M30" s="15" t="s">
        <v>311</v>
      </c>
      <c r="N30" s="15" t="s">
        <v>312</v>
      </c>
      <c r="O30" s="15" t="s">
        <v>156</v>
      </c>
      <c r="P30" s="15" t="s">
        <v>313</v>
      </c>
      <c r="Q30" s="15" t="s">
        <v>314</v>
      </c>
      <c r="R30" s="16">
        <v>44329</v>
      </c>
      <c r="S30" s="17" t="s">
        <v>70</v>
      </c>
      <c r="T30" s="20">
        <f>HYPERLINK("https://vnm.spiral.com.vn//uploaded/20210513/c139f283-e671-4e7e-93c5-c72658176ffb.JPEG","07:57:30")</f>
      </c>
      <c r="U30" s="20">
        <f>HYPERLINK("https://vnm.spiral.com.vn//uploaded/20210513/4ae5b746-cdde-4f55-b878-2092b84799bb.JPEG","17:23:05")</f>
      </c>
      <c r="V30" s="18">
        <v>0.3927662037037037</v>
      </c>
      <c r="W30" s="15" t="s">
        <v>315</v>
      </c>
      <c r="X30" s="15" t="s">
        <v>316</v>
      </c>
      <c r="Y30" s="15" t="s">
        <v>35</v>
      </c>
      <c r="Z30" s="19">
        <v>0</v>
      </c>
      <c r="AA30" s="15">
        <v>0</v>
      </c>
      <c r="AB30" s="15" t="s">
        <v>35</v>
      </c>
    </row>
    <row r="31">
      <c r="A31" s="15">
        <v>27</v>
      </c>
      <c r="B31" s="15" t="s">
        <v>246</v>
      </c>
      <c r="C31" s="15" t="s">
        <v>276</v>
      </c>
      <c r="D31" s="15" t="s">
        <v>89</v>
      </c>
      <c r="E31" s="15" t="s">
        <v>90</v>
      </c>
      <c r="F31" s="15" t="s">
        <v>35</v>
      </c>
      <c r="G31" s="15" t="s">
        <v>74</v>
      </c>
      <c r="H31" s="15" t="s">
        <v>277</v>
      </c>
      <c r="I31" s="15" t="s">
        <v>278</v>
      </c>
      <c r="J31" s="15" t="s">
        <v>279</v>
      </c>
      <c r="K31" s="15" t="s">
        <v>263</v>
      </c>
      <c r="L31" s="15" t="s">
        <v>264</v>
      </c>
      <c r="M31" s="15" t="s">
        <v>280</v>
      </c>
      <c r="N31" s="15" t="s">
        <v>281</v>
      </c>
      <c r="O31" s="15" t="s">
        <v>156</v>
      </c>
      <c r="P31" s="15" t="s">
        <v>282</v>
      </c>
      <c r="Q31" s="15" t="s">
        <v>283</v>
      </c>
      <c r="R31" s="16">
        <v>44329</v>
      </c>
      <c r="S31" s="17" t="s">
        <v>317</v>
      </c>
      <c r="T31" s="20">
        <f>HYPERLINK("https://vnm.spiral.com.vn//uploaded/20210513/7a81050b-d12e-4ed4-bfde-ab84992b360e.JPEG","07:15:06")</f>
      </c>
      <c r="U31" s="20">
        <f>HYPERLINK("https://vnm.spiral.com.vn//uploaded/20210513/c8d678f3-b9e2-4ee0-8344-53ad557348cc.JPEG","17:22:34")</f>
      </c>
      <c r="V31" s="18">
        <v>0.42185185185185187</v>
      </c>
      <c r="W31" s="15" t="s">
        <v>318</v>
      </c>
      <c r="X31" s="15" t="s">
        <v>319</v>
      </c>
      <c r="Y31" s="15" t="s">
        <v>35</v>
      </c>
      <c r="Z31" s="19">
        <v>0</v>
      </c>
      <c r="AA31" s="15">
        <v>0</v>
      </c>
      <c r="AB31" s="15" t="s">
        <v>35</v>
      </c>
    </row>
    <row r="32">
      <c r="A32" s="15">
        <v>28</v>
      </c>
      <c r="B32" s="15" t="s">
        <v>61</v>
      </c>
      <c r="C32" s="15" t="s">
        <v>320</v>
      </c>
      <c r="D32" s="15" t="s">
        <v>35</v>
      </c>
      <c r="E32" s="15" t="s">
        <v>35</v>
      </c>
      <c r="F32" s="15" t="s">
        <v>35</v>
      </c>
      <c r="G32" s="15" t="s">
        <v>36</v>
      </c>
      <c r="H32" s="15" t="s">
        <v>321</v>
      </c>
      <c r="I32" s="15" t="s">
        <v>322</v>
      </c>
      <c r="J32" s="15" t="s">
        <v>323</v>
      </c>
      <c r="K32" s="15" t="s">
        <v>40</v>
      </c>
      <c r="L32" s="15" t="s">
        <v>41</v>
      </c>
      <c r="M32" s="15" t="s">
        <v>205</v>
      </c>
      <c r="N32" s="15" t="s">
        <v>206</v>
      </c>
      <c r="O32" s="15" t="s">
        <v>44</v>
      </c>
      <c r="P32" s="15" t="s">
        <v>324</v>
      </c>
      <c r="Q32" s="15" t="s">
        <v>325</v>
      </c>
      <c r="R32" s="16">
        <v>44329</v>
      </c>
      <c r="S32" s="17" t="s">
        <v>326</v>
      </c>
      <c r="T32" s="20">
        <f>HYPERLINK("https://vnm.spiral.com.vn//uploaded/20210513/6D6665B8-37CF-4CDE-ACF3-8A4AD4D4CAF8.jpg","07:59:18")</f>
      </c>
      <c r="U32" s="20">
        <f>HYPERLINK("https://vnm.spiral.com.vn//uploaded/20210513/A5872EB6-0753-496E-B61A-1F94F78BB981.jpg","17:22:33")</f>
      </c>
      <c r="V32" s="18">
        <v>0.39114583333333336</v>
      </c>
      <c r="W32" s="15" t="s">
        <v>327</v>
      </c>
      <c r="X32" s="15" t="s">
        <v>328</v>
      </c>
      <c r="Y32" s="15" t="s">
        <v>35</v>
      </c>
      <c r="Z32" s="19">
        <v>0</v>
      </c>
      <c r="AA32" s="15">
        <v>0</v>
      </c>
      <c r="AB32" s="15" t="s">
        <v>35</v>
      </c>
    </row>
    <row r="33">
      <c r="A33" s="15">
        <v>29</v>
      </c>
      <c r="B33" s="15" t="s">
        <v>61</v>
      </c>
      <c r="C33" s="15" t="s">
        <v>228</v>
      </c>
      <c r="D33" s="15" t="s">
        <v>35</v>
      </c>
      <c r="E33" s="15" t="s">
        <v>35</v>
      </c>
      <c r="F33" s="15" t="s">
        <v>35</v>
      </c>
      <c r="G33" s="15" t="s">
        <v>36</v>
      </c>
      <c r="H33" s="15" t="s">
        <v>329</v>
      </c>
      <c r="I33" s="15" t="s">
        <v>330</v>
      </c>
      <c r="J33" s="15" t="s">
        <v>331</v>
      </c>
      <c r="K33" s="15" t="s">
        <v>40</v>
      </c>
      <c r="L33" s="15" t="s">
        <v>41</v>
      </c>
      <c r="M33" s="15" t="s">
        <v>205</v>
      </c>
      <c r="N33" s="15" t="s">
        <v>206</v>
      </c>
      <c r="O33" s="15" t="s">
        <v>44</v>
      </c>
      <c r="P33" s="15" t="s">
        <v>332</v>
      </c>
      <c r="Q33" s="15" t="s">
        <v>333</v>
      </c>
      <c r="R33" s="16">
        <v>44329</v>
      </c>
      <c r="S33" s="17" t="s">
        <v>70</v>
      </c>
      <c r="T33" s="20">
        <f>HYPERLINK("https://vnm.spiral.com.vn//uploaded/20210513/44c3318f-11c7-4a05-8088-87ce85e9405a.JPEG","08:05:28")</f>
      </c>
      <c r="U33" s="20">
        <f>HYPERLINK("https://vnm.spiral.com.vn//uploaded/20210513/3665d662-a08c-4a95-8e0f-abd887d02d5e.JPEG","17:22:33")</f>
      </c>
      <c r="V33" s="18">
        <v>0.38686342592592593</v>
      </c>
      <c r="W33" s="15" t="s">
        <v>334</v>
      </c>
      <c r="X33" s="15" t="s">
        <v>335</v>
      </c>
      <c r="Y33" s="15" t="s">
        <v>35</v>
      </c>
      <c r="Z33" s="19">
        <v>0</v>
      </c>
      <c r="AA33" s="15">
        <v>0</v>
      </c>
      <c r="AB33" s="15" t="s">
        <v>35</v>
      </c>
    </row>
    <row r="34">
      <c r="A34" s="15">
        <v>30</v>
      </c>
      <c r="B34" s="15" t="s">
        <v>246</v>
      </c>
      <c r="C34" s="15" t="s">
        <v>259</v>
      </c>
      <c r="D34" s="15" t="s">
        <v>89</v>
      </c>
      <c r="E34" s="15" t="s">
        <v>90</v>
      </c>
      <c r="F34" s="15" t="s">
        <v>35</v>
      </c>
      <c r="G34" s="15" t="s">
        <v>74</v>
      </c>
      <c r="H34" s="15" t="s">
        <v>336</v>
      </c>
      <c r="I34" s="15" t="s">
        <v>337</v>
      </c>
      <c r="J34" s="15" t="s">
        <v>338</v>
      </c>
      <c r="K34" s="15" t="s">
        <v>263</v>
      </c>
      <c r="L34" s="15" t="s">
        <v>264</v>
      </c>
      <c r="M34" s="15" t="s">
        <v>339</v>
      </c>
      <c r="N34" s="15" t="s">
        <v>340</v>
      </c>
      <c r="O34" s="15" t="s">
        <v>156</v>
      </c>
      <c r="P34" s="15" t="s">
        <v>341</v>
      </c>
      <c r="Q34" s="15" t="s">
        <v>283</v>
      </c>
      <c r="R34" s="16">
        <v>44329</v>
      </c>
      <c r="S34" s="17" t="s">
        <v>47</v>
      </c>
      <c r="T34" s="20">
        <f>HYPERLINK("https://vnm.spiral.com.vn//uploaded/20210513/255B7B2B-9FA6-4385-88D2-93EB6B746470.jpg","17:22:20")</f>
      </c>
      <c r="U34" s="18"/>
      <c r="V34" s="18" t="s">
        <v>35</v>
      </c>
      <c r="W34" s="15" t="s">
        <v>342</v>
      </c>
      <c r="X34" s="15" t="s">
        <v>35</v>
      </c>
      <c r="Y34" s="15" t="s">
        <v>35</v>
      </c>
      <c r="Z34" s="19">
        <v>0</v>
      </c>
      <c r="AA34" s="15">
        <v>0</v>
      </c>
      <c r="AB34" s="15" t="s">
        <v>35</v>
      </c>
    </row>
    <row r="35">
      <c r="A35" s="15">
        <v>31</v>
      </c>
      <c r="B35" s="15" t="s">
        <v>343</v>
      </c>
      <c r="C35" s="15" t="s">
        <v>344</v>
      </c>
      <c r="D35" s="15" t="s">
        <v>345</v>
      </c>
      <c r="E35" s="15" t="s">
        <v>90</v>
      </c>
      <c r="F35" s="15" t="s">
        <v>35</v>
      </c>
      <c r="G35" s="15" t="s">
        <v>74</v>
      </c>
      <c r="H35" s="15" t="s">
        <v>346</v>
      </c>
      <c r="I35" s="15" t="s">
        <v>347</v>
      </c>
      <c r="J35" s="15" t="s">
        <v>348</v>
      </c>
      <c r="K35" s="15" t="s">
        <v>349</v>
      </c>
      <c r="L35" s="15" t="s">
        <v>350</v>
      </c>
      <c r="M35" s="15" t="s">
        <v>351</v>
      </c>
      <c r="N35" s="15" t="s">
        <v>352</v>
      </c>
      <c r="O35" s="15" t="s">
        <v>82</v>
      </c>
      <c r="P35" s="15" t="s">
        <v>353</v>
      </c>
      <c r="Q35" s="15" t="s">
        <v>354</v>
      </c>
      <c r="R35" s="16">
        <v>44329</v>
      </c>
      <c r="S35" s="17" t="s">
        <v>70</v>
      </c>
      <c r="T35" s="20">
        <f>HYPERLINK("https://vnm.spiral.com.vn//uploaded/20210513/A1C6904B-73EA-4F83-A885-F4BD5619A803.jpg","16:48:01")</f>
      </c>
      <c r="U35" s="20">
        <f>HYPERLINK("https://vnm.spiral.com.vn//uploaded/20210513/8F8CABC1-83A2-4B85-B519-33F9352ABDD9.jpg","17:22:13")</f>
      </c>
      <c r="V35" s="18">
        <v>0.02375</v>
      </c>
      <c r="W35" s="15" t="s">
        <v>355</v>
      </c>
      <c r="X35" s="15" t="s">
        <v>356</v>
      </c>
      <c r="Y35" s="15" t="s">
        <v>35</v>
      </c>
      <c r="Z35" s="19">
        <v>0</v>
      </c>
      <c r="AA35" s="15">
        <v>0</v>
      </c>
      <c r="AB35" s="15" t="s">
        <v>35</v>
      </c>
    </row>
    <row r="36">
      <c r="A36" s="15">
        <v>32</v>
      </c>
      <c r="B36" s="15" t="s">
        <v>343</v>
      </c>
      <c r="C36" s="15" t="s">
        <v>344</v>
      </c>
      <c r="D36" s="15" t="s">
        <v>357</v>
      </c>
      <c r="E36" s="15" t="s">
        <v>90</v>
      </c>
      <c r="F36" s="15" t="s">
        <v>35</v>
      </c>
      <c r="G36" s="15" t="s">
        <v>74</v>
      </c>
      <c r="H36" s="15" t="s">
        <v>358</v>
      </c>
      <c r="I36" s="15" t="s">
        <v>359</v>
      </c>
      <c r="J36" s="15" t="s">
        <v>360</v>
      </c>
      <c r="K36" s="15" t="s">
        <v>361</v>
      </c>
      <c r="L36" s="15" t="s">
        <v>362</v>
      </c>
      <c r="M36" s="15" t="s">
        <v>363</v>
      </c>
      <c r="N36" s="15" t="s">
        <v>364</v>
      </c>
      <c r="O36" s="15" t="s">
        <v>82</v>
      </c>
      <c r="P36" s="15" t="s">
        <v>365</v>
      </c>
      <c r="Q36" s="15" t="s">
        <v>366</v>
      </c>
      <c r="R36" s="16">
        <v>44329</v>
      </c>
      <c r="S36" s="17" t="s">
        <v>70</v>
      </c>
      <c r="T36" s="20">
        <f>HYPERLINK("https://vnm.spiral.com.vn//uploaded/20210513/eeec996b-15c3-43e5-8a2c-93fbdb899c22.JPEG","14:37:10")</f>
      </c>
      <c r="U36" s="20">
        <f>HYPERLINK("https://vnm.spiral.com.vn//uploaded/20210513/719d80da-3119-4e2a-8192-4ec919a04759.JPEG","17:21:30")</f>
      </c>
      <c r="V36" s="18">
        <v>0.11412037037037037</v>
      </c>
      <c r="W36" s="15" t="s">
        <v>367</v>
      </c>
      <c r="X36" s="15" t="s">
        <v>368</v>
      </c>
      <c r="Y36" s="15" t="s">
        <v>35</v>
      </c>
      <c r="Z36" s="19">
        <v>0</v>
      </c>
      <c r="AA36" s="15">
        <v>0</v>
      </c>
      <c r="AB36" s="15" t="s">
        <v>35</v>
      </c>
    </row>
    <row r="37">
      <c r="A37" s="15">
        <v>33</v>
      </c>
      <c r="B37" s="15" t="s">
        <v>49</v>
      </c>
      <c r="C37" s="15" t="s">
        <v>369</v>
      </c>
      <c r="D37" s="15" t="s">
        <v>35</v>
      </c>
      <c r="E37" s="15" t="s">
        <v>35</v>
      </c>
      <c r="F37" s="15" t="s">
        <v>370</v>
      </c>
      <c r="G37" s="15" t="s">
        <v>36</v>
      </c>
      <c r="H37" s="15" t="s">
        <v>371</v>
      </c>
      <c r="I37" s="15" t="s">
        <v>372</v>
      </c>
      <c r="J37" s="15" t="s">
        <v>373</v>
      </c>
      <c r="K37" s="15" t="s">
        <v>40</v>
      </c>
      <c r="L37" s="15" t="s">
        <v>41</v>
      </c>
      <c r="M37" s="15" t="s">
        <v>55</v>
      </c>
      <c r="N37" s="15" t="s">
        <v>56</v>
      </c>
      <c r="O37" s="15" t="s">
        <v>44</v>
      </c>
      <c r="P37" s="15" t="s">
        <v>374</v>
      </c>
      <c r="Q37" s="15" t="s">
        <v>375</v>
      </c>
      <c r="R37" s="16">
        <v>44329</v>
      </c>
      <c r="S37" s="17" t="s">
        <v>376</v>
      </c>
      <c r="T37" s="20">
        <f>HYPERLINK("https://vnm.spiral.com.vn//uploaded/20210513/dcca8016-88d3-4000-b9d8-1bafe6460eaa.JPEG","09:03:29")</f>
      </c>
      <c r="U37" s="20">
        <f>HYPERLINK("https://vnm.spiral.com.vn//uploaded/20210513/aea046d1-eadd-450c-897d-2a6325bba932.JPEG","17:21:25")</f>
      </c>
      <c r="V37" s="18">
        <v>0.34578703703703706</v>
      </c>
      <c r="W37" s="15" t="s">
        <v>377</v>
      </c>
      <c r="X37" s="15" t="s">
        <v>378</v>
      </c>
      <c r="Y37" s="15" t="s">
        <v>35</v>
      </c>
      <c r="Z37" s="19">
        <v>0</v>
      </c>
      <c r="AA37" s="15">
        <v>0</v>
      </c>
      <c r="AB37" s="15" t="s">
        <v>35</v>
      </c>
    </row>
    <row r="38">
      <c r="A38" s="15">
        <v>34</v>
      </c>
      <c r="B38" s="15" t="s">
        <v>49</v>
      </c>
      <c r="C38" s="15" t="s">
        <v>369</v>
      </c>
      <c r="D38" s="15" t="s">
        <v>379</v>
      </c>
      <c r="E38" s="15" t="s">
        <v>90</v>
      </c>
      <c r="F38" s="15" t="s">
        <v>35</v>
      </c>
      <c r="G38" s="15" t="s">
        <v>74</v>
      </c>
      <c r="H38" s="15" t="s">
        <v>380</v>
      </c>
      <c r="I38" s="15" t="s">
        <v>381</v>
      </c>
      <c r="J38" s="15" t="s">
        <v>382</v>
      </c>
      <c r="K38" s="15" t="s">
        <v>166</v>
      </c>
      <c r="L38" s="15" t="s">
        <v>167</v>
      </c>
      <c r="M38" s="15" t="s">
        <v>168</v>
      </c>
      <c r="N38" s="15" t="s">
        <v>169</v>
      </c>
      <c r="O38" s="15" t="s">
        <v>98</v>
      </c>
      <c r="P38" s="15" t="s">
        <v>383</v>
      </c>
      <c r="Q38" s="15" t="s">
        <v>384</v>
      </c>
      <c r="R38" s="16">
        <v>44329</v>
      </c>
      <c r="S38" s="17" t="s">
        <v>35</v>
      </c>
      <c r="T38" s="20">
        <f>HYPERLINK("https://vnm.spiral.com.vn//uploaded/20210513/255144A2-F733-40E1-BEEA-D4CD0431A54A.jpg","14:49:12")</f>
      </c>
      <c r="U38" s="20">
        <f>HYPERLINK("https://vnm.spiral.com.vn//uploaded/20210513/B67E0FB5-E2E2-4AA1-A8D5-957C47AED055.jpg","17:20:59")</f>
      </c>
      <c r="V38" s="18">
        <v>0.10540509259259259</v>
      </c>
      <c r="W38" s="15" t="s">
        <v>385</v>
      </c>
      <c r="X38" s="15" t="s">
        <v>386</v>
      </c>
      <c r="Y38" s="15" t="s">
        <v>35</v>
      </c>
      <c r="Z38" s="19">
        <v>0</v>
      </c>
      <c r="AA38" s="15">
        <v>0</v>
      </c>
      <c r="AB38" s="15" t="s">
        <v>35</v>
      </c>
    </row>
    <row r="39">
      <c r="A39" s="15">
        <v>35</v>
      </c>
      <c r="B39" s="15" t="s">
        <v>87</v>
      </c>
      <c r="C39" s="15" t="s">
        <v>88</v>
      </c>
      <c r="D39" s="15" t="s">
        <v>135</v>
      </c>
      <c r="E39" s="15" t="s">
        <v>116</v>
      </c>
      <c r="F39" s="15" t="s">
        <v>35</v>
      </c>
      <c r="G39" s="15" t="s">
        <v>74</v>
      </c>
      <c r="H39" s="15" t="s">
        <v>387</v>
      </c>
      <c r="I39" s="15" t="s">
        <v>388</v>
      </c>
      <c r="J39" s="15" t="s">
        <v>389</v>
      </c>
      <c r="K39" s="15" t="s">
        <v>390</v>
      </c>
      <c r="L39" s="15" t="s">
        <v>391</v>
      </c>
      <c r="M39" s="15" t="s">
        <v>392</v>
      </c>
      <c r="N39" s="15" t="s">
        <v>393</v>
      </c>
      <c r="O39" s="15" t="s">
        <v>82</v>
      </c>
      <c r="P39" s="15" t="s">
        <v>394</v>
      </c>
      <c r="Q39" s="15" t="s">
        <v>395</v>
      </c>
      <c r="R39" s="16">
        <v>44329</v>
      </c>
      <c r="S39" s="17" t="s">
        <v>70</v>
      </c>
      <c r="T39" s="20">
        <f>HYPERLINK("https://vnm.spiral.com.vn//uploaded/20210513/c5f79a4c-5c31-47dc-add0-e2b81f69e3e6.JPEG","16:45:32")</f>
      </c>
      <c r="U39" s="20">
        <f>HYPERLINK("https://vnm.spiral.com.vn//uploaded/20210513/657c62b6-2a94-497b-b929-120d9c225309.JPEG","17:20:56")</f>
      </c>
      <c r="V39" s="18">
        <v>0.024583333333333332</v>
      </c>
      <c r="W39" s="15" t="s">
        <v>396</v>
      </c>
      <c r="X39" s="15" t="s">
        <v>397</v>
      </c>
      <c r="Y39" s="15" t="s">
        <v>35</v>
      </c>
      <c r="Z39" s="19">
        <v>0</v>
      </c>
      <c r="AA39" s="15">
        <v>0</v>
      </c>
      <c r="AB39" s="15" t="s">
        <v>35</v>
      </c>
    </row>
    <row r="40">
      <c r="A40" s="15">
        <v>36</v>
      </c>
      <c r="B40" s="15" t="s">
        <v>61</v>
      </c>
      <c r="C40" s="15" t="s">
        <v>398</v>
      </c>
      <c r="D40" s="15" t="s">
        <v>35</v>
      </c>
      <c r="E40" s="15" t="s">
        <v>35</v>
      </c>
      <c r="F40" s="15" t="s">
        <v>35</v>
      </c>
      <c r="G40" s="15" t="s">
        <v>36</v>
      </c>
      <c r="H40" s="15" t="s">
        <v>399</v>
      </c>
      <c r="I40" s="15" t="s">
        <v>400</v>
      </c>
      <c r="J40" s="15" t="s">
        <v>401</v>
      </c>
      <c r="K40" s="15" t="s">
        <v>40</v>
      </c>
      <c r="L40" s="15" t="s">
        <v>41</v>
      </c>
      <c r="M40" s="15" t="s">
        <v>66</v>
      </c>
      <c r="N40" s="15" t="s">
        <v>67</v>
      </c>
      <c r="O40" s="15" t="s">
        <v>44</v>
      </c>
      <c r="P40" s="15" t="s">
        <v>402</v>
      </c>
      <c r="Q40" s="15" t="s">
        <v>403</v>
      </c>
      <c r="R40" s="16">
        <v>44329</v>
      </c>
      <c r="S40" s="17" t="s">
        <v>70</v>
      </c>
      <c r="T40" s="20">
        <f>HYPERLINK("https://vnm.spiral.com.vn//uploaded/20210513/bec123eb-cfc3-4c95-b9be-590617c05081.JPEG","07:32:13")</f>
      </c>
      <c r="U40" s="20">
        <f>HYPERLINK("https://vnm.spiral.com.vn//uploaded/20210513/7203ce8d-d126-4fc3-bc46-5b2ccc794156.JPEG","17:20:43")</f>
      </c>
      <c r="V40" s="18">
        <v>0.40868055555555555</v>
      </c>
      <c r="W40" s="15" t="s">
        <v>404</v>
      </c>
      <c r="X40" s="15" t="s">
        <v>405</v>
      </c>
      <c r="Y40" s="15" t="s">
        <v>35</v>
      </c>
      <c r="Z40" s="19">
        <v>0</v>
      </c>
      <c r="AA40" s="15">
        <v>0</v>
      </c>
      <c r="AB40" s="15" t="s">
        <v>35</v>
      </c>
    </row>
    <row r="41">
      <c r="A41" s="15">
        <v>37</v>
      </c>
      <c r="B41" s="15" t="s">
        <v>343</v>
      </c>
      <c r="C41" s="15" t="s">
        <v>344</v>
      </c>
      <c r="D41" s="15" t="s">
        <v>35</v>
      </c>
      <c r="E41" s="15" t="s">
        <v>35</v>
      </c>
      <c r="F41" s="15" t="s">
        <v>35</v>
      </c>
      <c r="G41" s="15" t="s">
        <v>36</v>
      </c>
      <c r="H41" s="15" t="s">
        <v>406</v>
      </c>
      <c r="I41" s="15" t="s">
        <v>407</v>
      </c>
      <c r="J41" s="15" t="s">
        <v>408</v>
      </c>
      <c r="K41" s="15" t="s">
        <v>40</v>
      </c>
      <c r="L41" s="15" t="s">
        <v>41</v>
      </c>
      <c r="M41" s="15" t="s">
        <v>409</v>
      </c>
      <c r="N41" s="15" t="s">
        <v>410</v>
      </c>
      <c r="O41" s="15" t="s">
        <v>44</v>
      </c>
      <c r="P41" s="15" t="s">
        <v>411</v>
      </c>
      <c r="Q41" s="15" t="s">
        <v>412</v>
      </c>
      <c r="R41" s="16">
        <v>44329</v>
      </c>
      <c r="S41" s="17" t="s">
        <v>413</v>
      </c>
      <c r="T41" s="20">
        <f>HYPERLINK("https://vnm.spiral.com.vn//uploaded/20210513/5E5DFC4F-2710-4520-90B6-4FEBE0E02E36.jpg","08:21:44")</f>
      </c>
      <c r="U41" s="20">
        <f>HYPERLINK("https://vnm.spiral.com.vn//uploaded/20210513/26511C0C-B79E-4E22-B864-7E8A30B8B9BD.jpg","17:20:23")</f>
      </c>
      <c r="V41" s="18">
        <v>0.3740625</v>
      </c>
      <c r="W41" s="15" t="s">
        <v>414</v>
      </c>
      <c r="X41" s="15" t="s">
        <v>415</v>
      </c>
      <c r="Y41" s="15" t="s">
        <v>35</v>
      </c>
      <c r="Z41" s="19">
        <v>0</v>
      </c>
      <c r="AA41" s="15">
        <v>0</v>
      </c>
      <c r="AB41" s="15" t="s">
        <v>35</v>
      </c>
    </row>
    <row r="42">
      <c r="A42" s="15">
        <v>38</v>
      </c>
      <c r="B42" s="15" t="s">
        <v>343</v>
      </c>
      <c r="C42" s="15" t="s">
        <v>344</v>
      </c>
      <c r="D42" s="15" t="s">
        <v>35</v>
      </c>
      <c r="E42" s="15" t="s">
        <v>35</v>
      </c>
      <c r="F42" s="15" t="s">
        <v>35</v>
      </c>
      <c r="G42" s="15" t="s">
        <v>36</v>
      </c>
      <c r="H42" s="15" t="s">
        <v>416</v>
      </c>
      <c r="I42" s="15" t="s">
        <v>417</v>
      </c>
      <c r="J42" s="15" t="s">
        <v>418</v>
      </c>
      <c r="K42" s="15" t="s">
        <v>40</v>
      </c>
      <c r="L42" s="15" t="s">
        <v>41</v>
      </c>
      <c r="M42" s="15" t="s">
        <v>409</v>
      </c>
      <c r="N42" s="15" t="s">
        <v>410</v>
      </c>
      <c r="O42" s="15" t="s">
        <v>44</v>
      </c>
      <c r="P42" s="15" t="s">
        <v>419</v>
      </c>
      <c r="Q42" s="15" t="s">
        <v>420</v>
      </c>
      <c r="R42" s="16">
        <v>44329</v>
      </c>
      <c r="S42" s="17" t="s">
        <v>70</v>
      </c>
      <c r="T42" s="20">
        <f>HYPERLINK("https://vnm.spiral.com.vn//uploaded/20210513/3c2e61cc-a7ea-404b-b509-a41097c5b497.JPEG","07:56:30")</f>
      </c>
      <c r="U42" s="20">
        <f>HYPERLINK("https://vnm.spiral.com.vn//uploaded/20210513/e1d4e01c-9de5-48f4-9c83-9b2dbaa1a6c4.JPEG","17:20:22")</f>
      </c>
      <c r="V42" s="18">
        <v>0.3915740740740741</v>
      </c>
      <c r="W42" s="15" t="s">
        <v>421</v>
      </c>
      <c r="X42" s="15" t="s">
        <v>422</v>
      </c>
      <c r="Y42" s="15" t="s">
        <v>35</v>
      </c>
      <c r="Z42" s="19">
        <v>0</v>
      </c>
      <c r="AA42" s="15">
        <v>0</v>
      </c>
      <c r="AB42" s="15" t="s">
        <v>35</v>
      </c>
    </row>
    <row r="43">
      <c r="A43" s="15">
        <v>39</v>
      </c>
      <c r="B43" s="15" t="s">
        <v>33</v>
      </c>
      <c r="C43" s="15" t="s">
        <v>34</v>
      </c>
      <c r="D43" s="15" t="s">
        <v>35</v>
      </c>
      <c r="E43" s="15" t="s">
        <v>35</v>
      </c>
      <c r="F43" s="15" t="s">
        <v>35</v>
      </c>
      <c r="G43" s="15" t="s">
        <v>74</v>
      </c>
      <c r="H43" s="15" t="s">
        <v>423</v>
      </c>
      <c r="I43" s="15" t="s">
        <v>424</v>
      </c>
      <c r="J43" s="15" t="s">
        <v>425</v>
      </c>
      <c r="K43" s="15" t="s">
        <v>78</v>
      </c>
      <c r="L43" s="15" t="s">
        <v>79</v>
      </c>
      <c r="M43" s="15" t="s">
        <v>426</v>
      </c>
      <c r="N43" s="15" t="s">
        <v>427</v>
      </c>
      <c r="O43" s="15" t="s">
        <v>156</v>
      </c>
      <c r="P43" s="15" t="s">
        <v>428</v>
      </c>
      <c r="Q43" s="15" t="s">
        <v>429</v>
      </c>
      <c r="R43" s="16">
        <v>44329</v>
      </c>
      <c r="S43" s="17" t="s">
        <v>70</v>
      </c>
      <c r="T43" s="20">
        <f>HYPERLINK("https://vnm.spiral.com.vn//uploaded/20210513/9cebd6e2-8db4-41c1-9bb5-52fd28b41a2d.JPEG","08:18:23")</f>
      </c>
      <c r="U43" s="20">
        <f>HYPERLINK("https://vnm.spiral.com.vn//uploaded/20210513/0cc08d80-c91c-4b3a-8062-34bbb08d55f5.JPEG","17:20:04")</f>
      </c>
      <c r="V43" s="18">
        <v>0.3761689814814815</v>
      </c>
      <c r="W43" s="15" t="s">
        <v>430</v>
      </c>
      <c r="X43" s="15" t="s">
        <v>431</v>
      </c>
      <c r="Y43" s="15" t="s">
        <v>35</v>
      </c>
      <c r="Z43" s="19">
        <v>0</v>
      </c>
      <c r="AA43" s="15">
        <v>0</v>
      </c>
      <c r="AB43" s="15" t="s">
        <v>35</v>
      </c>
    </row>
    <row r="44">
      <c r="A44" s="15">
        <v>40</v>
      </c>
      <c r="B44" s="15" t="s">
        <v>103</v>
      </c>
      <c r="C44" s="15" t="s">
        <v>186</v>
      </c>
      <c r="D44" s="15" t="s">
        <v>432</v>
      </c>
      <c r="E44" s="15" t="s">
        <v>116</v>
      </c>
      <c r="F44" s="15" t="s">
        <v>35</v>
      </c>
      <c r="G44" s="15" t="s">
        <v>74</v>
      </c>
      <c r="H44" s="15" t="s">
        <v>433</v>
      </c>
      <c r="I44" s="15" t="s">
        <v>434</v>
      </c>
      <c r="J44" s="15" t="s">
        <v>435</v>
      </c>
      <c r="K44" s="15" t="s">
        <v>190</v>
      </c>
      <c r="L44" s="15" t="s">
        <v>191</v>
      </c>
      <c r="M44" s="15" t="s">
        <v>436</v>
      </c>
      <c r="N44" s="15" t="s">
        <v>437</v>
      </c>
      <c r="O44" s="15" t="s">
        <v>98</v>
      </c>
      <c r="P44" s="15" t="s">
        <v>438</v>
      </c>
      <c r="Q44" s="15" t="s">
        <v>439</v>
      </c>
      <c r="R44" s="16">
        <v>44329</v>
      </c>
      <c r="S44" s="17" t="s">
        <v>35</v>
      </c>
      <c r="T44" s="20">
        <f>HYPERLINK("https://vnm.spiral.com.vn//uploaded/20210513/4D523802-7F7B-447D-93A9-B0A128D6350E.jpg","14:44:41")</f>
      </c>
      <c r="U44" s="20">
        <f>HYPERLINK("https://vnm.spiral.com.vn//uploaded/20210513/A041B813-6C43-4015-9244-2DC3ADDDF496.jpg","17:20:01")</f>
      </c>
      <c r="V44" s="18">
        <v>0.10787037037037037</v>
      </c>
      <c r="W44" s="15" t="s">
        <v>440</v>
      </c>
      <c r="X44" s="15" t="s">
        <v>441</v>
      </c>
      <c r="Y44" s="15" t="s">
        <v>35</v>
      </c>
      <c r="Z44" s="19">
        <v>0</v>
      </c>
      <c r="AA44" s="15">
        <v>0</v>
      </c>
      <c r="AB44" s="15" t="s">
        <v>35</v>
      </c>
    </row>
    <row r="45">
      <c r="A45" s="15">
        <v>41</v>
      </c>
      <c r="B45" s="15" t="s">
        <v>61</v>
      </c>
      <c r="C45" s="15" t="s">
        <v>442</v>
      </c>
      <c r="D45" s="15" t="s">
        <v>135</v>
      </c>
      <c r="E45" s="15" t="s">
        <v>116</v>
      </c>
      <c r="F45" s="15" t="s">
        <v>35</v>
      </c>
      <c r="G45" s="15" t="s">
        <v>74</v>
      </c>
      <c r="H45" s="15" t="s">
        <v>443</v>
      </c>
      <c r="I45" s="15" t="s">
        <v>444</v>
      </c>
      <c r="J45" s="15" t="s">
        <v>445</v>
      </c>
      <c r="K45" s="15" t="s">
        <v>152</v>
      </c>
      <c r="L45" s="15" t="s">
        <v>153</v>
      </c>
      <c r="M45" s="15" t="s">
        <v>232</v>
      </c>
      <c r="N45" s="15" t="s">
        <v>233</v>
      </c>
      <c r="O45" s="15" t="s">
        <v>82</v>
      </c>
      <c r="P45" s="15" t="s">
        <v>446</v>
      </c>
      <c r="Q45" s="15" t="s">
        <v>447</v>
      </c>
      <c r="R45" s="16">
        <v>44329</v>
      </c>
      <c r="S45" s="17" t="s">
        <v>70</v>
      </c>
      <c r="T45" s="20">
        <f>HYPERLINK("https://vnm.spiral.com.vn//uploaded/20210513/a8135a43-7819-4eca-a993-3533a94480bb.JPEG","17:04:22")</f>
      </c>
      <c r="U45" s="20">
        <f>HYPERLINK("https://vnm.spiral.com.vn//uploaded/20210513/49000077-65e5-4fa5-af2a-97adc29ed969.JPEG","17:19:57")</f>
      </c>
      <c r="V45" s="18">
        <v>0.010821759259259258</v>
      </c>
      <c r="W45" s="15" t="s">
        <v>448</v>
      </c>
      <c r="X45" s="15" t="s">
        <v>449</v>
      </c>
      <c r="Y45" s="15" t="s">
        <v>35</v>
      </c>
      <c r="Z45" s="19">
        <v>0</v>
      </c>
      <c r="AA45" s="15">
        <v>0</v>
      </c>
      <c r="AB45" s="15" t="s">
        <v>35</v>
      </c>
    </row>
    <row r="46">
      <c r="A46" s="15">
        <v>42</v>
      </c>
      <c r="B46" s="15" t="s">
        <v>61</v>
      </c>
      <c r="C46" s="15" t="s">
        <v>228</v>
      </c>
      <c r="D46" s="15" t="s">
        <v>357</v>
      </c>
      <c r="E46" s="15" t="s">
        <v>90</v>
      </c>
      <c r="F46" s="15" t="s">
        <v>35</v>
      </c>
      <c r="G46" s="15" t="s">
        <v>74</v>
      </c>
      <c r="H46" s="15" t="s">
        <v>450</v>
      </c>
      <c r="I46" s="15" t="s">
        <v>451</v>
      </c>
      <c r="J46" s="15" t="s">
        <v>452</v>
      </c>
      <c r="K46" s="15" t="s">
        <v>152</v>
      </c>
      <c r="L46" s="15" t="s">
        <v>153</v>
      </c>
      <c r="M46" s="15" t="s">
        <v>232</v>
      </c>
      <c r="N46" s="15" t="s">
        <v>233</v>
      </c>
      <c r="O46" s="15" t="s">
        <v>98</v>
      </c>
      <c r="P46" s="15" t="s">
        <v>453</v>
      </c>
      <c r="Q46" s="15" t="s">
        <v>454</v>
      </c>
      <c r="R46" s="16">
        <v>44329</v>
      </c>
      <c r="S46" s="17" t="s">
        <v>70</v>
      </c>
      <c r="T46" s="20">
        <f>HYPERLINK("https://vnm.spiral.com.vn//uploaded/20210513/3454D103-6E68-47EC-88CF-389EDD398DE9.jpg","16:44:31")</f>
      </c>
      <c r="U46" s="20">
        <f>HYPERLINK("https://vnm.spiral.com.vn//uploaded/20210513/003F389F-29DD-44FA-8266-27E943B757B6.jpg","17:19:57")</f>
      </c>
      <c r="V46" s="18">
        <v>0.024606481481481483</v>
      </c>
      <c r="W46" s="15" t="s">
        <v>455</v>
      </c>
      <c r="X46" s="15" t="s">
        <v>456</v>
      </c>
      <c r="Y46" s="15" t="s">
        <v>35</v>
      </c>
      <c r="Z46" s="19">
        <v>0</v>
      </c>
      <c r="AA46" s="15">
        <v>0</v>
      </c>
      <c r="AB46" s="15" t="s">
        <v>35</v>
      </c>
    </row>
    <row r="47">
      <c r="A47" s="15">
        <v>43</v>
      </c>
      <c r="B47" s="15" t="s">
        <v>103</v>
      </c>
      <c r="C47" s="15" t="s">
        <v>104</v>
      </c>
      <c r="D47" s="15" t="s">
        <v>115</v>
      </c>
      <c r="E47" s="15" t="s">
        <v>116</v>
      </c>
      <c r="F47" s="15" t="s">
        <v>35</v>
      </c>
      <c r="G47" s="15" t="s">
        <v>74</v>
      </c>
      <c r="H47" s="15" t="s">
        <v>457</v>
      </c>
      <c r="I47" s="15" t="s">
        <v>458</v>
      </c>
      <c r="J47" s="15" t="s">
        <v>459</v>
      </c>
      <c r="K47" s="15" t="s">
        <v>460</v>
      </c>
      <c r="L47" s="15" t="s">
        <v>461</v>
      </c>
      <c r="M47" s="15" t="s">
        <v>462</v>
      </c>
      <c r="N47" s="15" t="s">
        <v>463</v>
      </c>
      <c r="O47" s="15" t="s">
        <v>82</v>
      </c>
      <c r="P47" s="15" t="s">
        <v>464</v>
      </c>
      <c r="Q47" s="15" t="s">
        <v>465</v>
      </c>
      <c r="R47" s="16">
        <v>44329</v>
      </c>
      <c r="S47" s="17" t="s">
        <v>70</v>
      </c>
      <c r="T47" s="20">
        <f>HYPERLINK("https://vnm.spiral.com.vn//uploaded/20210513/e630a41e-b77b-4eb0-9785-38f8ee81a15b.JPEG","16:51:18")</f>
      </c>
      <c r="U47" s="20">
        <f>HYPERLINK("https://vnm.spiral.com.vn//uploaded/20210513/5eaf2463-e42f-4e1b-8aec-744d466c74bb.JPEG","17:19:51")</f>
      </c>
      <c r="V47" s="18">
        <v>0.01982638888888889</v>
      </c>
      <c r="W47" s="15" t="s">
        <v>466</v>
      </c>
      <c r="X47" s="15" t="s">
        <v>467</v>
      </c>
      <c r="Y47" s="15" t="s">
        <v>35</v>
      </c>
      <c r="Z47" s="19">
        <v>0</v>
      </c>
      <c r="AA47" s="15">
        <v>0</v>
      </c>
      <c r="AB47" s="15" t="s">
        <v>35</v>
      </c>
    </row>
    <row r="48">
      <c r="A48" s="15">
        <v>44</v>
      </c>
      <c r="B48" s="15" t="s">
        <v>49</v>
      </c>
      <c r="C48" s="15" t="s">
        <v>468</v>
      </c>
      <c r="D48" s="15" t="s">
        <v>35</v>
      </c>
      <c r="E48" s="15" t="s">
        <v>35</v>
      </c>
      <c r="F48" s="15" t="s">
        <v>469</v>
      </c>
      <c r="G48" s="15" t="s">
        <v>36</v>
      </c>
      <c r="H48" s="15" t="s">
        <v>470</v>
      </c>
      <c r="I48" s="15" t="s">
        <v>471</v>
      </c>
      <c r="J48" s="15" t="s">
        <v>472</v>
      </c>
      <c r="K48" s="15" t="s">
        <v>40</v>
      </c>
      <c r="L48" s="15" t="s">
        <v>41</v>
      </c>
      <c r="M48" s="15" t="s">
        <v>55</v>
      </c>
      <c r="N48" s="15" t="s">
        <v>56</v>
      </c>
      <c r="O48" s="15" t="s">
        <v>44</v>
      </c>
      <c r="P48" s="15" t="s">
        <v>473</v>
      </c>
      <c r="Q48" s="15" t="s">
        <v>474</v>
      </c>
      <c r="R48" s="16">
        <v>44329</v>
      </c>
      <c r="S48" s="17" t="s">
        <v>475</v>
      </c>
      <c r="T48" s="20">
        <f>HYPERLINK("https://vnm.spiral.com.vn//uploaded/20210513/906d4d37-bb06-46a8-8317-7a483b4cf27a.JPEG","07:12:30")</f>
      </c>
      <c r="U48" s="20">
        <f>HYPERLINK("https://vnm.spiral.com.vn//uploaded/20210513/0b460904-c7d3-447d-8f54-7367876819fc.JPEG","17:19:31")</f>
      </c>
      <c r="V48" s="18">
        <v>0.4215393518518519</v>
      </c>
      <c r="W48" s="15" t="s">
        <v>476</v>
      </c>
      <c r="X48" s="15" t="s">
        <v>477</v>
      </c>
      <c r="Y48" s="15" t="s">
        <v>35</v>
      </c>
      <c r="Z48" s="19">
        <v>0</v>
      </c>
      <c r="AA48" s="15">
        <v>0</v>
      </c>
      <c r="AB48" s="15" t="s">
        <v>35</v>
      </c>
    </row>
    <row r="49">
      <c r="A49" s="15">
        <v>45</v>
      </c>
      <c r="B49" s="15" t="s">
        <v>87</v>
      </c>
      <c r="C49" s="15" t="s">
        <v>88</v>
      </c>
      <c r="D49" s="15" t="s">
        <v>135</v>
      </c>
      <c r="E49" s="15" t="s">
        <v>116</v>
      </c>
      <c r="F49" s="15" t="s">
        <v>35</v>
      </c>
      <c r="G49" s="15" t="s">
        <v>74</v>
      </c>
      <c r="H49" s="15" t="s">
        <v>478</v>
      </c>
      <c r="I49" s="15" t="s">
        <v>479</v>
      </c>
      <c r="J49" s="15" t="s">
        <v>480</v>
      </c>
      <c r="K49" s="15" t="s">
        <v>390</v>
      </c>
      <c r="L49" s="15" t="s">
        <v>391</v>
      </c>
      <c r="M49" s="15" t="s">
        <v>392</v>
      </c>
      <c r="N49" s="15" t="s">
        <v>393</v>
      </c>
      <c r="O49" s="15" t="s">
        <v>82</v>
      </c>
      <c r="P49" s="15" t="s">
        <v>481</v>
      </c>
      <c r="Q49" s="15" t="s">
        <v>482</v>
      </c>
      <c r="R49" s="16">
        <v>44329</v>
      </c>
      <c r="S49" s="17" t="s">
        <v>70</v>
      </c>
      <c r="T49" s="20">
        <f>HYPERLINK("https://vnm.spiral.com.vn//uploaded/20210513/83065f01-47db-4a59-b9d1-3018d900fc86.JPEG","16:48:44")</f>
      </c>
      <c r="U49" s="20">
        <f>HYPERLINK("https://vnm.spiral.com.vn//uploaded/20210513/0f2f4736-646b-4c97-b2c8-3ba729f43c56.JPEG","17:19:12")</f>
      </c>
      <c r="V49" s="18">
        <v>0.021157407407407406</v>
      </c>
      <c r="W49" s="15" t="s">
        <v>483</v>
      </c>
      <c r="X49" s="15" t="s">
        <v>484</v>
      </c>
      <c r="Y49" s="15" t="s">
        <v>35</v>
      </c>
      <c r="Z49" s="19">
        <v>0</v>
      </c>
      <c r="AA49" s="15">
        <v>0</v>
      </c>
      <c r="AB49" s="15" t="s">
        <v>35</v>
      </c>
    </row>
    <row r="50">
      <c r="A50" s="15">
        <v>46</v>
      </c>
      <c r="B50" s="15" t="s">
        <v>343</v>
      </c>
      <c r="C50" s="15" t="s">
        <v>344</v>
      </c>
      <c r="D50" s="15" t="s">
        <v>357</v>
      </c>
      <c r="E50" s="15" t="s">
        <v>90</v>
      </c>
      <c r="F50" s="15" t="s">
        <v>35</v>
      </c>
      <c r="G50" s="15" t="s">
        <v>74</v>
      </c>
      <c r="H50" s="15" t="s">
        <v>485</v>
      </c>
      <c r="I50" s="15" t="s">
        <v>486</v>
      </c>
      <c r="J50" s="15" t="s">
        <v>487</v>
      </c>
      <c r="K50" s="15" t="s">
        <v>361</v>
      </c>
      <c r="L50" s="15" t="s">
        <v>362</v>
      </c>
      <c r="M50" s="15" t="s">
        <v>363</v>
      </c>
      <c r="N50" s="15" t="s">
        <v>364</v>
      </c>
      <c r="O50" s="15" t="s">
        <v>156</v>
      </c>
      <c r="P50" s="15" t="s">
        <v>488</v>
      </c>
      <c r="Q50" s="15" t="s">
        <v>489</v>
      </c>
      <c r="R50" s="16">
        <v>44329</v>
      </c>
      <c r="S50" s="17" t="s">
        <v>70</v>
      </c>
      <c r="T50" s="20">
        <f>HYPERLINK("https://vnm.spiral.com.vn//uploaded/20210513/7543E8CD-54E3-4533-BC7A-BFE91786F305.jpg","07:45:50")</f>
      </c>
      <c r="U50" s="20">
        <f>HYPERLINK("https://vnm.spiral.com.vn//uploaded/20210513/13B2AEDB-A549-4390-9063-2A5F4BAC9BC9.jpg","17:19:06")</f>
      </c>
      <c r="V50" s="18">
        <v>0.3981018518518519</v>
      </c>
      <c r="W50" s="15" t="s">
        <v>490</v>
      </c>
      <c r="X50" s="15" t="s">
        <v>491</v>
      </c>
      <c r="Y50" s="15" t="s">
        <v>35</v>
      </c>
      <c r="Z50" s="19">
        <v>0</v>
      </c>
      <c r="AA50" s="15">
        <v>0</v>
      </c>
      <c r="AB50" s="15" t="s">
        <v>35</v>
      </c>
    </row>
    <row r="51">
      <c r="A51" s="15">
        <v>47</v>
      </c>
      <c r="B51" s="15" t="s">
        <v>33</v>
      </c>
      <c r="C51" s="15" t="s">
        <v>492</v>
      </c>
      <c r="D51" s="15" t="s">
        <v>35</v>
      </c>
      <c r="E51" s="15" t="s">
        <v>35</v>
      </c>
      <c r="F51" s="15" t="s">
        <v>35</v>
      </c>
      <c r="G51" s="15" t="s">
        <v>36</v>
      </c>
      <c r="H51" s="15" t="s">
        <v>493</v>
      </c>
      <c r="I51" s="15" t="s">
        <v>494</v>
      </c>
      <c r="J51" s="15" t="s">
        <v>495</v>
      </c>
      <c r="K51" s="15" t="s">
        <v>40</v>
      </c>
      <c r="L51" s="15" t="s">
        <v>41</v>
      </c>
      <c r="M51" s="15" t="s">
        <v>42</v>
      </c>
      <c r="N51" s="15" t="s">
        <v>43</v>
      </c>
      <c r="O51" s="15" t="s">
        <v>44</v>
      </c>
      <c r="P51" s="15" t="s">
        <v>496</v>
      </c>
      <c r="Q51" s="15" t="s">
        <v>497</v>
      </c>
      <c r="R51" s="16">
        <v>44329</v>
      </c>
      <c r="S51" s="17" t="s">
        <v>70</v>
      </c>
      <c r="T51" s="20">
        <f>HYPERLINK("https://vnm.spiral.com.vn//uploaded/20210513/395d5918-1f78-405f-a425-135685166ce2.JPEG","07:46:20")</f>
      </c>
      <c r="U51" s="20">
        <f>HYPERLINK("https://vnm.spiral.com.vn//uploaded/20210513/8ae33b89-747c-43cc-9b41-ac4a6f3ccf9e.JPEG","17:19:06")</f>
      </c>
      <c r="V51" s="18">
        <v>0.39775462962962965</v>
      </c>
      <c r="W51" s="15" t="s">
        <v>498</v>
      </c>
      <c r="X51" s="15" t="s">
        <v>499</v>
      </c>
      <c r="Y51" s="15" t="s">
        <v>35</v>
      </c>
      <c r="Z51" s="19">
        <v>0</v>
      </c>
      <c r="AA51" s="15">
        <v>0</v>
      </c>
      <c r="AB51" s="15" t="s">
        <v>35</v>
      </c>
    </row>
    <row r="52">
      <c r="A52" s="15">
        <v>48</v>
      </c>
      <c r="B52" s="15" t="s">
        <v>61</v>
      </c>
      <c r="C52" s="15" t="s">
        <v>303</v>
      </c>
      <c r="D52" s="15" t="s">
        <v>115</v>
      </c>
      <c r="E52" s="15" t="s">
        <v>116</v>
      </c>
      <c r="F52" s="15" t="s">
        <v>35</v>
      </c>
      <c r="G52" s="15" t="s">
        <v>74</v>
      </c>
      <c r="H52" s="15" t="s">
        <v>500</v>
      </c>
      <c r="I52" s="15" t="s">
        <v>501</v>
      </c>
      <c r="J52" s="15" t="s">
        <v>502</v>
      </c>
      <c r="K52" s="15" t="s">
        <v>232</v>
      </c>
      <c r="L52" s="15" t="s">
        <v>233</v>
      </c>
      <c r="M52" s="15" t="s">
        <v>503</v>
      </c>
      <c r="N52" s="15" t="s">
        <v>504</v>
      </c>
      <c r="O52" s="15" t="s">
        <v>82</v>
      </c>
      <c r="P52" s="15" t="s">
        <v>505</v>
      </c>
      <c r="Q52" s="15" t="s">
        <v>506</v>
      </c>
      <c r="R52" s="16">
        <v>44329</v>
      </c>
      <c r="S52" s="17" t="s">
        <v>70</v>
      </c>
      <c r="T52" s="20">
        <f>HYPERLINK("https://vnm.spiral.com.vn//uploaded/20210513/1716E270-3E76-496D-AE05-134BBFB8C122.jpg","13:53:36")</f>
      </c>
      <c r="U52" s="20">
        <f>HYPERLINK("https://vnm.spiral.com.vn//uploaded/20210513/E6847D87-9056-4A1C-BDB3-2DA7F9C39A63.jpg","17:18:49")</f>
      </c>
      <c r="V52" s="18">
        <v>0.14251157407407408</v>
      </c>
      <c r="W52" s="15" t="s">
        <v>507</v>
      </c>
      <c r="X52" s="15" t="s">
        <v>508</v>
      </c>
      <c r="Y52" s="15" t="s">
        <v>35</v>
      </c>
      <c r="Z52" s="19">
        <v>0</v>
      </c>
      <c r="AA52" s="15">
        <v>0</v>
      </c>
      <c r="AB52" s="15" t="s">
        <v>35</v>
      </c>
    </row>
    <row r="53">
      <c r="A53" s="15">
        <v>49</v>
      </c>
      <c r="B53" s="15" t="s">
        <v>343</v>
      </c>
      <c r="C53" s="15" t="s">
        <v>344</v>
      </c>
      <c r="D53" s="15" t="s">
        <v>432</v>
      </c>
      <c r="E53" s="15" t="s">
        <v>116</v>
      </c>
      <c r="F53" s="15" t="s">
        <v>35</v>
      </c>
      <c r="G53" s="15" t="s">
        <v>74</v>
      </c>
      <c r="H53" s="15" t="s">
        <v>509</v>
      </c>
      <c r="I53" s="15" t="s">
        <v>510</v>
      </c>
      <c r="J53" s="15" t="s">
        <v>511</v>
      </c>
      <c r="K53" s="15" t="s">
        <v>512</v>
      </c>
      <c r="L53" s="15" t="s">
        <v>513</v>
      </c>
      <c r="M53" s="15" t="s">
        <v>514</v>
      </c>
      <c r="N53" s="15" t="s">
        <v>515</v>
      </c>
      <c r="O53" s="15" t="s">
        <v>82</v>
      </c>
      <c r="P53" s="15" t="s">
        <v>516</v>
      </c>
      <c r="Q53" s="15" t="s">
        <v>517</v>
      </c>
      <c r="R53" s="16">
        <v>44329</v>
      </c>
      <c r="S53" s="17" t="s">
        <v>70</v>
      </c>
      <c r="T53" s="20">
        <f>HYPERLINK("https://vnm.spiral.com.vn//uploaded/20210513/b2fdddf9-20d7-4e88-ad35-1b8a282023ac.JPEG","16:03:14")</f>
      </c>
      <c r="U53" s="20">
        <f>HYPERLINK("https://vnm.spiral.com.vn//uploaded/20210513/b2346009-8689-46c0-9c18-4b182e04fbde.JPEG","17:18:33")</f>
      </c>
      <c r="V53" s="18">
        <v>0.05230324074074074</v>
      </c>
      <c r="W53" s="15" t="s">
        <v>518</v>
      </c>
      <c r="X53" s="15" t="s">
        <v>519</v>
      </c>
      <c r="Y53" s="15" t="s">
        <v>35</v>
      </c>
      <c r="Z53" s="19">
        <v>0</v>
      </c>
      <c r="AA53" s="15">
        <v>0</v>
      </c>
      <c r="AB53" s="15" t="s">
        <v>35</v>
      </c>
    </row>
    <row r="54">
      <c r="A54" s="15">
        <v>50</v>
      </c>
      <c r="B54" s="15" t="s">
        <v>343</v>
      </c>
      <c r="C54" s="15" t="s">
        <v>344</v>
      </c>
      <c r="D54" s="15" t="s">
        <v>432</v>
      </c>
      <c r="E54" s="15" t="s">
        <v>116</v>
      </c>
      <c r="F54" s="15" t="s">
        <v>35</v>
      </c>
      <c r="G54" s="15" t="s">
        <v>74</v>
      </c>
      <c r="H54" s="15" t="s">
        <v>520</v>
      </c>
      <c r="I54" s="15" t="s">
        <v>521</v>
      </c>
      <c r="J54" s="15" t="s">
        <v>522</v>
      </c>
      <c r="K54" s="15" t="s">
        <v>512</v>
      </c>
      <c r="L54" s="15" t="s">
        <v>513</v>
      </c>
      <c r="M54" s="15" t="s">
        <v>514</v>
      </c>
      <c r="N54" s="15" t="s">
        <v>515</v>
      </c>
      <c r="O54" s="15" t="s">
        <v>82</v>
      </c>
      <c r="P54" s="15" t="s">
        <v>523</v>
      </c>
      <c r="Q54" s="15" t="s">
        <v>524</v>
      </c>
      <c r="R54" s="16">
        <v>44329</v>
      </c>
      <c r="S54" s="17" t="s">
        <v>70</v>
      </c>
      <c r="T54" s="20">
        <f>HYPERLINK("https://vnm.spiral.com.vn//uploaded/20210513/47A6FC4A-0769-4ED7-9920-C4120C648663.jpg","16:41:51")</f>
      </c>
      <c r="U54" s="20">
        <f>HYPERLINK("https://vnm.spiral.com.vn//uploaded/20210513/27F58906-E37C-4966-A822-9AE31FC528E7.jpg","17:18:25")</f>
      </c>
      <c r="V54" s="18">
        <v>0.02539351851851852</v>
      </c>
      <c r="W54" s="15" t="s">
        <v>525</v>
      </c>
      <c r="X54" s="15" t="s">
        <v>526</v>
      </c>
      <c r="Y54" s="15" t="s">
        <v>35</v>
      </c>
      <c r="Z54" s="19">
        <v>0</v>
      </c>
      <c r="AA54" s="15">
        <v>0</v>
      </c>
      <c r="AB54" s="15" t="s">
        <v>35</v>
      </c>
    </row>
    <row r="55">
      <c r="A55" s="15">
        <v>51</v>
      </c>
      <c r="B55" s="15" t="s">
        <v>87</v>
      </c>
      <c r="C55" s="15" t="s">
        <v>88</v>
      </c>
      <c r="D55" s="15" t="s">
        <v>135</v>
      </c>
      <c r="E55" s="15" t="s">
        <v>116</v>
      </c>
      <c r="F55" s="15" t="s">
        <v>35</v>
      </c>
      <c r="G55" s="15" t="s">
        <v>74</v>
      </c>
      <c r="H55" s="15" t="s">
        <v>527</v>
      </c>
      <c r="I55" s="15" t="s">
        <v>528</v>
      </c>
      <c r="J55" s="15" t="s">
        <v>529</v>
      </c>
      <c r="K55" s="15" t="s">
        <v>139</v>
      </c>
      <c r="L55" s="15" t="s">
        <v>140</v>
      </c>
      <c r="M55" s="15" t="s">
        <v>530</v>
      </c>
      <c r="N55" s="15" t="s">
        <v>531</v>
      </c>
      <c r="O55" s="15" t="s">
        <v>82</v>
      </c>
      <c r="P55" s="15" t="s">
        <v>532</v>
      </c>
      <c r="Q55" s="15" t="s">
        <v>533</v>
      </c>
      <c r="R55" s="16">
        <v>44329</v>
      </c>
      <c r="S55" s="17" t="s">
        <v>70</v>
      </c>
      <c r="T55" s="20">
        <f>HYPERLINK("https://vnm.spiral.com.vn//uploaded/20210513/353ace81-7b23-48c6-9101-d7f9f2da109a.JPEG","17:02:43")</f>
      </c>
      <c r="U55" s="20">
        <f>HYPERLINK("https://vnm.spiral.com.vn//uploaded/20210513/cbc4ea2b-1b29-4f32-91a2-8a9e51f049a0.JPEG","17:18:23")</f>
      </c>
      <c r="V55" s="18">
        <v>0.01087962962962963</v>
      </c>
      <c r="W55" s="15" t="s">
        <v>534</v>
      </c>
      <c r="X55" s="15" t="s">
        <v>535</v>
      </c>
      <c r="Y55" s="15" t="s">
        <v>35</v>
      </c>
      <c r="Z55" s="19">
        <v>0</v>
      </c>
      <c r="AA55" s="15">
        <v>0</v>
      </c>
      <c r="AB55" s="15" t="s">
        <v>35</v>
      </c>
    </row>
    <row r="56">
      <c r="A56" s="15">
        <v>52</v>
      </c>
      <c r="B56" s="15" t="s">
        <v>33</v>
      </c>
      <c r="C56" s="15" t="s">
        <v>492</v>
      </c>
      <c r="D56" s="15" t="s">
        <v>536</v>
      </c>
      <c r="E56" s="15" t="s">
        <v>116</v>
      </c>
      <c r="F56" s="15" t="s">
        <v>35</v>
      </c>
      <c r="G56" s="15" t="s">
        <v>74</v>
      </c>
      <c r="H56" s="15" t="s">
        <v>537</v>
      </c>
      <c r="I56" s="15" t="s">
        <v>538</v>
      </c>
      <c r="J56" s="15" t="s">
        <v>539</v>
      </c>
      <c r="K56" s="15" t="s">
        <v>540</v>
      </c>
      <c r="L56" s="15" t="s">
        <v>541</v>
      </c>
      <c r="M56" s="15" t="s">
        <v>542</v>
      </c>
      <c r="N56" s="15" t="s">
        <v>543</v>
      </c>
      <c r="O56" s="15" t="s">
        <v>82</v>
      </c>
      <c r="P56" s="15" t="s">
        <v>544</v>
      </c>
      <c r="Q56" s="15" t="s">
        <v>545</v>
      </c>
      <c r="R56" s="16">
        <v>44329</v>
      </c>
      <c r="S56" s="17" t="s">
        <v>70</v>
      </c>
      <c r="T56" s="20">
        <f>HYPERLINK("https://vnm.spiral.com.vn//uploaded/20210513/EA20C613-1CB5-4A73-9A64-C6102286A434.jpg","07:45:52")</f>
      </c>
      <c r="U56" s="20">
        <f>HYPERLINK("https://vnm.spiral.com.vn//uploaded/20210513/E2F2E395-03E2-4B9D-B26D-6A1C7291ED83.jpg","17:18:23")</f>
      </c>
      <c r="V56" s="18">
        <v>0.3975810185185185</v>
      </c>
      <c r="W56" s="15" t="s">
        <v>546</v>
      </c>
      <c r="X56" s="15" t="s">
        <v>547</v>
      </c>
      <c r="Y56" s="15" t="s">
        <v>35</v>
      </c>
      <c r="Z56" s="19">
        <v>0</v>
      </c>
      <c r="AA56" s="15">
        <v>0</v>
      </c>
      <c r="AB56" s="15" t="s">
        <v>35</v>
      </c>
    </row>
    <row r="57">
      <c r="A57" s="15">
        <v>53</v>
      </c>
      <c r="B57" s="15" t="s">
        <v>246</v>
      </c>
      <c r="C57" s="15" t="s">
        <v>276</v>
      </c>
      <c r="D57" s="15" t="s">
        <v>357</v>
      </c>
      <c r="E57" s="15" t="s">
        <v>90</v>
      </c>
      <c r="F57" s="15" t="s">
        <v>35</v>
      </c>
      <c r="G57" s="15" t="s">
        <v>74</v>
      </c>
      <c r="H57" s="15" t="s">
        <v>548</v>
      </c>
      <c r="I57" s="15" t="s">
        <v>549</v>
      </c>
      <c r="J57" s="15" t="s">
        <v>550</v>
      </c>
      <c r="K57" s="15" t="s">
        <v>263</v>
      </c>
      <c r="L57" s="15" t="s">
        <v>264</v>
      </c>
      <c r="M57" s="15" t="s">
        <v>280</v>
      </c>
      <c r="N57" s="15" t="s">
        <v>281</v>
      </c>
      <c r="O57" s="15" t="s">
        <v>156</v>
      </c>
      <c r="P57" s="15" t="s">
        <v>551</v>
      </c>
      <c r="Q57" s="15" t="s">
        <v>552</v>
      </c>
      <c r="R57" s="16">
        <v>44329</v>
      </c>
      <c r="S57" s="17" t="s">
        <v>59</v>
      </c>
      <c r="T57" s="20">
        <f>HYPERLINK("https://vnm.spiral.com.vn//uploaded/20210513/B6C18A69-0059-4EF4-BE59-701A580C52A1.jpg","13:27:29")</f>
      </c>
      <c r="U57" s="20">
        <f>HYPERLINK("https://vnm.spiral.com.vn//uploaded/20210513/DA3A80A0-EBF0-41E4-944C-B21D8D84A71A.jpg","17:18:21")</f>
      </c>
      <c r="V57" s="18">
        <v>0.16032407407407406</v>
      </c>
      <c r="W57" s="15" t="s">
        <v>553</v>
      </c>
      <c r="X57" s="15" t="s">
        <v>554</v>
      </c>
      <c r="Y57" s="15" t="s">
        <v>35</v>
      </c>
      <c r="Z57" s="19">
        <v>0</v>
      </c>
      <c r="AA57" s="15">
        <v>0</v>
      </c>
      <c r="AB57" s="15" t="s">
        <v>35</v>
      </c>
    </row>
    <row r="58">
      <c r="A58" s="15">
        <v>54</v>
      </c>
      <c r="B58" s="15" t="s">
        <v>61</v>
      </c>
      <c r="C58" s="15" t="s">
        <v>303</v>
      </c>
      <c r="D58" s="15" t="s">
        <v>89</v>
      </c>
      <c r="E58" s="15" t="s">
        <v>90</v>
      </c>
      <c r="F58" s="15" t="s">
        <v>35</v>
      </c>
      <c r="G58" s="15" t="s">
        <v>74</v>
      </c>
      <c r="H58" s="15" t="s">
        <v>555</v>
      </c>
      <c r="I58" s="15" t="s">
        <v>556</v>
      </c>
      <c r="J58" s="15" t="s">
        <v>557</v>
      </c>
      <c r="K58" s="15" t="s">
        <v>232</v>
      </c>
      <c r="L58" s="15" t="s">
        <v>233</v>
      </c>
      <c r="M58" s="15" t="s">
        <v>503</v>
      </c>
      <c r="N58" s="15" t="s">
        <v>504</v>
      </c>
      <c r="O58" s="15" t="s">
        <v>156</v>
      </c>
      <c r="P58" s="15" t="s">
        <v>558</v>
      </c>
      <c r="Q58" s="15" t="s">
        <v>559</v>
      </c>
      <c r="R58" s="16">
        <v>44329</v>
      </c>
      <c r="S58" s="17" t="s">
        <v>70</v>
      </c>
      <c r="T58" s="20">
        <f>HYPERLINK("https://vnm.spiral.com.vn//uploaded/20210513/D891459D-2B21-442D-A1F4-37C9390E78F2.jpg","07:33:47")</f>
      </c>
      <c r="U58" s="20">
        <f>HYPERLINK("https://vnm.spiral.com.vn//uploaded/20210513/E5EB0CDA-3433-45B4-B51B-D4F64D9992CC.jpg","17:18:18")</f>
      </c>
      <c r="V58" s="18">
        <v>0.4059143518518519</v>
      </c>
      <c r="W58" s="15" t="s">
        <v>560</v>
      </c>
      <c r="X58" s="15" t="s">
        <v>561</v>
      </c>
      <c r="Y58" s="15" t="s">
        <v>35</v>
      </c>
      <c r="Z58" s="19">
        <v>0</v>
      </c>
      <c r="AA58" s="15">
        <v>0</v>
      </c>
      <c r="AB58" s="15" t="s">
        <v>35</v>
      </c>
    </row>
    <row r="59">
      <c r="A59" s="15">
        <v>55</v>
      </c>
      <c r="B59" s="15" t="s">
        <v>103</v>
      </c>
      <c r="C59" s="15" t="s">
        <v>186</v>
      </c>
      <c r="D59" s="15" t="s">
        <v>35</v>
      </c>
      <c r="E59" s="15" t="s">
        <v>35</v>
      </c>
      <c r="F59" s="15" t="s">
        <v>35</v>
      </c>
      <c r="G59" s="15" t="s">
        <v>36</v>
      </c>
      <c r="H59" s="15" t="s">
        <v>562</v>
      </c>
      <c r="I59" s="15" t="s">
        <v>563</v>
      </c>
      <c r="J59" s="15" t="s">
        <v>564</v>
      </c>
      <c r="K59" s="15" t="s">
        <v>40</v>
      </c>
      <c r="L59" s="15" t="s">
        <v>41</v>
      </c>
      <c r="M59" s="15" t="s">
        <v>565</v>
      </c>
      <c r="N59" s="15" t="s">
        <v>566</v>
      </c>
      <c r="O59" s="15" t="s">
        <v>44</v>
      </c>
      <c r="P59" s="15" t="s">
        <v>567</v>
      </c>
      <c r="Q59" s="15" t="s">
        <v>568</v>
      </c>
      <c r="R59" s="16">
        <v>44329</v>
      </c>
      <c r="S59" s="17" t="s">
        <v>569</v>
      </c>
      <c r="T59" s="20">
        <f>HYPERLINK("https://vnm.spiral.com.vn//uploaded/20210513/3E8D61EC-3251-4CF3-8F78-F2B051FB2C76.jpg","14:25:40")</f>
      </c>
      <c r="U59" s="20">
        <f>HYPERLINK("https://vnm.spiral.com.vn//uploaded/20210513/A595C306-2E57-4A80-87D7-41C554008F4F.jpg","17:18:06")</f>
      </c>
      <c r="V59" s="18">
        <v>0.11974537037037038</v>
      </c>
      <c r="W59" s="15" t="s">
        <v>570</v>
      </c>
      <c r="X59" s="15" t="s">
        <v>571</v>
      </c>
      <c r="Y59" s="15" t="s">
        <v>35</v>
      </c>
      <c r="Z59" s="19">
        <v>0</v>
      </c>
      <c r="AA59" s="15">
        <v>0</v>
      </c>
      <c r="AB59" s="15" t="s">
        <v>35</v>
      </c>
    </row>
    <row r="60">
      <c r="A60" s="15">
        <v>56</v>
      </c>
      <c r="B60" s="15" t="s">
        <v>61</v>
      </c>
      <c r="C60" s="15" t="s">
        <v>320</v>
      </c>
      <c r="D60" s="15" t="s">
        <v>35</v>
      </c>
      <c r="E60" s="15" t="s">
        <v>35</v>
      </c>
      <c r="F60" s="15" t="s">
        <v>35</v>
      </c>
      <c r="G60" s="15" t="s">
        <v>36</v>
      </c>
      <c r="H60" s="15" t="s">
        <v>572</v>
      </c>
      <c r="I60" s="15" t="s">
        <v>573</v>
      </c>
      <c r="J60" s="15" t="s">
        <v>574</v>
      </c>
      <c r="K60" s="15" t="s">
        <v>40</v>
      </c>
      <c r="L60" s="15" t="s">
        <v>41</v>
      </c>
      <c r="M60" s="15" t="s">
        <v>205</v>
      </c>
      <c r="N60" s="15" t="s">
        <v>206</v>
      </c>
      <c r="O60" s="15" t="s">
        <v>44</v>
      </c>
      <c r="P60" s="15" t="s">
        <v>575</v>
      </c>
      <c r="Q60" s="15" t="s">
        <v>576</v>
      </c>
      <c r="R60" s="16">
        <v>44329</v>
      </c>
      <c r="S60" s="17" t="s">
        <v>577</v>
      </c>
      <c r="T60" s="20">
        <f>HYPERLINK("https://vnm.spiral.com.vn//uploaded/20210513/a6894a3e-4022-4ec3-be35-709ea0a98431.JPEG","08:08:27")</f>
      </c>
      <c r="U60" s="20">
        <f>HYPERLINK("https://vnm.spiral.com.vn//uploaded/20210513/72c92c02-3be8-48fa-a021-335848e4ae4c.JPEG","17:18:02")</f>
      </c>
      <c r="V60" s="18">
        <v>0.3816550925925926</v>
      </c>
      <c r="W60" s="15" t="s">
        <v>578</v>
      </c>
      <c r="X60" s="15" t="s">
        <v>579</v>
      </c>
      <c r="Y60" s="15" t="s">
        <v>35</v>
      </c>
      <c r="Z60" s="19">
        <v>0</v>
      </c>
      <c r="AA60" s="15">
        <v>0</v>
      </c>
      <c r="AB60" s="15" t="s">
        <v>35</v>
      </c>
    </row>
    <row r="61">
      <c r="A61" s="15">
        <v>57</v>
      </c>
      <c r="B61" s="15" t="s">
        <v>343</v>
      </c>
      <c r="C61" s="15" t="s">
        <v>580</v>
      </c>
      <c r="D61" s="15" t="s">
        <v>536</v>
      </c>
      <c r="E61" s="15" t="s">
        <v>116</v>
      </c>
      <c r="F61" s="15" t="s">
        <v>35</v>
      </c>
      <c r="G61" s="15" t="s">
        <v>74</v>
      </c>
      <c r="H61" s="15" t="s">
        <v>581</v>
      </c>
      <c r="I61" s="15" t="s">
        <v>582</v>
      </c>
      <c r="J61" s="15" t="s">
        <v>583</v>
      </c>
      <c r="K61" s="15" t="s">
        <v>584</v>
      </c>
      <c r="L61" s="15" t="s">
        <v>585</v>
      </c>
      <c r="M61" s="15" t="s">
        <v>586</v>
      </c>
      <c r="N61" s="15" t="s">
        <v>587</v>
      </c>
      <c r="O61" s="15" t="s">
        <v>82</v>
      </c>
      <c r="P61" s="15" t="s">
        <v>588</v>
      </c>
      <c r="Q61" s="15" t="s">
        <v>589</v>
      </c>
      <c r="R61" s="16">
        <v>44329</v>
      </c>
      <c r="S61" s="17" t="s">
        <v>70</v>
      </c>
      <c r="T61" s="20">
        <f>HYPERLINK("https://vnm.spiral.com.vn//uploaded/20210513/c4aaa130-be9b-443d-aff9-ca8ec7431a4f.JPEG","07:48:40")</f>
      </c>
      <c r="U61" s="20">
        <f>HYPERLINK("https://vnm.spiral.com.vn//uploaded/20210513/f89114ab-b8eb-41f4-9381-289ea4d37c97.JPEG","17:17:52")</f>
      </c>
      <c r="V61" s="18">
        <v>0.3952777777777778</v>
      </c>
      <c r="W61" s="15" t="s">
        <v>590</v>
      </c>
      <c r="X61" s="15" t="s">
        <v>591</v>
      </c>
      <c r="Y61" s="15" t="s">
        <v>35</v>
      </c>
      <c r="Z61" s="19">
        <v>0</v>
      </c>
      <c r="AA61" s="15">
        <v>0</v>
      </c>
      <c r="AB61" s="15" t="s">
        <v>35</v>
      </c>
    </row>
    <row r="62">
      <c r="A62" s="15">
        <v>58</v>
      </c>
      <c r="B62" s="15" t="s">
        <v>343</v>
      </c>
      <c r="C62" s="15" t="s">
        <v>580</v>
      </c>
      <c r="D62" s="15" t="s">
        <v>35</v>
      </c>
      <c r="E62" s="15" t="s">
        <v>35</v>
      </c>
      <c r="F62" s="15" t="s">
        <v>35</v>
      </c>
      <c r="G62" s="15" t="s">
        <v>36</v>
      </c>
      <c r="H62" s="15" t="s">
        <v>592</v>
      </c>
      <c r="I62" s="15" t="s">
        <v>593</v>
      </c>
      <c r="J62" s="15" t="s">
        <v>594</v>
      </c>
      <c r="K62" s="15" t="s">
        <v>40</v>
      </c>
      <c r="L62" s="15" t="s">
        <v>41</v>
      </c>
      <c r="M62" s="15" t="s">
        <v>595</v>
      </c>
      <c r="N62" s="15" t="s">
        <v>596</v>
      </c>
      <c r="O62" s="15" t="s">
        <v>44</v>
      </c>
      <c r="P62" s="15" t="s">
        <v>597</v>
      </c>
      <c r="Q62" s="15" t="s">
        <v>598</v>
      </c>
      <c r="R62" s="16">
        <v>44329</v>
      </c>
      <c r="S62" s="17" t="s">
        <v>70</v>
      </c>
      <c r="T62" s="20">
        <f>HYPERLINK("https://vnm.spiral.com.vn//uploaded/20210513/A3FAFD4F-9458-42FA-AD75-A219DA356B8C.jpg","07:43:56")</f>
      </c>
      <c r="U62" s="20">
        <f>HYPERLINK("https://vnm.spiral.com.vn//uploaded/20210513/433ACD2F-98CB-4E62-BD35-71F4CE8CDFBA.jpg","17:17:36")</f>
      </c>
      <c r="V62" s="18">
        <v>0.39837962962962964</v>
      </c>
      <c r="W62" s="15" t="s">
        <v>599</v>
      </c>
      <c r="X62" s="15" t="s">
        <v>600</v>
      </c>
      <c r="Y62" s="15" t="s">
        <v>35</v>
      </c>
      <c r="Z62" s="19">
        <v>0</v>
      </c>
      <c r="AA62" s="15">
        <v>0</v>
      </c>
      <c r="AB62" s="15" t="s">
        <v>35</v>
      </c>
    </row>
    <row r="63">
      <c r="A63" s="15">
        <v>59</v>
      </c>
      <c r="B63" s="15" t="s">
        <v>343</v>
      </c>
      <c r="C63" s="15" t="s">
        <v>601</v>
      </c>
      <c r="D63" s="15" t="s">
        <v>35</v>
      </c>
      <c r="E63" s="15" t="s">
        <v>35</v>
      </c>
      <c r="F63" s="15" t="s">
        <v>602</v>
      </c>
      <c r="G63" s="15" t="s">
        <v>36</v>
      </c>
      <c r="H63" s="15" t="s">
        <v>603</v>
      </c>
      <c r="I63" s="15" t="s">
        <v>604</v>
      </c>
      <c r="J63" s="15" t="s">
        <v>605</v>
      </c>
      <c r="K63" s="15" t="s">
        <v>40</v>
      </c>
      <c r="L63" s="15" t="s">
        <v>41</v>
      </c>
      <c r="M63" s="15" t="s">
        <v>595</v>
      </c>
      <c r="N63" s="15" t="s">
        <v>596</v>
      </c>
      <c r="O63" s="15" t="s">
        <v>44</v>
      </c>
      <c r="P63" s="15" t="s">
        <v>606</v>
      </c>
      <c r="Q63" s="15" t="s">
        <v>607</v>
      </c>
      <c r="R63" s="16">
        <v>44329</v>
      </c>
      <c r="S63" s="17" t="s">
        <v>326</v>
      </c>
      <c r="T63" s="20">
        <f>HYPERLINK("https://vnm.spiral.com.vn//uploaded/20210513/897439D9-2117-4F60-89E5-D718F8495E70.jpg","08:41:35")</f>
      </c>
      <c r="U63" s="20">
        <f>HYPERLINK("https://vnm.spiral.com.vn//uploaded/20210513/9DABDA23-802F-4934-A627-E21816AF5946.jpg","17:17:05")</f>
      </c>
      <c r="V63" s="18">
        <v>0.3579861111111111</v>
      </c>
      <c r="W63" s="15" t="s">
        <v>608</v>
      </c>
      <c r="X63" s="15" t="s">
        <v>609</v>
      </c>
      <c r="Y63" s="15" t="s">
        <v>35</v>
      </c>
      <c r="Z63" s="19">
        <v>0</v>
      </c>
      <c r="AA63" s="15">
        <v>0</v>
      </c>
      <c r="AB63" s="15" t="s">
        <v>35</v>
      </c>
    </row>
    <row r="64">
      <c r="A64" s="15">
        <v>60</v>
      </c>
      <c r="B64" s="15" t="s">
        <v>87</v>
      </c>
      <c r="C64" s="15" t="s">
        <v>88</v>
      </c>
      <c r="D64" s="15" t="s">
        <v>610</v>
      </c>
      <c r="E64" s="15" t="s">
        <v>90</v>
      </c>
      <c r="F64" s="15" t="s">
        <v>35</v>
      </c>
      <c r="G64" s="15" t="s">
        <v>74</v>
      </c>
      <c r="H64" s="15" t="s">
        <v>611</v>
      </c>
      <c r="I64" s="15" t="s">
        <v>612</v>
      </c>
      <c r="J64" s="15" t="s">
        <v>613</v>
      </c>
      <c r="K64" s="15" t="s">
        <v>614</v>
      </c>
      <c r="L64" s="15" t="s">
        <v>615</v>
      </c>
      <c r="M64" s="15" t="s">
        <v>616</v>
      </c>
      <c r="N64" s="15" t="s">
        <v>617</v>
      </c>
      <c r="O64" s="15" t="s">
        <v>82</v>
      </c>
      <c r="P64" s="15" t="s">
        <v>618</v>
      </c>
      <c r="Q64" s="15" t="s">
        <v>619</v>
      </c>
      <c r="R64" s="16">
        <v>44329</v>
      </c>
      <c r="S64" s="17" t="s">
        <v>70</v>
      </c>
      <c r="T64" s="20">
        <f>HYPERLINK("https://vnm.spiral.com.vn//uploaded/20210513/249045E9-EFC8-4A81-83C2-4FB099609779.jpg","15:10:22")</f>
      </c>
      <c r="U64" s="20">
        <f>HYPERLINK("https://vnm.spiral.com.vn//uploaded/20210513/CC6E1BBD-F162-4CF4-80D5-580D054331E9.jpg","17:16:57")</f>
      </c>
      <c r="V64" s="18">
        <v>0.08790509259259259</v>
      </c>
      <c r="W64" s="15" t="s">
        <v>620</v>
      </c>
      <c r="X64" s="15" t="s">
        <v>621</v>
      </c>
      <c r="Y64" s="15" t="s">
        <v>35</v>
      </c>
      <c r="Z64" s="19">
        <v>0</v>
      </c>
      <c r="AA64" s="15">
        <v>0</v>
      </c>
      <c r="AB64" s="15" t="s">
        <v>35</v>
      </c>
    </row>
    <row r="65">
      <c r="A65" s="15">
        <v>61</v>
      </c>
      <c r="B65" s="15" t="s">
        <v>87</v>
      </c>
      <c r="C65" s="15" t="s">
        <v>88</v>
      </c>
      <c r="D65" s="15" t="s">
        <v>432</v>
      </c>
      <c r="E65" s="15" t="s">
        <v>116</v>
      </c>
      <c r="F65" s="15" t="s">
        <v>35</v>
      </c>
      <c r="G65" s="15" t="s">
        <v>74</v>
      </c>
      <c r="H65" s="15" t="s">
        <v>622</v>
      </c>
      <c r="I65" s="15" t="s">
        <v>623</v>
      </c>
      <c r="J65" s="15" t="s">
        <v>624</v>
      </c>
      <c r="K65" s="15" t="s">
        <v>94</v>
      </c>
      <c r="L65" s="15" t="s">
        <v>95</v>
      </c>
      <c r="M65" s="15" t="s">
        <v>625</v>
      </c>
      <c r="N65" s="15" t="s">
        <v>626</v>
      </c>
      <c r="O65" s="15" t="s">
        <v>98</v>
      </c>
      <c r="P65" s="15" t="s">
        <v>627</v>
      </c>
      <c r="Q65" s="15" t="s">
        <v>628</v>
      </c>
      <c r="R65" s="16">
        <v>44329</v>
      </c>
      <c r="S65" s="17" t="s">
        <v>70</v>
      </c>
      <c r="T65" s="20">
        <f>HYPERLINK("https://vnm.spiral.com.vn//uploaded/20210513/cf9b4ac3-be48-4542-88f8-bd24f76f83e4.JPEG","16:10:31")</f>
      </c>
      <c r="U65" s="20">
        <f>HYPERLINK("https://vnm.spiral.com.vn//uploaded/20210513/d139eba0-1ac2-4382-991a-2d9b277d990a.JPEG","17:16:37")</f>
      </c>
      <c r="V65" s="18">
        <v>0.04590277777777778</v>
      </c>
      <c r="W65" s="15" t="s">
        <v>629</v>
      </c>
      <c r="X65" s="15" t="s">
        <v>630</v>
      </c>
      <c r="Y65" s="15" t="s">
        <v>35</v>
      </c>
      <c r="Z65" s="19">
        <v>0</v>
      </c>
      <c r="AA65" s="15">
        <v>0</v>
      </c>
      <c r="AB65" s="15" t="s">
        <v>35</v>
      </c>
    </row>
    <row r="66">
      <c r="A66" s="15">
        <v>62</v>
      </c>
      <c r="B66" s="15" t="s">
        <v>49</v>
      </c>
      <c r="C66" s="15" t="s">
        <v>369</v>
      </c>
      <c r="D66" s="15" t="s">
        <v>357</v>
      </c>
      <c r="E66" s="15" t="s">
        <v>90</v>
      </c>
      <c r="F66" s="15" t="s">
        <v>35</v>
      </c>
      <c r="G66" s="15" t="s">
        <v>74</v>
      </c>
      <c r="H66" s="15" t="s">
        <v>631</v>
      </c>
      <c r="I66" s="15" t="s">
        <v>632</v>
      </c>
      <c r="J66" s="15" t="s">
        <v>633</v>
      </c>
      <c r="K66" s="15" t="s">
        <v>166</v>
      </c>
      <c r="L66" s="15" t="s">
        <v>167</v>
      </c>
      <c r="M66" s="15" t="s">
        <v>168</v>
      </c>
      <c r="N66" s="15" t="s">
        <v>169</v>
      </c>
      <c r="O66" s="15" t="s">
        <v>156</v>
      </c>
      <c r="P66" s="15" t="s">
        <v>634</v>
      </c>
      <c r="Q66" s="15" t="s">
        <v>635</v>
      </c>
      <c r="R66" s="16">
        <v>44329</v>
      </c>
      <c r="S66" s="17" t="s">
        <v>70</v>
      </c>
      <c r="T66" s="20">
        <f>HYPERLINK("https://vnm.spiral.com.vn//uploaded/20210513/24c8db61-b82c-4fc7-81b2-d4e3e09ef47e.JPEG","07:48:13")</f>
      </c>
      <c r="U66" s="20">
        <f>HYPERLINK("https://vnm.spiral.com.vn//uploaded/20210513/c7d4728a-0af4-495f-9d9b-6b58e02bf906.JPEG","17:16:32")</f>
      </c>
      <c r="V66" s="18">
        <v>0.39466435185185184</v>
      </c>
      <c r="W66" s="15" t="s">
        <v>636</v>
      </c>
      <c r="X66" s="15" t="s">
        <v>637</v>
      </c>
      <c r="Y66" s="15" t="s">
        <v>35</v>
      </c>
      <c r="Z66" s="19">
        <v>0</v>
      </c>
      <c r="AA66" s="15">
        <v>0</v>
      </c>
      <c r="AB66" s="15" t="s">
        <v>35</v>
      </c>
    </row>
    <row r="67">
      <c r="A67" s="15">
        <v>63</v>
      </c>
      <c r="B67" s="15" t="s">
        <v>343</v>
      </c>
      <c r="C67" s="15" t="s">
        <v>344</v>
      </c>
      <c r="D67" s="15" t="s">
        <v>536</v>
      </c>
      <c r="E67" s="15" t="s">
        <v>116</v>
      </c>
      <c r="F67" s="15" t="s">
        <v>35</v>
      </c>
      <c r="G67" s="15" t="s">
        <v>74</v>
      </c>
      <c r="H67" s="15" t="s">
        <v>638</v>
      </c>
      <c r="I67" s="15" t="s">
        <v>639</v>
      </c>
      <c r="J67" s="15" t="s">
        <v>640</v>
      </c>
      <c r="K67" s="15" t="s">
        <v>584</v>
      </c>
      <c r="L67" s="15" t="s">
        <v>585</v>
      </c>
      <c r="M67" s="15" t="s">
        <v>586</v>
      </c>
      <c r="N67" s="15" t="s">
        <v>587</v>
      </c>
      <c r="O67" s="15" t="s">
        <v>82</v>
      </c>
      <c r="P67" s="15" t="s">
        <v>641</v>
      </c>
      <c r="Q67" s="15" t="s">
        <v>642</v>
      </c>
      <c r="R67" s="16">
        <v>44329</v>
      </c>
      <c r="S67" s="17" t="s">
        <v>70</v>
      </c>
      <c r="T67" s="20">
        <f>HYPERLINK("https://vnm.spiral.com.vn//uploaded/20210513/4C6FBD55-D42C-4421-A53A-817CC9DA4153.jpg","07:56:36")</f>
      </c>
      <c r="U67" s="20">
        <f>HYPERLINK("https://vnm.spiral.com.vn//uploaded/20210513/C92EAD75-9CD2-470A-B813-EE2EF8D8C9EF.jpg","17:16:30")</f>
      </c>
      <c r="V67" s="18">
        <v>0.38881944444444444</v>
      </c>
      <c r="W67" s="15" t="s">
        <v>643</v>
      </c>
      <c r="X67" s="15" t="s">
        <v>644</v>
      </c>
      <c r="Y67" s="15" t="s">
        <v>35</v>
      </c>
      <c r="Z67" s="19">
        <v>0</v>
      </c>
      <c r="AA67" s="15">
        <v>0</v>
      </c>
      <c r="AB67" s="15" t="s">
        <v>35</v>
      </c>
    </row>
    <row r="68">
      <c r="A68" s="15">
        <v>64</v>
      </c>
      <c r="B68" s="15" t="s">
        <v>343</v>
      </c>
      <c r="C68" s="15" t="s">
        <v>645</v>
      </c>
      <c r="D68" s="15" t="s">
        <v>35</v>
      </c>
      <c r="E68" s="15" t="s">
        <v>35</v>
      </c>
      <c r="F68" s="15" t="s">
        <v>35</v>
      </c>
      <c r="G68" s="15" t="s">
        <v>36</v>
      </c>
      <c r="H68" s="15" t="s">
        <v>646</v>
      </c>
      <c r="I68" s="15" t="s">
        <v>647</v>
      </c>
      <c r="J68" s="15" t="s">
        <v>648</v>
      </c>
      <c r="K68" s="15" t="s">
        <v>40</v>
      </c>
      <c r="L68" s="15" t="s">
        <v>41</v>
      </c>
      <c r="M68" s="15" t="s">
        <v>42</v>
      </c>
      <c r="N68" s="15" t="s">
        <v>43</v>
      </c>
      <c r="O68" s="15" t="s">
        <v>44</v>
      </c>
      <c r="P68" s="15" t="s">
        <v>649</v>
      </c>
      <c r="Q68" s="15" t="s">
        <v>650</v>
      </c>
      <c r="R68" s="16">
        <v>44329</v>
      </c>
      <c r="S68" s="17" t="s">
        <v>70</v>
      </c>
      <c r="T68" s="20">
        <f>HYPERLINK("https://vnm.spiral.com.vn//uploaded/20210513/D7E81CB2-CC6B-49BA-8589-14593A01477C.jpg","07:57:56")</f>
      </c>
      <c r="U68" s="20">
        <f>HYPERLINK("https://vnm.spiral.com.vn//uploaded/20210513/EFFA4666-4527-43DC-841A-0B46898D03EC.jpg","17:16:29")</f>
      </c>
      <c r="V68" s="18">
        <v>0.38788194444444446</v>
      </c>
      <c r="W68" s="15" t="s">
        <v>651</v>
      </c>
      <c r="X68" s="15" t="s">
        <v>652</v>
      </c>
      <c r="Y68" s="15" t="s">
        <v>35</v>
      </c>
      <c r="Z68" s="19">
        <v>0</v>
      </c>
      <c r="AA68" s="15">
        <v>0</v>
      </c>
      <c r="AB68" s="15" t="s">
        <v>35</v>
      </c>
    </row>
    <row r="69">
      <c r="A69" s="15">
        <v>65</v>
      </c>
      <c r="B69" s="15" t="s">
        <v>87</v>
      </c>
      <c r="C69" s="15" t="s">
        <v>88</v>
      </c>
      <c r="D69" s="15" t="s">
        <v>610</v>
      </c>
      <c r="E69" s="15" t="s">
        <v>90</v>
      </c>
      <c r="F69" s="15" t="s">
        <v>35</v>
      </c>
      <c r="G69" s="15" t="s">
        <v>74</v>
      </c>
      <c r="H69" s="15" t="s">
        <v>653</v>
      </c>
      <c r="I69" s="15" t="s">
        <v>654</v>
      </c>
      <c r="J69" s="15" t="s">
        <v>655</v>
      </c>
      <c r="K69" s="15" t="s">
        <v>614</v>
      </c>
      <c r="L69" s="15" t="s">
        <v>615</v>
      </c>
      <c r="M69" s="15" t="s">
        <v>616</v>
      </c>
      <c r="N69" s="15" t="s">
        <v>617</v>
      </c>
      <c r="O69" s="15" t="s">
        <v>82</v>
      </c>
      <c r="P69" s="15" t="s">
        <v>656</v>
      </c>
      <c r="Q69" s="15" t="s">
        <v>657</v>
      </c>
      <c r="R69" s="16">
        <v>44329</v>
      </c>
      <c r="S69" s="17" t="s">
        <v>70</v>
      </c>
      <c r="T69" s="20">
        <f>HYPERLINK("https://vnm.spiral.com.vn//uploaded/20210513/bdf615ec-679c-4d0f-88a1-cfc9762ffb26.JPEG","17:01:09")</f>
      </c>
      <c r="U69" s="20">
        <f>HYPERLINK("https://vnm.spiral.com.vn//uploaded/20210513/693990cf-69b4-4883-9ade-31c2cdc160fd.JPEG","17:16:17")</f>
      </c>
      <c r="V69" s="18">
        <v>0.01050925925925926</v>
      </c>
      <c r="W69" s="15" t="s">
        <v>658</v>
      </c>
      <c r="X69" s="15" t="s">
        <v>659</v>
      </c>
      <c r="Y69" s="15" t="s">
        <v>35</v>
      </c>
      <c r="Z69" s="19">
        <v>0</v>
      </c>
      <c r="AA69" s="15">
        <v>0</v>
      </c>
      <c r="AB69" s="15" t="s">
        <v>35</v>
      </c>
    </row>
    <row r="70">
      <c r="A70" s="15">
        <v>66</v>
      </c>
      <c r="B70" s="15" t="s">
        <v>103</v>
      </c>
      <c r="C70" s="15" t="s">
        <v>186</v>
      </c>
      <c r="D70" s="15" t="s">
        <v>35</v>
      </c>
      <c r="E70" s="15" t="s">
        <v>35</v>
      </c>
      <c r="F70" s="15" t="s">
        <v>35</v>
      </c>
      <c r="G70" s="15" t="s">
        <v>36</v>
      </c>
      <c r="H70" s="15" t="s">
        <v>660</v>
      </c>
      <c r="I70" s="15" t="s">
        <v>661</v>
      </c>
      <c r="J70" s="15" t="s">
        <v>662</v>
      </c>
      <c r="K70" s="15" t="s">
        <v>40</v>
      </c>
      <c r="L70" s="15" t="s">
        <v>41</v>
      </c>
      <c r="M70" s="15" t="s">
        <v>565</v>
      </c>
      <c r="N70" s="15" t="s">
        <v>566</v>
      </c>
      <c r="O70" s="15" t="s">
        <v>44</v>
      </c>
      <c r="P70" s="15" t="s">
        <v>663</v>
      </c>
      <c r="Q70" s="15" t="s">
        <v>664</v>
      </c>
      <c r="R70" s="16">
        <v>44329</v>
      </c>
      <c r="S70" s="17" t="s">
        <v>59</v>
      </c>
      <c r="T70" s="20">
        <f>HYPERLINK("https://vnm.spiral.com.vn//uploaded/20210513/2AC0F8FB-E9A5-459D-842E-5A8FFBD2BCEB.jpg","12:47:12")</f>
      </c>
      <c r="U70" s="20">
        <f>HYPERLINK("https://vnm.spiral.com.vn//uploaded/20210513/B0C032FC-BD68-4AF1-B10A-44011D71528B.jpg","17:15:40")</f>
      </c>
      <c r="V70" s="18">
        <v>0.18643518518518518</v>
      </c>
      <c r="W70" s="15" t="s">
        <v>665</v>
      </c>
      <c r="X70" s="15" t="s">
        <v>666</v>
      </c>
      <c r="Y70" s="15" t="s">
        <v>35</v>
      </c>
      <c r="Z70" s="19">
        <v>0</v>
      </c>
      <c r="AA70" s="15">
        <v>0</v>
      </c>
      <c r="AB70" s="15" t="s">
        <v>35</v>
      </c>
    </row>
    <row r="71">
      <c r="A71" s="15">
        <v>67</v>
      </c>
      <c r="B71" s="15" t="s">
        <v>343</v>
      </c>
      <c r="C71" s="15" t="s">
        <v>645</v>
      </c>
      <c r="D71" s="15" t="s">
        <v>35</v>
      </c>
      <c r="E71" s="15" t="s">
        <v>35</v>
      </c>
      <c r="F71" s="15" t="s">
        <v>35</v>
      </c>
      <c r="G71" s="15" t="s">
        <v>36</v>
      </c>
      <c r="H71" s="15" t="s">
        <v>667</v>
      </c>
      <c r="I71" s="15" t="s">
        <v>668</v>
      </c>
      <c r="J71" s="15" t="s">
        <v>669</v>
      </c>
      <c r="K71" s="15" t="s">
        <v>40</v>
      </c>
      <c r="L71" s="15" t="s">
        <v>41</v>
      </c>
      <c r="M71" s="15" t="s">
        <v>42</v>
      </c>
      <c r="N71" s="15" t="s">
        <v>43</v>
      </c>
      <c r="O71" s="15" t="s">
        <v>44</v>
      </c>
      <c r="P71" s="15" t="s">
        <v>670</v>
      </c>
      <c r="Q71" s="15" t="s">
        <v>671</v>
      </c>
      <c r="R71" s="16">
        <v>44329</v>
      </c>
      <c r="S71" s="17" t="s">
        <v>70</v>
      </c>
      <c r="T71" s="20">
        <f>HYPERLINK("https://vnm.spiral.com.vn//uploaded/20210513/0de40dba-7f4a-4bd9-92ed-2ffb91f2b153.JPEG","08:00:22")</f>
      </c>
      <c r="U71" s="20">
        <f>HYPERLINK("https://vnm.spiral.com.vn//uploaded/20210513/3f2c1e84-d8f3-47da-b3d1-62d9fe369904.JPEG","17:15:29")</f>
      </c>
      <c r="V71" s="18">
        <v>0.3854976851851852</v>
      </c>
      <c r="W71" s="15" t="s">
        <v>672</v>
      </c>
      <c r="X71" s="15" t="s">
        <v>673</v>
      </c>
      <c r="Y71" s="15" t="s">
        <v>35</v>
      </c>
      <c r="Z71" s="19">
        <v>0</v>
      </c>
      <c r="AA71" s="15">
        <v>0</v>
      </c>
      <c r="AB71" s="15" t="s">
        <v>35</v>
      </c>
    </row>
    <row r="72">
      <c r="A72" s="15">
        <v>68</v>
      </c>
      <c r="B72" s="15" t="s">
        <v>343</v>
      </c>
      <c r="C72" s="15" t="s">
        <v>344</v>
      </c>
      <c r="D72" s="15" t="s">
        <v>35</v>
      </c>
      <c r="E72" s="15" t="s">
        <v>35</v>
      </c>
      <c r="F72" s="15" t="s">
        <v>35</v>
      </c>
      <c r="G72" s="15" t="s">
        <v>36</v>
      </c>
      <c r="H72" s="15" t="s">
        <v>674</v>
      </c>
      <c r="I72" s="15" t="s">
        <v>675</v>
      </c>
      <c r="J72" s="15" t="s">
        <v>676</v>
      </c>
      <c r="K72" s="15" t="s">
        <v>40</v>
      </c>
      <c r="L72" s="15" t="s">
        <v>41</v>
      </c>
      <c r="M72" s="15" t="s">
        <v>595</v>
      </c>
      <c r="N72" s="15" t="s">
        <v>596</v>
      </c>
      <c r="O72" s="15" t="s">
        <v>44</v>
      </c>
      <c r="P72" s="15" t="s">
        <v>677</v>
      </c>
      <c r="Q72" s="15" t="s">
        <v>678</v>
      </c>
      <c r="R72" s="16">
        <v>44329</v>
      </c>
      <c r="S72" s="17" t="s">
        <v>70</v>
      </c>
      <c r="T72" s="20">
        <f>HYPERLINK("https://vnm.spiral.com.vn//uploaded/20210513/58de2e93-68cc-46bd-989c-c90c441641b3.JPEG","08:51:57")</f>
      </c>
      <c r="U72" s="20">
        <f>HYPERLINK("https://vnm.spiral.com.vn//uploaded/20210513/82279a33-4cce-4fe3-a716-e220ec4840e6.JPEG","17:15:26")</f>
      </c>
      <c r="V72" s="18">
        <v>0.3496412037037037</v>
      </c>
      <c r="W72" s="15" t="s">
        <v>679</v>
      </c>
      <c r="X72" s="15" t="s">
        <v>680</v>
      </c>
      <c r="Y72" s="15" t="s">
        <v>35</v>
      </c>
      <c r="Z72" s="19">
        <v>0</v>
      </c>
      <c r="AA72" s="15">
        <v>0</v>
      </c>
      <c r="AB72" s="15" t="s">
        <v>35</v>
      </c>
    </row>
    <row r="73">
      <c r="A73" s="15">
        <v>69</v>
      </c>
      <c r="B73" s="15" t="s">
        <v>343</v>
      </c>
      <c r="C73" s="15" t="s">
        <v>344</v>
      </c>
      <c r="D73" s="15" t="s">
        <v>35</v>
      </c>
      <c r="E73" s="15" t="s">
        <v>35</v>
      </c>
      <c r="F73" s="15" t="s">
        <v>35</v>
      </c>
      <c r="G73" s="15" t="s">
        <v>36</v>
      </c>
      <c r="H73" s="15" t="s">
        <v>681</v>
      </c>
      <c r="I73" s="15" t="s">
        <v>682</v>
      </c>
      <c r="J73" s="15" t="s">
        <v>683</v>
      </c>
      <c r="K73" s="15" t="s">
        <v>40</v>
      </c>
      <c r="L73" s="15" t="s">
        <v>41</v>
      </c>
      <c r="M73" s="15" t="s">
        <v>595</v>
      </c>
      <c r="N73" s="15" t="s">
        <v>596</v>
      </c>
      <c r="O73" s="15" t="s">
        <v>44</v>
      </c>
      <c r="P73" s="15" t="s">
        <v>684</v>
      </c>
      <c r="Q73" s="15" t="s">
        <v>685</v>
      </c>
      <c r="R73" s="16">
        <v>44329</v>
      </c>
      <c r="S73" s="17" t="s">
        <v>686</v>
      </c>
      <c r="T73" s="20">
        <f>HYPERLINK("https://vnm.spiral.com.vn//uploaded/20210513/3AB325D9-00A6-433A-ACCF-F57E1B417AA6.jpg","15:02:46")</f>
      </c>
      <c r="U73" s="20">
        <f>HYPERLINK("https://vnm.spiral.com.vn//uploaded/20210513/DBB3BB3E-7E85-4896-8F96-BE28EA309FAA.jpg","17:15:25")</f>
      </c>
      <c r="V73" s="18">
        <v>0.09211805555555555</v>
      </c>
      <c r="W73" s="15" t="s">
        <v>687</v>
      </c>
      <c r="X73" s="15" t="s">
        <v>688</v>
      </c>
      <c r="Y73" s="15" t="s">
        <v>35</v>
      </c>
      <c r="Z73" s="19">
        <v>0</v>
      </c>
      <c r="AA73" s="15">
        <v>0</v>
      </c>
      <c r="AB73" s="15" t="s">
        <v>35</v>
      </c>
    </row>
    <row r="74">
      <c r="A74" s="15">
        <v>70</v>
      </c>
      <c r="B74" s="15" t="s">
        <v>33</v>
      </c>
      <c r="C74" s="15" t="s">
        <v>492</v>
      </c>
      <c r="D74" s="15" t="s">
        <v>35</v>
      </c>
      <c r="E74" s="15" t="s">
        <v>35</v>
      </c>
      <c r="F74" s="15" t="s">
        <v>35</v>
      </c>
      <c r="G74" s="15" t="s">
        <v>36</v>
      </c>
      <c r="H74" s="15" t="s">
        <v>689</v>
      </c>
      <c r="I74" s="15" t="s">
        <v>690</v>
      </c>
      <c r="J74" s="15" t="s">
        <v>691</v>
      </c>
      <c r="K74" s="15" t="s">
        <v>40</v>
      </c>
      <c r="L74" s="15" t="s">
        <v>41</v>
      </c>
      <c r="M74" s="15" t="s">
        <v>42</v>
      </c>
      <c r="N74" s="15" t="s">
        <v>43</v>
      </c>
      <c r="O74" s="15" t="s">
        <v>44</v>
      </c>
      <c r="P74" s="15" t="s">
        <v>692</v>
      </c>
      <c r="Q74" s="15" t="s">
        <v>693</v>
      </c>
      <c r="R74" s="16">
        <v>44329</v>
      </c>
      <c r="S74" s="17" t="s">
        <v>70</v>
      </c>
      <c r="T74" s="20">
        <f>HYPERLINK("https://vnm.spiral.com.vn//uploaded/20210513/0eef077a-492b-4e89-9255-4a6b0a9107cf.JPEG","07:43:00")</f>
      </c>
      <c r="U74" s="20">
        <f>HYPERLINK("https://vnm.spiral.com.vn//uploaded/20210513/8ab99c8e-8b0d-4868-bb72-b8ad03da24b7.JPEG","17:15:21")</f>
      </c>
      <c r="V74" s="18">
        <v>0.3974652777777778</v>
      </c>
      <c r="W74" s="15" t="s">
        <v>694</v>
      </c>
      <c r="X74" s="15" t="s">
        <v>695</v>
      </c>
      <c r="Y74" s="15" t="s">
        <v>35</v>
      </c>
      <c r="Z74" s="19">
        <v>0</v>
      </c>
      <c r="AA74" s="15">
        <v>0</v>
      </c>
      <c r="AB74" s="15" t="s">
        <v>35</v>
      </c>
    </row>
    <row r="75">
      <c r="A75" s="15">
        <v>71</v>
      </c>
      <c r="B75" s="15" t="s">
        <v>49</v>
      </c>
      <c r="C75" s="15" t="s">
        <v>50</v>
      </c>
      <c r="D75" s="15" t="s">
        <v>89</v>
      </c>
      <c r="E75" s="15" t="s">
        <v>90</v>
      </c>
      <c r="F75" s="15" t="s">
        <v>35</v>
      </c>
      <c r="G75" s="15" t="s">
        <v>74</v>
      </c>
      <c r="H75" s="15" t="s">
        <v>696</v>
      </c>
      <c r="I75" s="15" t="s">
        <v>697</v>
      </c>
      <c r="J75" s="15" t="s">
        <v>698</v>
      </c>
      <c r="K75" s="15" t="s">
        <v>168</v>
      </c>
      <c r="L75" s="15" t="s">
        <v>169</v>
      </c>
      <c r="M75" s="15" t="s">
        <v>383</v>
      </c>
      <c r="N75" s="15" t="s">
        <v>384</v>
      </c>
      <c r="O75" s="15" t="s">
        <v>156</v>
      </c>
      <c r="P75" s="15" t="s">
        <v>699</v>
      </c>
      <c r="Q75" s="15" t="s">
        <v>700</v>
      </c>
      <c r="R75" s="16">
        <v>44329</v>
      </c>
      <c r="S75" s="17" t="s">
        <v>70</v>
      </c>
      <c r="T75" s="20">
        <f>HYPERLINK("https://vnm.spiral.com.vn//uploaded/20210513/c45da949-7d05-4875-a7e8-7f775c802b65.JPEG","07:02:55")</f>
      </c>
      <c r="U75" s="20">
        <f>HYPERLINK("https://vnm.spiral.com.vn//uploaded/20210513/848d161c-2487-4e21-a09f-b54070e4c467.JPEG","17:15:17")</f>
      </c>
      <c r="V75" s="18">
        <v>0.4252546296296296</v>
      </c>
      <c r="W75" s="15" t="s">
        <v>701</v>
      </c>
      <c r="X75" s="15" t="s">
        <v>702</v>
      </c>
      <c r="Y75" s="15" t="s">
        <v>35</v>
      </c>
      <c r="Z75" s="19">
        <v>0</v>
      </c>
      <c r="AA75" s="15">
        <v>0</v>
      </c>
      <c r="AB75" s="15" t="s">
        <v>35</v>
      </c>
    </row>
    <row r="76">
      <c r="A76" s="15">
        <v>72</v>
      </c>
      <c r="B76" s="15" t="s">
        <v>87</v>
      </c>
      <c r="C76" s="15" t="s">
        <v>88</v>
      </c>
      <c r="D76" s="15" t="s">
        <v>89</v>
      </c>
      <c r="E76" s="15" t="s">
        <v>90</v>
      </c>
      <c r="F76" s="15" t="s">
        <v>35</v>
      </c>
      <c r="G76" s="15" t="s">
        <v>74</v>
      </c>
      <c r="H76" s="15" t="s">
        <v>703</v>
      </c>
      <c r="I76" s="15" t="s">
        <v>704</v>
      </c>
      <c r="J76" s="15" t="s">
        <v>705</v>
      </c>
      <c r="K76" s="15" t="s">
        <v>96</v>
      </c>
      <c r="L76" s="15" t="s">
        <v>97</v>
      </c>
      <c r="M76" s="15" t="s">
        <v>706</v>
      </c>
      <c r="N76" s="15" t="s">
        <v>707</v>
      </c>
      <c r="O76" s="15" t="s">
        <v>156</v>
      </c>
      <c r="P76" s="15" t="s">
        <v>708</v>
      </c>
      <c r="Q76" s="15" t="s">
        <v>709</v>
      </c>
      <c r="R76" s="16">
        <v>44329</v>
      </c>
      <c r="S76" s="17" t="s">
        <v>70</v>
      </c>
      <c r="T76" s="20">
        <f>HYPERLINK("https://vnm.spiral.com.vn//uploaded/20210513/0D6B5A7F-DFAB-49B4-B69C-53E72FE5EED4.jpg","07:59:47")</f>
      </c>
      <c r="U76" s="20">
        <f>HYPERLINK("https://vnm.spiral.com.vn//uploaded/20210513/01001893-61B8-42BF-98D4-522C76EE534A.jpg","17:15:14")</f>
      </c>
      <c r="V76" s="18">
        <v>0.3857291666666667</v>
      </c>
      <c r="W76" s="15" t="s">
        <v>710</v>
      </c>
      <c r="X76" s="15" t="s">
        <v>711</v>
      </c>
      <c r="Y76" s="15" t="s">
        <v>35</v>
      </c>
      <c r="Z76" s="19">
        <v>0</v>
      </c>
      <c r="AA76" s="15">
        <v>0</v>
      </c>
      <c r="AB76" s="15" t="s">
        <v>35</v>
      </c>
    </row>
    <row r="77">
      <c r="A77" s="15">
        <v>73</v>
      </c>
      <c r="B77" s="15" t="s">
        <v>61</v>
      </c>
      <c r="C77" s="15" t="s">
        <v>712</v>
      </c>
      <c r="D77" s="15" t="s">
        <v>35</v>
      </c>
      <c r="E77" s="15" t="s">
        <v>35</v>
      </c>
      <c r="F77" s="15" t="s">
        <v>35</v>
      </c>
      <c r="G77" s="15" t="s">
        <v>36</v>
      </c>
      <c r="H77" s="15" t="s">
        <v>713</v>
      </c>
      <c r="I77" s="15" t="s">
        <v>714</v>
      </c>
      <c r="J77" s="15" t="s">
        <v>715</v>
      </c>
      <c r="K77" s="15" t="s">
        <v>40</v>
      </c>
      <c r="L77" s="15" t="s">
        <v>41</v>
      </c>
      <c r="M77" s="15" t="s">
        <v>205</v>
      </c>
      <c r="N77" s="15" t="s">
        <v>206</v>
      </c>
      <c r="O77" s="15" t="s">
        <v>44</v>
      </c>
      <c r="P77" s="15" t="s">
        <v>716</v>
      </c>
      <c r="Q77" s="15" t="s">
        <v>717</v>
      </c>
      <c r="R77" s="16">
        <v>44329</v>
      </c>
      <c r="S77" s="17" t="s">
        <v>718</v>
      </c>
      <c r="T77" s="20">
        <f>HYPERLINK("https://vnm.spiral.com.vn//uploaded/20210513/9ae91a84-8d6d-4cd4-917a-b395c4ae8c1e.JPEG","08:52:42")</f>
      </c>
      <c r="U77" s="20">
        <f>HYPERLINK("https://vnm.spiral.com.vn//uploaded/20210513/02d4e90e-c597-4a13-a0da-e2de208bf0f3.JPEG","17:15:10")</f>
      </c>
      <c r="V77" s="18">
        <v>0.3489351851851852</v>
      </c>
      <c r="W77" s="15" t="s">
        <v>719</v>
      </c>
      <c r="X77" s="15" t="s">
        <v>720</v>
      </c>
      <c r="Y77" s="15" t="s">
        <v>35</v>
      </c>
      <c r="Z77" s="19">
        <v>0</v>
      </c>
      <c r="AA77" s="15">
        <v>0</v>
      </c>
      <c r="AB77" s="15" t="s">
        <v>35</v>
      </c>
    </row>
    <row r="78">
      <c r="A78" s="15">
        <v>74</v>
      </c>
      <c r="B78" s="15" t="s">
        <v>343</v>
      </c>
      <c r="C78" s="15" t="s">
        <v>721</v>
      </c>
      <c r="D78" s="15" t="s">
        <v>35</v>
      </c>
      <c r="E78" s="15" t="s">
        <v>35</v>
      </c>
      <c r="F78" s="15" t="s">
        <v>35</v>
      </c>
      <c r="G78" s="15" t="s">
        <v>36</v>
      </c>
      <c r="H78" s="15" t="s">
        <v>722</v>
      </c>
      <c r="I78" s="15" t="s">
        <v>723</v>
      </c>
      <c r="J78" s="15" t="s">
        <v>724</v>
      </c>
      <c r="K78" s="15" t="s">
        <v>40</v>
      </c>
      <c r="L78" s="15" t="s">
        <v>41</v>
      </c>
      <c r="M78" s="15" t="s">
        <v>595</v>
      </c>
      <c r="N78" s="15" t="s">
        <v>596</v>
      </c>
      <c r="O78" s="15" t="s">
        <v>44</v>
      </c>
      <c r="P78" s="15" t="s">
        <v>725</v>
      </c>
      <c r="Q78" s="15" t="s">
        <v>726</v>
      </c>
      <c r="R78" s="16">
        <v>44329</v>
      </c>
      <c r="S78" s="17" t="s">
        <v>70</v>
      </c>
      <c r="T78" s="20">
        <f>HYPERLINK("https://vnm.spiral.com.vn//uploaded/20210513/09FF6F3D-A7C6-478E-9A41-CDA05C715A2E.jpg","07:15:14")</f>
      </c>
      <c r="U78" s="20">
        <f>HYPERLINK("https://vnm.spiral.com.vn//uploaded/20210513/BAE3DFF7-4D1F-4B53-AA86-7713A39E00B7.jpg","17:15:10")</f>
      </c>
      <c r="V78" s="18">
        <v>0.41662037037037036</v>
      </c>
      <c r="W78" s="15" t="s">
        <v>727</v>
      </c>
      <c r="X78" s="15" t="s">
        <v>728</v>
      </c>
      <c r="Y78" s="15" t="s">
        <v>35</v>
      </c>
      <c r="Z78" s="19">
        <v>0</v>
      </c>
      <c r="AA78" s="15">
        <v>0</v>
      </c>
      <c r="AB78" s="15" t="s">
        <v>35</v>
      </c>
    </row>
    <row r="79">
      <c r="A79" s="15">
        <v>75</v>
      </c>
      <c r="B79" s="15" t="s">
        <v>343</v>
      </c>
      <c r="C79" s="15" t="s">
        <v>344</v>
      </c>
      <c r="D79" s="15" t="s">
        <v>35</v>
      </c>
      <c r="E79" s="15" t="s">
        <v>35</v>
      </c>
      <c r="F79" s="15" t="s">
        <v>35</v>
      </c>
      <c r="G79" s="15" t="s">
        <v>36</v>
      </c>
      <c r="H79" s="15" t="s">
        <v>729</v>
      </c>
      <c r="I79" s="15" t="s">
        <v>730</v>
      </c>
      <c r="J79" s="15" t="s">
        <v>731</v>
      </c>
      <c r="K79" s="15" t="s">
        <v>40</v>
      </c>
      <c r="L79" s="15" t="s">
        <v>41</v>
      </c>
      <c r="M79" s="15" t="s">
        <v>409</v>
      </c>
      <c r="N79" s="15" t="s">
        <v>410</v>
      </c>
      <c r="O79" s="15" t="s">
        <v>44</v>
      </c>
      <c r="P79" s="15" t="s">
        <v>732</v>
      </c>
      <c r="Q79" s="15" t="s">
        <v>733</v>
      </c>
      <c r="R79" s="16">
        <v>44329</v>
      </c>
      <c r="S79" s="17" t="s">
        <v>734</v>
      </c>
      <c r="T79" s="20">
        <f>HYPERLINK("https://vnm.spiral.com.vn//uploaded/20210513/E1B221A9-F7BC-42B5-AFB5-884F10306B6F.jpg","14:02:57")</f>
      </c>
      <c r="U79" s="20">
        <f>HYPERLINK("https://vnm.spiral.com.vn//uploaded/20210513/793BC5B5-088B-4EE7-85E1-AB577E82C390.jpg","17:15:03")</f>
      </c>
      <c r="V79" s="18">
        <v>0.1334027777777778</v>
      </c>
      <c r="W79" s="15" t="s">
        <v>735</v>
      </c>
      <c r="X79" s="15" t="s">
        <v>736</v>
      </c>
      <c r="Y79" s="15" t="s">
        <v>35</v>
      </c>
      <c r="Z79" s="19">
        <v>0</v>
      </c>
      <c r="AA79" s="15">
        <v>0</v>
      </c>
      <c r="AB79" s="15" t="s">
        <v>35</v>
      </c>
    </row>
    <row r="80">
      <c r="A80" s="15">
        <v>76</v>
      </c>
      <c r="B80" s="15" t="s">
        <v>61</v>
      </c>
      <c r="C80" s="15" t="s">
        <v>737</v>
      </c>
      <c r="D80" s="15" t="s">
        <v>35</v>
      </c>
      <c r="E80" s="15" t="s">
        <v>35</v>
      </c>
      <c r="F80" s="15" t="s">
        <v>35</v>
      </c>
      <c r="G80" s="15" t="s">
        <v>36</v>
      </c>
      <c r="H80" s="15" t="s">
        <v>738</v>
      </c>
      <c r="I80" s="15" t="s">
        <v>739</v>
      </c>
      <c r="J80" s="15" t="s">
        <v>740</v>
      </c>
      <c r="K80" s="15" t="s">
        <v>40</v>
      </c>
      <c r="L80" s="15" t="s">
        <v>41</v>
      </c>
      <c r="M80" s="15" t="s">
        <v>205</v>
      </c>
      <c r="N80" s="15" t="s">
        <v>206</v>
      </c>
      <c r="O80" s="15" t="s">
        <v>44</v>
      </c>
      <c r="P80" s="15" t="s">
        <v>741</v>
      </c>
      <c r="Q80" s="15" t="s">
        <v>742</v>
      </c>
      <c r="R80" s="16">
        <v>44329</v>
      </c>
      <c r="S80" s="17" t="s">
        <v>59</v>
      </c>
      <c r="T80" s="20">
        <f>HYPERLINK("https://vnm.spiral.com.vn//uploaded/20210513/09d74495-6459-41ee-9e5e-35dce817422c.JPEG","13:00:55")</f>
      </c>
      <c r="U80" s="20">
        <f>HYPERLINK("https://vnm.spiral.com.vn//uploaded/20210513/1a5b529a-9f06-44b3-8319-1323ca70f95f.JPEG","17:15:00")</f>
      </c>
      <c r="V80" s="18">
        <v>0.17644675925925926</v>
      </c>
      <c r="W80" s="15" t="s">
        <v>743</v>
      </c>
      <c r="X80" s="15" t="s">
        <v>744</v>
      </c>
      <c r="Y80" s="15" t="s">
        <v>35</v>
      </c>
      <c r="Z80" s="19">
        <v>0</v>
      </c>
      <c r="AA80" s="15">
        <v>0</v>
      </c>
      <c r="AB80" s="15" t="s">
        <v>35</v>
      </c>
    </row>
    <row r="81">
      <c r="A81" s="15">
        <v>77</v>
      </c>
      <c r="B81" s="15" t="s">
        <v>87</v>
      </c>
      <c r="C81" s="15" t="s">
        <v>88</v>
      </c>
      <c r="D81" s="15" t="s">
        <v>304</v>
      </c>
      <c r="E81" s="15" t="s">
        <v>305</v>
      </c>
      <c r="F81" s="15" t="s">
        <v>35</v>
      </c>
      <c r="G81" s="15" t="s">
        <v>74</v>
      </c>
      <c r="H81" s="15" t="s">
        <v>745</v>
      </c>
      <c r="I81" s="15" t="s">
        <v>746</v>
      </c>
      <c r="J81" s="15" t="s">
        <v>747</v>
      </c>
      <c r="K81" s="15" t="s">
        <v>748</v>
      </c>
      <c r="L81" s="15" t="s">
        <v>749</v>
      </c>
      <c r="M81" s="15" t="s">
        <v>750</v>
      </c>
      <c r="N81" s="15" t="s">
        <v>751</v>
      </c>
      <c r="O81" s="15" t="s">
        <v>156</v>
      </c>
      <c r="P81" s="15" t="s">
        <v>752</v>
      </c>
      <c r="Q81" s="15" t="s">
        <v>753</v>
      </c>
      <c r="R81" s="16">
        <v>44329</v>
      </c>
      <c r="S81" s="17" t="s">
        <v>70</v>
      </c>
      <c r="T81" s="20">
        <f>HYPERLINK("https://vnm.spiral.com.vn//uploaded/20210513/3e722f4e-4e07-4a72-9237-c9c6598f9ce5.JPEG","07:49:26")</f>
      </c>
      <c r="U81" s="20">
        <f>HYPERLINK("https://vnm.spiral.com.vn//uploaded/20210513/a822849b-d3bb-4457-b5fd-9872c43353e3.JPEG","17:14:49")</f>
      </c>
      <c r="V81" s="18">
        <v>0.39262731481481483</v>
      </c>
      <c r="W81" s="15" t="s">
        <v>754</v>
      </c>
      <c r="X81" s="15" t="s">
        <v>755</v>
      </c>
      <c r="Y81" s="15" t="s">
        <v>35</v>
      </c>
      <c r="Z81" s="19">
        <v>0</v>
      </c>
      <c r="AA81" s="15">
        <v>0</v>
      </c>
      <c r="AB81" s="15" t="s">
        <v>35</v>
      </c>
    </row>
    <row r="82">
      <c r="A82" s="15">
        <v>78</v>
      </c>
      <c r="B82" s="15" t="s">
        <v>49</v>
      </c>
      <c r="C82" s="15" t="s">
        <v>756</v>
      </c>
      <c r="D82" s="15" t="s">
        <v>35</v>
      </c>
      <c r="E82" s="15" t="s">
        <v>35</v>
      </c>
      <c r="F82" s="15" t="s">
        <v>757</v>
      </c>
      <c r="G82" s="15" t="s">
        <v>36</v>
      </c>
      <c r="H82" s="15" t="s">
        <v>758</v>
      </c>
      <c r="I82" s="15" t="s">
        <v>759</v>
      </c>
      <c r="J82" s="15" t="s">
        <v>760</v>
      </c>
      <c r="K82" s="15" t="s">
        <v>40</v>
      </c>
      <c r="L82" s="15" t="s">
        <v>41</v>
      </c>
      <c r="M82" s="15" t="s">
        <v>55</v>
      </c>
      <c r="N82" s="15" t="s">
        <v>56</v>
      </c>
      <c r="O82" s="15" t="s">
        <v>44</v>
      </c>
      <c r="P82" s="15" t="s">
        <v>761</v>
      </c>
      <c r="Q82" s="15" t="s">
        <v>762</v>
      </c>
      <c r="R82" s="16">
        <v>44329</v>
      </c>
      <c r="S82" s="17" t="s">
        <v>70</v>
      </c>
      <c r="T82" s="20">
        <f>HYPERLINK("https://vnm.spiral.com.vn//uploaded/20210513/1EB3A6C9-17C2-4E40-AE14-451A96F3CCF6.jpg","08:10:24")</f>
      </c>
      <c r="U82" s="20">
        <f>HYPERLINK("https://vnm.spiral.com.vn//uploaded/20210513/D50B0025-004E-43BA-8CB0-3AA222F3DFA6.jpg","17:14:42")</f>
      </c>
      <c r="V82" s="18">
        <v>0.37798611111111113</v>
      </c>
      <c r="W82" s="15" t="s">
        <v>763</v>
      </c>
      <c r="X82" s="15" t="s">
        <v>764</v>
      </c>
      <c r="Y82" s="15" t="s">
        <v>35</v>
      </c>
      <c r="Z82" s="19">
        <v>0</v>
      </c>
      <c r="AA82" s="15">
        <v>0</v>
      </c>
      <c r="AB82" s="15" t="s">
        <v>35</v>
      </c>
    </row>
    <row r="83">
      <c r="A83" s="15">
        <v>79</v>
      </c>
      <c r="B83" s="15" t="s">
        <v>33</v>
      </c>
      <c r="C83" s="15" t="s">
        <v>765</v>
      </c>
      <c r="D83" s="15" t="s">
        <v>35</v>
      </c>
      <c r="E83" s="15" t="s">
        <v>35</v>
      </c>
      <c r="F83" s="15" t="s">
        <v>35</v>
      </c>
      <c r="G83" s="15" t="s">
        <v>74</v>
      </c>
      <c r="H83" s="15" t="s">
        <v>766</v>
      </c>
      <c r="I83" s="15" t="s">
        <v>767</v>
      </c>
      <c r="J83" s="15" t="s">
        <v>768</v>
      </c>
      <c r="K83" s="15" t="s">
        <v>540</v>
      </c>
      <c r="L83" s="15" t="s">
        <v>541</v>
      </c>
      <c r="M83" s="15" t="s">
        <v>769</v>
      </c>
      <c r="N83" s="15" t="s">
        <v>770</v>
      </c>
      <c r="O83" s="15" t="s">
        <v>82</v>
      </c>
      <c r="P83" s="15" t="s">
        <v>771</v>
      </c>
      <c r="Q83" s="15" t="s">
        <v>772</v>
      </c>
      <c r="R83" s="16">
        <v>44329</v>
      </c>
      <c r="S83" s="17" t="s">
        <v>70</v>
      </c>
      <c r="T83" s="20">
        <f>HYPERLINK("https://vnm.spiral.com.vn//uploaded/20210513/d7d76fc1-39f6-455c-b59c-ee7577fa2f19.JPEG","07:58:02")</f>
      </c>
      <c r="U83" s="20">
        <f>HYPERLINK("https://vnm.spiral.com.vn//uploaded/20210513/7c7bd360-f7bb-4449-b494-6a62e5190de5.JPEG","17:14:32")</f>
      </c>
      <c r="V83" s="18">
        <v>0.38645833333333335</v>
      </c>
      <c r="W83" s="15" t="s">
        <v>773</v>
      </c>
      <c r="X83" s="15" t="s">
        <v>774</v>
      </c>
      <c r="Y83" s="15" t="s">
        <v>35</v>
      </c>
      <c r="Z83" s="19">
        <v>0</v>
      </c>
      <c r="AA83" s="15">
        <v>0</v>
      </c>
      <c r="AB83" s="15" t="s">
        <v>35</v>
      </c>
    </row>
    <row r="84">
      <c r="A84" s="15">
        <v>80</v>
      </c>
      <c r="B84" s="15" t="s">
        <v>61</v>
      </c>
      <c r="C84" s="15" t="s">
        <v>712</v>
      </c>
      <c r="D84" s="15" t="s">
        <v>89</v>
      </c>
      <c r="E84" s="15" t="s">
        <v>90</v>
      </c>
      <c r="F84" s="15" t="s">
        <v>35</v>
      </c>
      <c r="G84" s="15" t="s">
        <v>74</v>
      </c>
      <c r="H84" s="15" t="s">
        <v>775</v>
      </c>
      <c r="I84" s="15" t="s">
        <v>776</v>
      </c>
      <c r="J84" s="15" t="s">
        <v>777</v>
      </c>
      <c r="K84" s="15" t="s">
        <v>152</v>
      </c>
      <c r="L84" s="15" t="s">
        <v>153</v>
      </c>
      <c r="M84" s="15" t="s">
        <v>309</v>
      </c>
      <c r="N84" s="15" t="s">
        <v>310</v>
      </c>
      <c r="O84" s="15" t="s">
        <v>98</v>
      </c>
      <c r="P84" s="15" t="s">
        <v>778</v>
      </c>
      <c r="Q84" s="15" t="s">
        <v>779</v>
      </c>
      <c r="R84" s="16">
        <v>44329</v>
      </c>
      <c r="S84" s="17" t="s">
        <v>70</v>
      </c>
      <c r="T84" s="20">
        <f>HYPERLINK("https://vnm.spiral.com.vn//uploaded/20210513/163771D1-F6FD-43C2-AB49-246F2CC44B6B.jpg","14:22:34")</f>
      </c>
      <c r="U84" s="20">
        <f>HYPERLINK("https://vnm.spiral.com.vn//uploaded/20210513/AB2E1FDB-49F0-4BC8-92D9-AD78CCF0FAEA.jpg","17:14:31")</f>
      </c>
      <c r="V84" s="18">
        <v>0.11940972222222222</v>
      </c>
      <c r="W84" s="15" t="s">
        <v>780</v>
      </c>
      <c r="X84" s="15" t="s">
        <v>781</v>
      </c>
      <c r="Y84" s="15" t="s">
        <v>35</v>
      </c>
      <c r="Z84" s="19">
        <v>0</v>
      </c>
      <c r="AA84" s="15">
        <v>0</v>
      </c>
      <c r="AB84" s="15" t="s">
        <v>35</v>
      </c>
    </row>
    <row r="85">
      <c r="A85" s="15">
        <v>81</v>
      </c>
      <c r="B85" s="15" t="s">
        <v>246</v>
      </c>
      <c r="C85" s="15" t="s">
        <v>782</v>
      </c>
      <c r="D85" s="15" t="s">
        <v>35</v>
      </c>
      <c r="E85" s="15" t="s">
        <v>35</v>
      </c>
      <c r="F85" s="15" t="s">
        <v>783</v>
      </c>
      <c r="G85" s="15" t="s">
        <v>36</v>
      </c>
      <c r="H85" s="15" t="s">
        <v>784</v>
      </c>
      <c r="I85" s="15" t="s">
        <v>785</v>
      </c>
      <c r="J85" s="15" t="s">
        <v>786</v>
      </c>
      <c r="K85" s="15" t="s">
        <v>40</v>
      </c>
      <c r="L85" s="15" t="s">
        <v>41</v>
      </c>
      <c r="M85" s="15" t="s">
        <v>252</v>
      </c>
      <c r="N85" s="15" t="s">
        <v>253</v>
      </c>
      <c r="O85" s="15" t="s">
        <v>44</v>
      </c>
      <c r="P85" s="15" t="s">
        <v>787</v>
      </c>
      <c r="Q85" s="15" t="s">
        <v>788</v>
      </c>
      <c r="R85" s="16">
        <v>44329</v>
      </c>
      <c r="S85" s="17" t="s">
        <v>243</v>
      </c>
      <c r="T85" s="20">
        <f>HYPERLINK("https://vnm.spiral.com.vn//uploaded/20210513/520ad485-d25b-445a-85d6-d8ebcda64db8.JPEG","07:30:16")</f>
      </c>
      <c r="U85" s="20">
        <f>HYPERLINK("https://vnm.spiral.com.vn//uploaded/20210513/8d6e43c6-bd9e-4662-a8bd-f84b987cf78c.JPEG","17:14:25")</f>
      </c>
      <c r="V85" s="18">
        <v>0.40565972222222224</v>
      </c>
      <c r="W85" s="15" t="s">
        <v>789</v>
      </c>
      <c r="X85" s="15" t="s">
        <v>790</v>
      </c>
      <c r="Y85" s="15" t="s">
        <v>35</v>
      </c>
      <c r="Z85" s="19">
        <v>0</v>
      </c>
      <c r="AA85" s="15">
        <v>0</v>
      </c>
      <c r="AB85" s="15" t="s">
        <v>35</v>
      </c>
    </row>
    <row r="86">
      <c r="A86" s="15">
        <v>82</v>
      </c>
      <c r="B86" s="15" t="s">
        <v>33</v>
      </c>
      <c r="C86" s="15" t="s">
        <v>492</v>
      </c>
      <c r="D86" s="15" t="s">
        <v>35</v>
      </c>
      <c r="E86" s="15" t="s">
        <v>35</v>
      </c>
      <c r="F86" s="15" t="s">
        <v>35</v>
      </c>
      <c r="G86" s="15" t="s">
        <v>36</v>
      </c>
      <c r="H86" s="15" t="s">
        <v>791</v>
      </c>
      <c r="I86" s="15" t="s">
        <v>792</v>
      </c>
      <c r="J86" s="15" t="s">
        <v>793</v>
      </c>
      <c r="K86" s="15" t="s">
        <v>40</v>
      </c>
      <c r="L86" s="15" t="s">
        <v>41</v>
      </c>
      <c r="M86" s="15" t="s">
        <v>42</v>
      </c>
      <c r="N86" s="15" t="s">
        <v>43</v>
      </c>
      <c r="O86" s="15" t="s">
        <v>44</v>
      </c>
      <c r="P86" s="15" t="s">
        <v>794</v>
      </c>
      <c r="Q86" s="15" t="s">
        <v>795</v>
      </c>
      <c r="R86" s="16">
        <v>44329</v>
      </c>
      <c r="S86" s="17" t="s">
        <v>796</v>
      </c>
      <c r="T86" s="20">
        <f>HYPERLINK("https://vnm.spiral.com.vn//uploaded/20210513/bfc33419-9469-4902-bc58-39468fb4e906.JPEG","11:57:41")</f>
      </c>
      <c r="U86" s="20">
        <f>HYPERLINK("https://vnm.spiral.com.vn//uploaded/20210513/6d18cb06-eb29-4ddb-a82c-cbe4ff094fa9.JPEG","17:14:22")</f>
      </c>
      <c r="V86" s="18">
        <v>0.21991898148148148</v>
      </c>
      <c r="W86" s="15" t="s">
        <v>797</v>
      </c>
      <c r="X86" s="15" t="s">
        <v>798</v>
      </c>
      <c r="Y86" s="15" t="s">
        <v>35</v>
      </c>
      <c r="Z86" s="19">
        <v>0</v>
      </c>
      <c r="AA86" s="15">
        <v>0</v>
      </c>
      <c r="AB86" s="15" t="s">
        <v>35</v>
      </c>
    </row>
    <row r="87">
      <c r="A87" s="15">
        <v>83</v>
      </c>
      <c r="B87" s="15" t="s">
        <v>87</v>
      </c>
      <c r="C87" s="15" t="s">
        <v>88</v>
      </c>
      <c r="D87" s="15" t="s">
        <v>89</v>
      </c>
      <c r="E87" s="15" t="s">
        <v>90</v>
      </c>
      <c r="F87" s="15" t="s">
        <v>35</v>
      </c>
      <c r="G87" s="15" t="s">
        <v>74</v>
      </c>
      <c r="H87" s="15" t="s">
        <v>799</v>
      </c>
      <c r="I87" s="15" t="s">
        <v>800</v>
      </c>
      <c r="J87" s="15" t="s">
        <v>801</v>
      </c>
      <c r="K87" s="15" t="s">
        <v>94</v>
      </c>
      <c r="L87" s="15" t="s">
        <v>95</v>
      </c>
      <c r="M87" s="15" t="s">
        <v>96</v>
      </c>
      <c r="N87" s="15" t="s">
        <v>97</v>
      </c>
      <c r="O87" s="15" t="s">
        <v>98</v>
      </c>
      <c r="P87" s="15" t="s">
        <v>802</v>
      </c>
      <c r="Q87" s="15" t="s">
        <v>803</v>
      </c>
      <c r="R87" s="16">
        <v>44329</v>
      </c>
      <c r="S87" s="17" t="s">
        <v>70</v>
      </c>
      <c r="T87" s="20">
        <f>HYPERLINK("https://vnm.spiral.com.vn//uploaded/20210513/24523001-2ca3-4056-8e73-a5373000bca3.JPEG","11:21:22")</f>
      </c>
      <c r="U87" s="20">
        <f>HYPERLINK("https://vnm.spiral.com.vn//uploaded/20210513/59a0f808-f9ae-4c3a-8b0f-1a45d038f56f.JPEG","17:14:12")</f>
      </c>
      <c r="V87" s="18">
        <v>0.24502314814814816</v>
      </c>
      <c r="W87" s="15" t="s">
        <v>804</v>
      </c>
      <c r="X87" s="15" t="s">
        <v>805</v>
      </c>
      <c r="Y87" s="15" t="s">
        <v>35</v>
      </c>
      <c r="Z87" s="19">
        <v>0</v>
      </c>
      <c r="AA87" s="15">
        <v>0</v>
      </c>
      <c r="AB87" s="15" t="s">
        <v>35</v>
      </c>
    </row>
    <row r="88">
      <c r="A88" s="15">
        <v>84</v>
      </c>
      <c r="B88" s="15" t="s">
        <v>87</v>
      </c>
      <c r="C88" s="15" t="s">
        <v>88</v>
      </c>
      <c r="D88" s="15" t="s">
        <v>35</v>
      </c>
      <c r="E88" s="15" t="s">
        <v>35</v>
      </c>
      <c r="F88" s="15" t="s">
        <v>806</v>
      </c>
      <c r="G88" s="15" t="s">
        <v>36</v>
      </c>
      <c r="H88" s="15" t="s">
        <v>807</v>
      </c>
      <c r="I88" s="15" t="s">
        <v>808</v>
      </c>
      <c r="J88" s="15" t="s">
        <v>809</v>
      </c>
      <c r="K88" s="15" t="s">
        <v>40</v>
      </c>
      <c r="L88" s="15" t="s">
        <v>41</v>
      </c>
      <c r="M88" s="15" t="s">
        <v>810</v>
      </c>
      <c r="N88" s="15" t="s">
        <v>811</v>
      </c>
      <c r="O88" s="15" t="s">
        <v>44</v>
      </c>
      <c r="P88" s="15" t="s">
        <v>812</v>
      </c>
      <c r="Q88" s="15" t="s">
        <v>813</v>
      </c>
      <c r="R88" s="16">
        <v>44329</v>
      </c>
      <c r="S88" s="17" t="s">
        <v>577</v>
      </c>
      <c r="T88" s="20">
        <f>HYPERLINK("https://vnm.spiral.com.vn//uploaded/20210513/7F4D7DC7-30D9-4EC8-AC70-29438795ECF2.jpg","08:26:36")</f>
      </c>
      <c r="U88" s="20">
        <f>HYPERLINK("https://vnm.spiral.com.vn//uploaded/20210513/BB54A065-F57D-486C-8640-DDE3D0071153.jpg","17:14:08")</f>
      </c>
      <c r="V88" s="18">
        <v>0.3663425925925926</v>
      </c>
      <c r="W88" s="15" t="s">
        <v>814</v>
      </c>
      <c r="X88" s="15" t="s">
        <v>815</v>
      </c>
      <c r="Y88" s="15" t="s">
        <v>35</v>
      </c>
      <c r="Z88" s="19">
        <v>0</v>
      </c>
      <c r="AA88" s="15">
        <v>0</v>
      </c>
      <c r="AB88" s="15" t="s">
        <v>35</v>
      </c>
    </row>
    <row r="89">
      <c r="A89" s="15">
        <v>85</v>
      </c>
      <c r="B89" s="15" t="s">
        <v>61</v>
      </c>
      <c r="C89" s="15" t="s">
        <v>737</v>
      </c>
      <c r="D89" s="15" t="s">
        <v>35</v>
      </c>
      <c r="E89" s="15" t="s">
        <v>35</v>
      </c>
      <c r="F89" s="15" t="s">
        <v>35</v>
      </c>
      <c r="G89" s="15" t="s">
        <v>36</v>
      </c>
      <c r="H89" s="15" t="s">
        <v>816</v>
      </c>
      <c r="I89" s="15" t="s">
        <v>817</v>
      </c>
      <c r="J89" s="15" t="s">
        <v>818</v>
      </c>
      <c r="K89" s="15" t="s">
        <v>40</v>
      </c>
      <c r="L89" s="15" t="s">
        <v>41</v>
      </c>
      <c r="M89" s="15" t="s">
        <v>205</v>
      </c>
      <c r="N89" s="15" t="s">
        <v>206</v>
      </c>
      <c r="O89" s="15" t="s">
        <v>44</v>
      </c>
      <c r="P89" s="15" t="s">
        <v>819</v>
      </c>
      <c r="Q89" s="15" t="s">
        <v>820</v>
      </c>
      <c r="R89" s="16">
        <v>44329</v>
      </c>
      <c r="S89" s="17" t="s">
        <v>70</v>
      </c>
      <c r="T89" s="20">
        <f>HYPERLINK("https://vnm.spiral.com.vn//uploaded/20210513/f98fac2e-6113-4933-ae64-e410225748a2.JPEG","07:35:33")</f>
      </c>
      <c r="U89" s="20">
        <f>HYPERLINK("https://vnm.spiral.com.vn//uploaded/20210513/62d97a2c-84ef-4f31-87ef-4589d7554b0f.JPEG","17:14:04")</f>
      </c>
      <c r="V89" s="18">
        <v>0.40174768518518517</v>
      </c>
      <c r="W89" s="15" t="s">
        <v>821</v>
      </c>
      <c r="X89" s="15" t="s">
        <v>822</v>
      </c>
      <c r="Y89" s="15" t="s">
        <v>35</v>
      </c>
      <c r="Z89" s="19">
        <v>0</v>
      </c>
      <c r="AA89" s="15">
        <v>0</v>
      </c>
      <c r="AB89" s="15" t="s">
        <v>35</v>
      </c>
    </row>
    <row r="90">
      <c r="A90" s="15">
        <v>86</v>
      </c>
      <c r="B90" s="15" t="s">
        <v>343</v>
      </c>
      <c r="C90" s="15" t="s">
        <v>344</v>
      </c>
      <c r="D90" s="15" t="s">
        <v>823</v>
      </c>
      <c r="E90" s="15" t="s">
        <v>116</v>
      </c>
      <c r="F90" s="15" t="s">
        <v>35</v>
      </c>
      <c r="G90" s="15" t="s">
        <v>74</v>
      </c>
      <c r="H90" s="15" t="s">
        <v>824</v>
      </c>
      <c r="I90" s="15" t="s">
        <v>825</v>
      </c>
      <c r="J90" s="15" t="s">
        <v>826</v>
      </c>
      <c r="K90" s="15" t="s">
        <v>584</v>
      </c>
      <c r="L90" s="15" t="s">
        <v>585</v>
      </c>
      <c r="M90" s="15" t="s">
        <v>827</v>
      </c>
      <c r="N90" s="15" t="s">
        <v>828</v>
      </c>
      <c r="O90" s="15" t="s">
        <v>82</v>
      </c>
      <c r="P90" s="15" t="s">
        <v>829</v>
      </c>
      <c r="Q90" s="15" t="s">
        <v>830</v>
      </c>
      <c r="R90" s="16">
        <v>44329</v>
      </c>
      <c r="S90" s="17" t="s">
        <v>70</v>
      </c>
      <c r="T90" s="20">
        <f>HYPERLINK("https://vnm.spiral.com.vn//uploaded/20210513/edbcf613-9a1c-4b02-a5a1-b3624a9038d2.JPEG","16:58:33")</f>
      </c>
      <c r="U90" s="20">
        <f>HYPERLINK("https://vnm.spiral.com.vn//uploaded/20210513/709e797d-ef3d-4b42-b2b7-c09e021fb9f8.JPEG","17:13:51")</f>
      </c>
      <c r="V90" s="18">
        <v>0.010625</v>
      </c>
      <c r="W90" s="15" t="s">
        <v>831</v>
      </c>
      <c r="X90" s="15" t="s">
        <v>832</v>
      </c>
      <c r="Y90" s="15" t="s">
        <v>35</v>
      </c>
      <c r="Z90" s="19">
        <v>0</v>
      </c>
      <c r="AA90" s="15">
        <v>0</v>
      </c>
      <c r="AB90" s="15" t="s">
        <v>35</v>
      </c>
    </row>
    <row r="91">
      <c r="A91" s="15">
        <v>87</v>
      </c>
      <c r="B91" s="15" t="s">
        <v>49</v>
      </c>
      <c r="C91" s="15" t="s">
        <v>162</v>
      </c>
      <c r="D91" s="15" t="s">
        <v>35</v>
      </c>
      <c r="E91" s="15" t="s">
        <v>35</v>
      </c>
      <c r="F91" s="15" t="s">
        <v>833</v>
      </c>
      <c r="G91" s="15" t="s">
        <v>36</v>
      </c>
      <c r="H91" s="15" t="s">
        <v>834</v>
      </c>
      <c r="I91" s="15" t="s">
        <v>835</v>
      </c>
      <c r="J91" s="15" t="s">
        <v>836</v>
      </c>
      <c r="K91" s="15" t="s">
        <v>40</v>
      </c>
      <c r="L91" s="15" t="s">
        <v>41</v>
      </c>
      <c r="M91" s="15" t="s">
        <v>55</v>
      </c>
      <c r="N91" s="15" t="s">
        <v>56</v>
      </c>
      <c r="O91" s="15" t="s">
        <v>44</v>
      </c>
      <c r="P91" s="15" t="s">
        <v>837</v>
      </c>
      <c r="Q91" s="15" t="s">
        <v>838</v>
      </c>
      <c r="R91" s="16">
        <v>44329</v>
      </c>
      <c r="S91" s="17" t="s">
        <v>70</v>
      </c>
      <c r="T91" s="20">
        <f>HYPERLINK("https://vnm.spiral.com.vn//uploaded/20210513/27D0574A-4F56-4F7B-8A7C-8605FFF06BCA.jpg","10:32:41")</f>
      </c>
      <c r="U91" s="20">
        <f>HYPERLINK("https://vnm.spiral.com.vn//uploaded/20210513/C789EDB6-4FBF-4B64-949C-7EDE5FF7E8A2.jpg","17:13:39")</f>
      </c>
      <c r="V91" s="18">
        <v>0.2784490740740741</v>
      </c>
      <c r="W91" s="15" t="s">
        <v>839</v>
      </c>
      <c r="X91" s="15" t="s">
        <v>840</v>
      </c>
      <c r="Y91" s="15" t="s">
        <v>35</v>
      </c>
      <c r="Z91" s="19">
        <v>0</v>
      </c>
      <c r="AA91" s="15">
        <v>0</v>
      </c>
      <c r="AB91" s="15" t="s">
        <v>35</v>
      </c>
    </row>
    <row r="92">
      <c r="A92" s="15">
        <v>88</v>
      </c>
      <c r="B92" s="15" t="s">
        <v>61</v>
      </c>
      <c r="C92" s="15" t="s">
        <v>737</v>
      </c>
      <c r="D92" s="15" t="s">
        <v>35</v>
      </c>
      <c r="E92" s="15" t="s">
        <v>35</v>
      </c>
      <c r="F92" s="15" t="s">
        <v>35</v>
      </c>
      <c r="G92" s="15" t="s">
        <v>36</v>
      </c>
      <c r="H92" s="15" t="s">
        <v>841</v>
      </c>
      <c r="I92" s="15" t="s">
        <v>842</v>
      </c>
      <c r="J92" s="15" t="s">
        <v>843</v>
      </c>
      <c r="K92" s="15" t="s">
        <v>40</v>
      </c>
      <c r="L92" s="15" t="s">
        <v>41</v>
      </c>
      <c r="M92" s="15" t="s">
        <v>205</v>
      </c>
      <c r="N92" s="15" t="s">
        <v>206</v>
      </c>
      <c r="O92" s="15" t="s">
        <v>44</v>
      </c>
      <c r="P92" s="15" t="s">
        <v>844</v>
      </c>
      <c r="Q92" s="15" t="s">
        <v>845</v>
      </c>
      <c r="R92" s="16">
        <v>44329</v>
      </c>
      <c r="S92" s="17" t="s">
        <v>70</v>
      </c>
      <c r="T92" s="20">
        <f>HYPERLINK("https://vnm.spiral.com.vn//uploaded/20210513/c1434502-d786-463a-aa42-0fc32afc04d6.JPEG","07:45:01")</f>
      </c>
      <c r="U92" s="20">
        <f>HYPERLINK("https://vnm.spiral.com.vn//uploaded/20210513/1d738505-40bc-4756-9a84-30e14fef3e1c.JPEG","17:13:33")</f>
      </c>
      <c r="V92" s="18">
        <v>0.39481481481481484</v>
      </c>
      <c r="W92" s="15" t="s">
        <v>846</v>
      </c>
      <c r="X92" s="15" t="s">
        <v>847</v>
      </c>
      <c r="Y92" s="15" t="s">
        <v>35</v>
      </c>
      <c r="Z92" s="19">
        <v>0</v>
      </c>
      <c r="AA92" s="15">
        <v>0</v>
      </c>
      <c r="AB92" s="15" t="s">
        <v>35</v>
      </c>
    </row>
    <row r="93">
      <c r="A93" s="15">
        <v>89</v>
      </c>
      <c r="B93" s="15" t="s">
        <v>87</v>
      </c>
      <c r="C93" s="15" t="s">
        <v>88</v>
      </c>
      <c r="D93" s="15" t="s">
        <v>432</v>
      </c>
      <c r="E93" s="15" t="s">
        <v>116</v>
      </c>
      <c r="F93" s="15" t="s">
        <v>35</v>
      </c>
      <c r="G93" s="15" t="s">
        <v>74</v>
      </c>
      <c r="H93" s="15" t="s">
        <v>848</v>
      </c>
      <c r="I93" s="15" t="s">
        <v>849</v>
      </c>
      <c r="J93" s="15" t="s">
        <v>850</v>
      </c>
      <c r="K93" s="15" t="s">
        <v>625</v>
      </c>
      <c r="L93" s="15" t="s">
        <v>626</v>
      </c>
      <c r="M93" s="15" t="s">
        <v>627</v>
      </c>
      <c r="N93" s="15" t="s">
        <v>628</v>
      </c>
      <c r="O93" s="15" t="s">
        <v>82</v>
      </c>
      <c r="P93" s="15" t="s">
        <v>851</v>
      </c>
      <c r="Q93" s="15" t="s">
        <v>852</v>
      </c>
      <c r="R93" s="16">
        <v>44329</v>
      </c>
      <c r="S93" s="17" t="s">
        <v>70</v>
      </c>
      <c r="T93" s="20">
        <f>HYPERLINK("https://vnm.spiral.com.vn//uploaded/20210513/77B82439-6671-4595-B098-4531428D438D.jpg","16:10:39")</f>
      </c>
      <c r="U93" s="20">
        <f>HYPERLINK("https://vnm.spiral.com.vn//uploaded/20210513/12EBCF4D-F616-4E2A-B0CA-5A3C0685F12A.jpg","17:13:24")</f>
      </c>
      <c r="V93" s="18">
        <v>0.04357638888888889</v>
      </c>
      <c r="W93" s="15" t="s">
        <v>853</v>
      </c>
      <c r="X93" s="15" t="s">
        <v>854</v>
      </c>
      <c r="Y93" s="15" t="s">
        <v>35</v>
      </c>
      <c r="Z93" s="19">
        <v>0</v>
      </c>
      <c r="AA93" s="15">
        <v>0</v>
      </c>
      <c r="AB93" s="15" t="s">
        <v>35</v>
      </c>
    </row>
    <row r="94">
      <c r="A94" s="15">
        <v>90</v>
      </c>
      <c r="B94" s="15" t="s">
        <v>343</v>
      </c>
      <c r="C94" s="15" t="s">
        <v>344</v>
      </c>
      <c r="D94" s="15" t="s">
        <v>357</v>
      </c>
      <c r="E94" s="15" t="s">
        <v>90</v>
      </c>
      <c r="F94" s="15" t="s">
        <v>35</v>
      </c>
      <c r="G94" s="15" t="s">
        <v>74</v>
      </c>
      <c r="H94" s="15" t="s">
        <v>855</v>
      </c>
      <c r="I94" s="15" t="s">
        <v>856</v>
      </c>
      <c r="J94" s="15" t="s">
        <v>857</v>
      </c>
      <c r="K94" s="15" t="s">
        <v>361</v>
      </c>
      <c r="L94" s="15" t="s">
        <v>362</v>
      </c>
      <c r="M94" s="15" t="s">
        <v>858</v>
      </c>
      <c r="N94" s="15" t="s">
        <v>859</v>
      </c>
      <c r="O94" s="15" t="s">
        <v>82</v>
      </c>
      <c r="P94" s="15" t="s">
        <v>860</v>
      </c>
      <c r="Q94" s="15" t="s">
        <v>861</v>
      </c>
      <c r="R94" s="16">
        <v>44329</v>
      </c>
      <c r="S94" s="17" t="s">
        <v>70</v>
      </c>
      <c r="T94" s="20">
        <f>HYPERLINK("https://vnm.spiral.com.vn//uploaded/20210513/d86b5ab6-537c-43db-98fd-9d298896376d.JPEG","07:55:15")</f>
      </c>
      <c r="U94" s="20">
        <f>HYPERLINK("https://vnm.spiral.com.vn//uploaded/20210513/d21f5340-0058-41db-8d8a-5dbc99557345.JPEG","17:13:22")</f>
      </c>
      <c r="V94" s="18">
        <v>0.3875810185185185</v>
      </c>
      <c r="W94" s="15" t="s">
        <v>862</v>
      </c>
      <c r="X94" s="15" t="s">
        <v>863</v>
      </c>
      <c r="Y94" s="15" t="s">
        <v>35</v>
      </c>
      <c r="Z94" s="19">
        <v>0</v>
      </c>
      <c r="AA94" s="15">
        <v>0</v>
      </c>
      <c r="AB94" s="15" t="s">
        <v>35</v>
      </c>
    </row>
    <row r="95">
      <c r="A95" s="15">
        <v>91</v>
      </c>
      <c r="B95" s="15" t="s">
        <v>246</v>
      </c>
      <c r="C95" s="15" t="s">
        <v>864</v>
      </c>
      <c r="D95" s="15" t="s">
        <v>148</v>
      </c>
      <c r="E95" s="15" t="s">
        <v>90</v>
      </c>
      <c r="F95" s="15" t="s">
        <v>35</v>
      </c>
      <c r="G95" s="15" t="s">
        <v>74</v>
      </c>
      <c r="H95" s="15" t="s">
        <v>865</v>
      </c>
      <c r="I95" s="15" t="s">
        <v>866</v>
      </c>
      <c r="J95" s="15" t="s">
        <v>867</v>
      </c>
      <c r="K95" s="15" t="s">
        <v>166</v>
      </c>
      <c r="L95" s="15" t="s">
        <v>167</v>
      </c>
      <c r="M95" s="15" t="s">
        <v>263</v>
      </c>
      <c r="N95" s="15" t="s">
        <v>264</v>
      </c>
      <c r="O95" s="15" t="s">
        <v>98</v>
      </c>
      <c r="P95" s="15" t="s">
        <v>868</v>
      </c>
      <c r="Q95" s="15" t="s">
        <v>869</v>
      </c>
      <c r="R95" s="16">
        <v>44329</v>
      </c>
      <c r="S95" s="17" t="s">
        <v>70</v>
      </c>
      <c r="T95" s="20">
        <f>HYPERLINK("https://vnm.spiral.com.vn//uploaded/20210513/afcf1e34-a0c3-4899-8dfc-733cd34fd1b6.JPEG","11:56:02")</f>
      </c>
      <c r="U95" s="20">
        <f>HYPERLINK("https://vnm.spiral.com.vn//uploaded/20210513/b135c5e0-363a-473e-ba8c-d3709c09fc5d.JPEG","17:13:01")</f>
      </c>
      <c r="V95" s="18">
        <v>0.22012731481481482</v>
      </c>
      <c r="W95" s="15" t="s">
        <v>870</v>
      </c>
      <c r="X95" s="15" t="s">
        <v>871</v>
      </c>
      <c r="Y95" s="15" t="s">
        <v>35</v>
      </c>
      <c r="Z95" s="19">
        <v>0</v>
      </c>
      <c r="AA95" s="15">
        <v>0</v>
      </c>
      <c r="AB95" s="15" t="s">
        <v>35</v>
      </c>
    </row>
    <row r="96">
      <c r="A96" s="15">
        <v>92</v>
      </c>
      <c r="B96" s="15" t="s">
        <v>33</v>
      </c>
      <c r="C96" s="15" t="s">
        <v>765</v>
      </c>
      <c r="D96" s="15" t="s">
        <v>35</v>
      </c>
      <c r="E96" s="15" t="s">
        <v>35</v>
      </c>
      <c r="F96" s="15" t="s">
        <v>35</v>
      </c>
      <c r="G96" s="15" t="s">
        <v>36</v>
      </c>
      <c r="H96" s="15" t="s">
        <v>872</v>
      </c>
      <c r="I96" s="15" t="s">
        <v>873</v>
      </c>
      <c r="J96" s="15" t="s">
        <v>874</v>
      </c>
      <c r="K96" s="15" t="s">
        <v>40</v>
      </c>
      <c r="L96" s="15" t="s">
        <v>41</v>
      </c>
      <c r="M96" s="15" t="s">
        <v>42</v>
      </c>
      <c r="N96" s="15" t="s">
        <v>43</v>
      </c>
      <c r="O96" s="15" t="s">
        <v>44</v>
      </c>
      <c r="P96" s="15" t="s">
        <v>875</v>
      </c>
      <c r="Q96" s="15" t="s">
        <v>221</v>
      </c>
      <c r="R96" s="16">
        <v>44329</v>
      </c>
      <c r="S96" s="17" t="s">
        <v>317</v>
      </c>
      <c r="T96" s="20">
        <f>HYPERLINK("https://vnm.spiral.com.vn//uploaded/20210513/811B2033-80A3-4AE7-BAD9-59533E89898F.jpg","08:06:23")</f>
      </c>
      <c r="U96" s="20">
        <f>HYPERLINK("https://vnm.spiral.com.vn//uploaded/20210513/4DBB469A-F96F-4094-A58C-C82AC16C1E0B.jpg","17:12:48")</f>
      </c>
      <c r="V96" s="18">
        <v>0.3794560185185185</v>
      </c>
      <c r="W96" s="15" t="s">
        <v>876</v>
      </c>
      <c r="X96" s="15" t="s">
        <v>877</v>
      </c>
      <c r="Y96" s="15" t="s">
        <v>35</v>
      </c>
      <c r="Z96" s="19">
        <v>0</v>
      </c>
      <c r="AA96" s="15">
        <v>0</v>
      </c>
      <c r="AB96" s="15" t="s">
        <v>35</v>
      </c>
    </row>
    <row r="97">
      <c r="A97" s="15">
        <v>93</v>
      </c>
      <c r="B97" s="15" t="s">
        <v>343</v>
      </c>
      <c r="C97" s="15" t="s">
        <v>344</v>
      </c>
      <c r="D97" s="15" t="s">
        <v>878</v>
      </c>
      <c r="E97" s="15" t="s">
        <v>35</v>
      </c>
      <c r="F97" s="15" t="s">
        <v>35</v>
      </c>
      <c r="G97" s="15" t="s">
        <v>74</v>
      </c>
      <c r="H97" s="15" t="s">
        <v>879</v>
      </c>
      <c r="I97" s="15" t="s">
        <v>880</v>
      </c>
      <c r="J97" s="15" t="s">
        <v>881</v>
      </c>
      <c r="K97" s="15" t="s">
        <v>584</v>
      </c>
      <c r="L97" s="15" t="s">
        <v>585</v>
      </c>
      <c r="M97" s="15" t="s">
        <v>586</v>
      </c>
      <c r="N97" s="15" t="s">
        <v>587</v>
      </c>
      <c r="O97" s="15" t="s">
        <v>82</v>
      </c>
      <c r="P97" s="15" t="s">
        <v>882</v>
      </c>
      <c r="Q97" s="15" t="s">
        <v>883</v>
      </c>
      <c r="R97" s="16">
        <v>44329</v>
      </c>
      <c r="S97" s="17" t="s">
        <v>70</v>
      </c>
      <c r="T97" s="20">
        <f>HYPERLINK("https://vnm.spiral.com.vn//uploaded/20210513/4D875CB3-4F41-4776-A5C3-9CF5A4AC6D59.jpg","08:14:04")</f>
      </c>
      <c r="U97" s="20">
        <f>HYPERLINK("https://vnm.spiral.com.vn//uploaded/20210513/4D01AF00-3FFD-4A79-9715-FA8398B2DBB3.jpg","17:12:29")</f>
      </c>
      <c r="V97" s="18">
        <v>0.373900462962963</v>
      </c>
      <c r="W97" s="15" t="s">
        <v>884</v>
      </c>
      <c r="X97" s="15" t="s">
        <v>884</v>
      </c>
      <c r="Y97" s="15" t="s">
        <v>35</v>
      </c>
      <c r="Z97" s="19">
        <v>0</v>
      </c>
      <c r="AA97" s="15">
        <v>0</v>
      </c>
      <c r="AB97" s="15" t="s">
        <v>35</v>
      </c>
    </row>
    <row r="98">
      <c r="A98" s="15">
        <v>94</v>
      </c>
      <c r="B98" s="15" t="s">
        <v>87</v>
      </c>
      <c r="C98" s="15" t="s">
        <v>88</v>
      </c>
      <c r="D98" s="15" t="s">
        <v>35</v>
      </c>
      <c r="E98" s="15" t="s">
        <v>35</v>
      </c>
      <c r="F98" s="15" t="s">
        <v>35</v>
      </c>
      <c r="G98" s="15" t="s">
        <v>74</v>
      </c>
      <c r="H98" s="15" t="s">
        <v>885</v>
      </c>
      <c r="I98" s="15" t="s">
        <v>886</v>
      </c>
      <c r="J98" s="15" t="s">
        <v>887</v>
      </c>
      <c r="K98" s="15" t="s">
        <v>190</v>
      </c>
      <c r="L98" s="15" t="s">
        <v>191</v>
      </c>
      <c r="M98" s="15" t="s">
        <v>888</v>
      </c>
      <c r="N98" s="15" t="s">
        <v>889</v>
      </c>
      <c r="O98" s="15" t="s">
        <v>98</v>
      </c>
      <c r="P98" s="15" t="s">
        <v>890</v>
      </c>
      <c r="Q98" s="15" t="s">
        <v>891</v>
      </c>
      <c r="R98" s="16">
        <v>44329</v>
      </c>
      <c r="S98" s="17" t="s">
        <v>35</v>
      </c>
      <c r="T98" s="20">
        <f>HYPERLINK("https://vnm.spiral.com.vn//uploaded/20210513/336261A9-9D1E-4A09-8AC8-0218306EB37C.jpg","16:21:21")</f>
      </c>
      <c r="U98" s="20">
        <f>HYPERLINK("https://vnm.spiral.com.vn//uploaded/20210513/EFFCA0EC-2483-4BDC-AE91-58B972FE063A.jpg","17:12:17")</f>
      </c>
      <c r="V98" s="18">
        <v>0.03537037037037037</v>
      </c>
      <c r="W98" s="15" t="s">
        <v>892</v>
      </c>
      <c r="X98" s="15" t="s">
        <v>893</v>
      </c>
      <c r="Y98" s="15" t="s">
        <v>35</v>
      </c>
      <c r="Z98" s="19">
        <v>0</v>
      </c>
      <c r="AA98" s="15">
        <v>0</v>
      </c>
      <c r="AB98" s="15" t="s">
        <v>35</v>
      </c>
    </row>
    <row r="99">
      <c r="A99" s="15">
        <v>95</v>
      </c>
      <c r="B99" s="15" t="s">
        <v>343</v>
      </c>
      <c r="C99" s="15" t="s">
        <v>344</v>
      </c>
      <c r="D99" s="15" t="s">
        <v>35</v>
      </c>
      <c r="E99" s="15" t="s">
        <v>35</v>
      </c>
      <c r="F99" s="15" t="s">
        <v>35</v>
      </c>
      <c r="G99" s="15" t="s">
        <v>74</v>
      </c>
      <c r="H99" s="15" t="s">
        <v>894</v>
      </c>
      <c r="I99" s="15" t="s">
        <v>895</v>
      </c>
      <c r="J99" s="15" t="s">
        <v>896</v>
      </c>
      <c r="K99" s="15" t="s">
        <v>897</v>
      </c>
      <c r="L99" s="15" t="s">
        <v>898</v>
      </c>
      <c r="M99" s="15" t="s">
        <v>899</v>
      </c>
      <c r="N99" s="15" t="s">
        <v>900</v>
      </c>
      <c r="O99" s="15" t="s">
        <v>156</v>
      </c>
      <c r="P99" s="15" t="s">
        <v>901</v>
      </c>
      <c r="Q99" s="15" t="s">
        <v>350</v>
      </c>
      <c r="R99" s="16">
        <v>44329</v>
      </c>
      <c r="S99" s="17" t="s">
        <v>70</v>
      </c>
      <c r="T99" s="20">
        <f>HYPERLINK("https://vnm.spiral.com.vn//uploaded/20210513/af9e42ae-e7e3-45ae-ac55-44bf7aadaed2.JPEG","08:00:10")</f>
      </c>
      <c r="U99" s="20">
        <f>HYPERLINK("https://vnm.spiral.com.vn//uploaded/20210513/def9cd71-1c7e-4d8d-8b34-356fd6a0d2bf.JPEG","17:11:58")</f>
      </c>
      <c r="V99" s="18">
        <v>0.38319444444444445</v>
      </c>
      <c r="W99" s="15" t="s">
        <v>902</v>
      </c>
      <c r="X99" s="15" t="s">
        <v>903</v>
      </c>
      <c r="Y99" s="15" t="s">
        <v>35</v>
      </c>
      <c r="Z99" s="19">
        <v>0</v>
      </c>
      <c r="AA99" s="15">
        <v>0</v>
      </c>
      <c r="AB99" s="15" t="s">
        <v>35</v>
      </c>
    </row>
    <row r="100">
      <c r="A100" s="15">
        <v>96</v>
      </c>
      <c r="B100" s="15" t="s">
        <v>61</v>
      </c>
      <c r="C100" s="15" t="s">
        <v>904</v>
      </c>
      <c r="D100" s="15" t="s">
        <v>35</v>
      </c>
      <c r="E100" s="15" t="s">
        <v>35</v>
      </c>
      <c r="F100" s="15" t="s">
        <v>35</v>
      </c>
      <c r="G100" s="15" t="s">
        <v>36</v>
      </c>
      <c r="H100" s="15" t="s">
        <v>905</v>
      </c>
      <c r="I100" s="15" t="s">
        <v>906</v>
      </c>
      <c r="J100" s="15" t="s">
        <v>907</v>
      </c>
      <c r="K100" s="15" t="s">
        <v>40</v>
      </c>
      <c r="L100" s="15" t="s">
        <v>41</v>
      </c>
      <c r="M100" s="15" t="s">
        <v>66</v>
      </c>
      <c r="N100" s="15" t="s">
        <v>67</v>
      </c>
      <c r="O100" s="15" t="s">
        <v>44</v>
      </c>
      <c r="P100" s="15" t="s">
        <v>908</v>
      </c>
      <c r="Q100" s="15" t="s">
        <v>909</v>
      </c>
      <c r="R100" s="16">
        <v>44329</v>
      </c>
      <c r="S100" s="17" t="s">
        <v>70</v>
      </c>
      <c r="T100" s="20">
        <f>HYPERLINK("https://vnm.spiral.com.vn//uploaded/20210513/b9cc6be7-54d5-4ac2-bbaf-5265646aa2c4.JPEG","08:16:09")</f>
      </c>
      <c r="U100" s="20">
        <f>HYPERLINK("https://vnm.spiral.com.vn//uploaded/20210513/f77febff-b267-47af-a711-1cae8d2bd0d0.JPEG","17:11:48")</f>
      </c>
      <c r="V100" s="18">
        <v>0.3719791666666667</v>
      </c>
      <c r="W100" s="15" t="s">
        <v>910</v>
      </c>
      <c r="X100" s="15" t="s">
        <v>911</v>
      </c>
      <c r="Y100" s="15" t="s">
        <v>35</v>
      </c>
      <c r="Z100" s="19">
        <v>0</v>
      </c>
      <c r="AA100" s="15">
        <v>0</v>
      </c>
      <c r="AB100" s="15" t="s">
        <v>35</v>
      </c>
    </row>
    <row r="101">
      <c r="A101" s="15">
        <v>97</v>
      </c>
      <c r="B101" s="15" t="s">
        <v>343</v>
      </c>
      <c r="C101" s="15" t="s">
        <v>344</v>
      </c>
      <c r="D101" s="15" t="s">
        <v>357</v>
      </c>
      <c r="E101" s="15" t="s">
        <v>90</v>
      </c>
      <c r="F101" s="15" t="s">
        <v>35</v>
      </c>
      <c r="G101" s="15" t="s">
        <v>74</v>
      </c>
      <c r="H101" s="15" t="s">
        <v>912</v>
      </c>
      <c r="I101" s="15" t="s">
        <v>913</v>
      </c>
      <c r="J101" s="15" t="s">
        <v>914</v>
      </c>
      <c r="K101" s="15" t="s">
        <v>915</v>
      </c>
      <c r="L101" s="15" t="s">
        <v>916</v>
      </c>
      <c r="M101" s="15" t="s">
        <v>361</v>
      </c>
      <c r="N101" s="15" t="s">
        <v>362</v>
      </c>
      <c r="O101" s="15" t="s">
        <v>98</v>
      </c>
      <c r="P101" s="15" t="s">
        <v>917</v>
      </c>
      <c r="Q101" s="15" t="s">
        <v>918</v>
      </c>
      <c r="R101" s="16">
        <v>44329</v>
      </c>
      <c r="S101" s="17" t="s">
        <v>70</v>
      </c>
      <c r="T101" s="20">
        <f>HYPERLINK("https://vnm.spiral.com.vn//uploaded/20210513/5CF8760A-A5F7-4FC4-8DA9-EC97ABA95077.jpg","15:47:57")</f>
      </c>
      <c r="U101" s="20">
        <f>HYPERLINK("https://vnm.spiral.com.vn//uploaded/20210513/3AED0D6D-72D3-4B3E-A590-CED4E7FAC235.jpg","17:11:40")</f>
      </c>
      <c r="V101" s="18">
        <v>0.05813657407407408</v>
      </c>
      <c r="W101" s="15" t="s">
        <v>919</v>
      </c>
      <c r="X101" s="15" t="s">
        <v>920</v>
      </c>
      <c r="Y101" s="15" t="s">
        <v>35</v>
      </c>
      <c r="Z101" s="19">
        <v>0</v>
      </c>
      <c r="AA101" s="15">
        <v>0</v>
      </c>
      <c r="AB101" s="15" t="s">
        <v>35</v>
      </c>
    </row>
    <row r="102">
      <c r="A102" s="15">
        <v>98</v>
      </c>
      <c r="B102" s="15" t="s">
        <v>87</v>
      </c>
      <c r="C102" s="15" t="s">
        <v>88</v>
      </c>
      <c r="D102" s="15" t="s">
        <v>35</v>
      </c>
      <c r="E102" s="15" t="s">
        <v>35</v>
      </c>
      <c r="F102" s="15" t="s">
        <v>35</v>
      </c>
      <c r="G102" s="15" t="s">
        <v>74</v>
      </c>
      <c r="H102" s="15" t="s">
        <v>921</v>
      </c>
      <c r="I102" s="15" t="s">
        <v>922</v>
      </c>
      <c r="J102" s="15" t="s">
        <v>923</v>
      </c>
      <c r="K102" s="15" t="s">
        <v>888</v>
      </c>
      <c r="L102" s="15" t="s">
        <v>889</v>
      </c>
      <c r="M102" s="15" t="s">
        <v>924</v>
      </c>
      <c r="N102" s="15" t="s">
        <v>925</v>
      </c>
      <c r="O102" s="15" t="s">
        <v>82</v>
      </c>
      <c r="P102" s="15" t="s">
        <v>926</v>
      </c>
      <c r="Q102" s="15" t="s">
        <v>927</v>
      </c>
      <c r="R102" s="16">
        <v>44329</v>
      </c>
      <c r="S102" s="17" t="s">
        <v>70</v>
      </c>
      <c r="T102" s="20">
        <f>HYPERLINK("https://vnm.spiral.com.vn//uploaded/20210513/DA771B62-A797-4440-A9D7-8AFE62EE6C4D.jpg","16:13:58")</f>
      </c>
      <c r="U102" s="20">
        <f>HYPERLINK("https://vnm.spiral.com.vn//uploaded/20210513/CD36DBB4-398D-4915-9DE7-28EC1464DDC0.jpg","17:11:29")</f>
      </c>
      <c r="V102" s="18">
        <v>0.03994212962962963</v>
      </c>
      <c r="W102" s="15" t="s">
        <v>928</v>
      </c>
      <c r="X102" s="15" t="s">
        <v>929</v>
      </c>
      <c r="Y102" s="15" t="s">
        <v>35</v>
      </c>
      <c r="Z102" s="19">
        <v>0</v>
      </c>
      <c r="AA102" s="15">
        <v>0</v>
      </c>
      <c r="AB102" s="15" t="s">
        <v>35</v>
      </c>
    </row>
    <row r="103">
      <c r="A103" s="15">
        <v>99</v>
      </c>
      <c r="B103" s="15" t="s">
        <v>343</v>
      </c>
      <c r="C103" s="15" t="s">
        <v>344</v>
      </c>
      <c r="D103" s="15" t="s">
        <v>35</v>
      </c>
      <c r="E103" s="15" t="s">
        <v>35</v>
      </c>
      <c r="F103" s="15" t="s">
        <v>35</v>
      </c>
      <c r="G103" s="15" t="s">
        <v>36</v>
      </c>
      <c r="H103" s="15" t="s">
        <v>930</v>
      </c>
      <c r="I103" s="15" t="s">
        <v>931</v>
      </c>
      <c r="J103" s="15" t="s">
        <v>932</v>
      </c>
      <c r="K103" s="15" t="s">
        <v>40</v>
      </c>
      <c r="L103" s="15" t="s">
        <v>41</v>
      </c>
      <c r="M103" s="15" t="s">
        <v>595</v>
      </c>
      <c r="N103" s="15" t="s">
        <v>596</v>
      </c>
      <c r="O103" s="15" t="s">
        <v>44</v>
      </c>
      <c r="P103" s="15" t="s">
        <v>933</v>
      </c>
      <c r="Q103" s="15" t="s">
        <v>934</v>
      </c>
      <c r="R103" s="16">
        <v>44329</v>
      </c>
      <c r="S103" s="17" t="s">
        <v>70</v>
      </c>
      <c r="T103" s="20">
        <f>HYPERLINK("https://vnm.spiral.com.vn//uploaded/20210513/e6c542ac-239b-4fe6-8d2e-60c36afb7941.JPEG","08:03:34")</f>
      </c>
      <c r="U103" s="20">
        <f>HYPERLINK("https://vnm.spiral.com.vn//uploaded/20210513/f0313885-0a35-4b94-88fb-6926e7edd471.JPEG","17:11:15")</f>
      </c>
      <c r="V103" s="18">
        <v>0.38033564814814813</v>
      </c>
      <c r="W103" s="15" t="s">
        <v>935</v>
      </c>
      <c r="X103" s="15" t="s">
        <v>936</v>
      </c>
      <c r="Y103" s="15" t="s">
        <v>35</v>
      </c>
      <c r="Z103" s="19">
        <v>0</v>
      </c>
      <c r="AA103" s="15">
        <v>0</v>
      </c>
      <c r="AB103" s="15" t="s">
        <v>35</v>
      </c>
    </row>
    <row r="104">
      <c r="A104" s="15">
        <v>100</v>
      </c>
      <c r="B104" s="15" t="s">
        <v>33</v>
      </c>
      <c r="C104" s="15" t="s">
        <v>765</v>
      </c>
      <c r="D104" s="15" t="s">
        <v>35</v>
      </c>
      <c r="E104" s="15" t="s">
        <v>35</v>
      </c>
      <c r="F104" s="15" t="s">
        <v>35</v>
      </c>
      <c r="G104" s="15" t="s">
        <v>36</v>
      </c>
      <c r="H104" s="15" t="s">
        <v>937</v>
      </c>
      <c r="I104" s="15" t="s">
        <v>668</v>
      </c>
      <c r="J104" s="15" t="s">
        <v>938</v>
      </c>
      <c r="K104" s="15" t="s">
        <v>40</v>
      </c>
      <c r="L104" s="15" t="s">
        <v>41</v>
      </c>
      <c r="M104" s="15" t="s">
        <v>42</v>
      </c>
      <c r="N104" s="15" t="s">
        <v>43</v>
      </c>
      <c r="O104" s="15" t="s">
        <v>44</v>
      </c>
      <c r="P104" s="15" t="s">
        <v>939</v>
      </c>
      <c r="Q104" s="15" t="s">
        <v>940</v>
      </c>
      <c r="R104" s="16">
        <v>44329</v>
      </c>
      <c r="S104" s="17" t="s">
        <v>70</v>
      </c>
      <c r="T104" s="20">
        <f>HYPERLINK("https://vnm.spiral.com.vn//uploaded/20210513/A80DB181-81E9-465D-9643-F34986BC0546.jpg","07:53:50")</f>
      </c>
      <c r="U104" s="20">
        <f>HYPERLINK("https://vnm.spiral.com.vn//uploaded/20210513/C811BD9F-C7CA-46CF-996B-424A77653EC8.jpg","17:11:08")</f>
      </c>
      <c r="V104" s="18">
        <v>0.3870138888888889</v>
      </c>
      <c r="W104" s="15" t="s">
        <v>941</v>
      </c>
      <c r="X104" s="15" t="s">
        <v>942</v>
      </c>
      <c r="Y104" s="15" t="s">
        <v>35</v>
      </c>
      <c r="Z104" s="19">
        <v>0</v>
      </c>
      <c r="AA104" s="15">
        <v>0</v>
      </c>
      <c r="AB104" s="15" t="s">
        <v>35</v>
      </c>
    </row>
    <row r="105">
      <c r="A105" s="15">
        <v>101</v>
      </c>
      <c r="B105" s="15" t="s">
        <v>246</v>
      </c>
      <c r="C105" s="15" t="s">
        <v>259</v>
      </c>
      <c r="D105" s="15" t="s">
        <v>35</v>
      </c>
      <c r="E105" s="15" t="s">
        <v>35</v>
      </c>
      <c r="F105" s="15" t="s">
        <v>943</v>
      </c>
      <c r="G105" s="15" t="s">
        <v>36</v>
      </c>
      <c r="H105" s="15" t="s">
        <v>944</v>
      </c>
      <c r="I105" s="15" t="s">
        <v>945</v>
      </c>
      <c r="J105" s="15" t="s">
        <v>946</v>
      </c>
      <c r="K105" s="15" t="s">
        <v>40</v>
      </c>
      <c r="L105" s="15" t="s">
        <v>41</v>
      </c>
      <c r="M105" s="15" t="s">
        <v>252</v>
      </c>
      <c r="N105" s="15" t="s">
        <v>253</v>
      </c>
      <c r="O105" s="15" t="s">
        <v>44</v>
      </c>
      <c r="P105" s="15" t="s">
        <v>947</v>
      </c>
      <c r="Q105" s="15" t="s">
        <v>948</v>
      </c>
      <c r="R105" s="16">
        <v>44329</v>
      </c>
      <c r="S105" s="17" t="s">
        <v>70</v>
      </c>
      <c r="T105" s="20">
        <f>HYPERLINK("https://vnm.spiral.com.vn//uploaded/20210513/730b4092-afce-4252-b4c1-be4c8dd1d9b1.JPEG","08:02:16")</f>
      </c>
      <c r="U105" s="20">
        <f>HYPERLINK("https://vnm.spiral.com.vn//uploaded/20210513/becab07a-5ff9-4761-9775-4629ef1282e5.JPEG","17:11:05")</f>
      </c>
      <c r="V105" s="18">
        <v>0.38112268518518516</v>
      </c>
      <c r="W105" s="15" t="s">
        <v>949</v>
      </c>
      <c r="X105" s="15" t="s">
        <v>950</v>
      </c>
      <c r="Y105" s="15" t="s">
        <v>35</v>
      </c>
      <c r="Z105" s="19">
        <v>0</v>
      </c>
      <c r="AA105" s="15">
        <v>0</v>
      </c>
      <c r="AB105" s="15" t="s">
        <v>35</v>
      </c>
    </row>
    <row r="106">
      <c r="A106" s="15">
        <v>102</v>
      </c>
      <c r="B106" s="15" t="s">
        <v>33</v>
      </c>
      <c r="C106" s="15" t="s">
        <v>951</v>
      </c>
      <c r="D106" s="15" t="s">
        <v>35</v>
      </c>
      <c r="E106" s="15" t="s">
        <v>35</v>
      </c>
      <c r="F106" s="15" t="s">
        <v>35</v>
      </c>
      <c r="G106" s="15" t="s">
        <v>36</v>
      </c>
      <c r="H106" s="15" t="s">
        <v>952</v>
      </c>
      <c r="I106" s="15" t="s">
        <v>953</v>
      </c>
      <c r="J106" s="15" t="s">
        <v>954</v>
      </c>
      <c r="K106" s="15" t="s">
        <v>40</v>
      </c>
      <c r="L106" s="15" t="s">
        <v>41</v>
      </c>
      <c r="M106" s="15" t="s">
        <v>42</v>
      </c>
      <c r="N106" s="15" t="s">
        <v>43</v>
      </c>
      <c r="O106" s="15" t="s">
        <v>44</v>
      </c>
      <c r="P106" s="15" t="s">
        <v>955</v>
      </c>
      <c r="Q106" s="15" t="s">
        <v>956</v>
      </c>
      <c r="R106" s="16">
        <v>44329</v>
      </c>
      <c r="S106" s="17" t="s">
        <v>70</v>
      </c>
      <c r="T106" s="20">
        <f>HYPERLINK("https://vnm.spiral.com.vn//uploaded/20210513/0734D4F3-8292-4350-BB20-7C42E0889128.jpg","07:58:43")</f>
      </c>
      <c r="U106" s="20">
        <f>HYPERLINK("https://vnm.spiral.com.vn//uploaded/20210513/A74061B4-3CB0-453C-8442-9F4FB99E3961.jpg","17:11:02")</f>
      </c>
      <c r="V106" s="18">
        <v>0.38355324074074076</v>
      </c>
      <c r="W106" s="15" t="s">
        <v>957</v>
      </c>
      <c r="X106" s="15" t="s">
        <v>958</v>
      </c>
      <c r="Y106" s="15" t="s">
        <v>35</v>
      </c>
      <c r="Z106" s="19">
        <v>0</v>
      </c>
      <c r="AA106" s="15">
        <v>0</v>
      </c>
      <c r="AB106" s="15" t="s">
        <v>35</v>
      </c>
    </row>
    <row r="107">
      <c r="A107" s="15">
        <v>103</v>
      </c>
      <c r="B107" s="15" t="s">
        <v>87</v>
      </c>
      <c r="C107" s="15" t="s">
        <v>88</v>
      </c>
      <c r="D107" s="15" t="s">
        <v>115</v>
      </c>
      <c r="E107" s="15" t="s">
        <v>116</v>
      </c>
      <c r="F107" s="15" t="s">
        <v>35</v>
      </c>
      <c r="G107" s="15" t="s">
        <v>74</v>
      </c>
      <c r="H107" s="15" t="s">
        <v>959</v>
      </c>
      <c r="I107" s="15" t="s">
        <v>960</v>
      </c>
      <c r="J107" s="15" t="s">
        <v>961</v>
      </c>
      <c r="K107" s="15" t="s">
        <v>120</v>
      </c>
      <c r="L107" s="15" t="s">
        <v>121</v>
      </c>
      <c r="M107" s="15" t="s">
        <v>122</v>
      </c>
      <c r="N107" s="15" t="s">
        <v>123</v>
      </c>
      <c r="O107" s="15" t="s">
        <v>82</v>
      </c>
      <c r="P107" s="15" t="s">
        <v>962</v>
      </c>
      <c r="Q107" s="15" t="s">
        <v>963</v>
      </c>
      <c r="R107" s="16">
        <v>44329</v>
      </c>
      <c r="S107" s="17" t="s">
        <v>70</v>
      </c>
      <c r="T107" s="20">
        <f>HYPERLINK("https://vnm.spiral.com.vn//uploaded/20210513/cb82a316-afc8-46d0-be5d-49b4b2f0683b.jpg","16:26:37")</f>
      </c>
      <c r="U107" s="20">
        <f>HYPERLINK("https://vnm.spiral.com.vn//uploaded/20210513/e9348496-3d1f-44e9-b6e2-62b584752853.jpg","17:10:57")</f>
      </c>
      <c r="V107" s="18">
        <v>0.030787037037037036</v>
      </c>
      <c r="W107" s="15" t="s">
        <v>964</v>
      </c>
      <c r="X107" s="15" t="s">
        <v>965</v>
      </c>
      <c r="Y107" s="15" t="s">
        <v>35</v>
      </c>
      <c r="Z107" s="19">
        <v>0</v>
      </c>
      <c r="AA107" s="15">
        <v>0</v>
      </c>
      <c r="AB107" s="15" t="s">
        <v>35</v>
      </c>
    </row>
    <row r="108">
      <c r="A108" s="15">
        <v>104</v>
      </c>
      <c r="B108" s="15" t="s">
        <v>49</v>
      </c>
      <c r="C108" s="15" t="s">
        <v>468</v>
      </c>
      <c r="D108" s="15" t="s">
        <v>35</v>
      </c>
      <c r="E108" s="15" t="s">
        <v>35</v>
      </c>
      <c r="F108" s="15" t="s">
        <v>469</v>
      </c>
      <c r="G108" s="15" t="s">
        <v>36</v>
      </c>
      <c r="H108" s="15" t="s">
        <v>966</v>
      </c>
      <c r="I108" s="15" t="s">
        <v>967</v>
      </c>
      <c r="J108" s="15" t="s">
        <v>968</v>
      </c>
      <c r="K108" s="15" t="s">
        <v>40</v>
      </c>
      <c r="L108" s="15" t="s">
        <v>41</v>
      </c>
      <c r="M108" s="15" t="s">
        <v>55</v>
      </c>
      <c r="N108" s="15" t="s">
        <v>56</v>
      </c>
      <c r="O108" s="15" t="s">
        <v>44</v>
      </c>
      <c r="P108" s="15" t="s">
        <v>969</v>
      </c>
      <c r="Q108" s="15" t="s">
        <v>970</v>
      </c>
      <c r="R108" s="16">
        <v>44329</v>
      </c>
      <c r="S108" s="17" t="s">
        <v>971</v>
      </c>
      <c r="T108" s="20">
        <f>HYPERLINK("https://vnm.spiral.com.vn//uploaded/20210513/010845d8-00ed-4953-9e96-9e6b03b3e3f0.JPEG","06:12:21")</f>
      </c>
      <c r="U108" s="20">
        <f>HYPERLINK("https://vnm.spiral.com.vn//uploaded/20210513/ae8d478f-3f3a-49a4-ba7f-d7f3add54daa.JPEG","17:10:56")</f>
      </c>
      <c r="V108" s="18">
        <v>0.457349537037037</v>
      </c>
      <c r="W108" s="15" t="s">
        <v>972</v>
      </c>
      <c r="X108" s="15" t="s">
        <v>973</v>
      </c>
      <c r="Y108" s="15" t="s">
        <v>35</v>
      </c>
      <c r="Z108" s="19">
        <v>0</v>
      </c>
      <c r="AA108" s="15">
        <v>0</v>
      </c>
      <c r="AB108" s="15" t="s">
        <v>35</v>
      </c>
    </row>
    <row r="109">
      <c r="A109" s="15">
        <v>105</v>
      </c>
      <c r="B109" s="15" t="s">
        <v>87</v>
      </c>
      <c r="C109" s="15" t="s">
        <v>88</v>
      </c>
      <c r="D109" s="15" t="s">
        <v>35</v>
      </c>
      <c r="E109" s="15" t="s">
        <v>35</v>
      </c>
      <c r="F109" s="15" t="s">
        <v>35</v>
      </c>
      <c r="G109" s="15" t="s">
        <v>74</v>
      </c>
      <c r="H109" s="15" t="s">
        <v>974</v>
      </c>
      <c r="I109" s="15" t="s">
        <v>975</v>
      </c>
      <c r="J109" s="15" t="s">
        <v>976</v>
      </c>
      <c r="K109" s="15" t="s">
        <v>190</v>
      </c>
      <c r="L109" s="15" t="s">
        <v>191</v>
      </c>
      <c r="M109" s="15" t="s">
        <v>888</v>
      </c>
      <c r="N109" s="15" t="s">
        <v>889</v>
      </c>
      <c r="O109" s="15" t="s">
        <v>98</v>
      </c>
      <c r="P109" s="15" t="s">
        <v>924</v>
      </c>
      <c r="Q109" s="15" t="s">
        <v>925</v>
      </c>
      <c r="R109" s="16">
        <v>44329</v>
      </c>
      <c r="S109" s="17" t="s">
        <v>35</v>
      </c>
      <c r="T109" s="20">
        <f>HYPERLINK("https://vnm.spiral.com.vn//uploaded/20210513/7e5ae2a4-ced0-4492-8eda-d59dd37e8c3a.JPEG","15:15:18")</f>
      </c>
      <c r="U109" s="20">
        <f>HYPERLINK("https://vnm.spiral.com.vn//uploaded/20210513/a09333b2-31bb-4ad8-bc8d-edc614637e72.JPEG","17:10:52")</f>
      </c>
      <c r="V109" s="18">
        <v>0.08025462962962963</v>
      </c>
      <c r="W109" s="15" t="s">
        <v>977</v>
      </c>
      <c r="X109" s="15" t="s">
        <v>978</v>
      </c>
      <c r="Y109" s="15" t="s">
        <v>35</v>
      </c>
      <c r="Z109" s="19">
        <v>0</v>
      </c>
      <c r="AA109" s="15">
        <v>0</v>
      </c>
      <c r="AB109" s="15" t="s">
        <v>35</v>
      </c>
    </row>
    <row r="110">
      <c r="A110" s="15">
        <v>106</v>
      </c>
      <c r="B110" s="15" t="s">
        <v>33</v>
      </c>
      <c r="C110" s="15" t="s">
        <v>979</v>
      </c>
      <c r="D110" s="15" t="s">
        <v>35</v>
      </c>
      <c r="E110" s="15" t="s">
        <v>35</v>
      </c>
      <c r="F110" s="15" t="s">
        <v>35</v>
      </c>
      <c r="G110" s="15" t="s">
        <v>74</v>
      </c>
      <c r="H110" s="15" t="s">
        <v>980</v>
      </c>
      <c r="I110" s="15" t="s">
        <v>981</v>
      </c>
      <c r="J110" s="15" t="s">
        <v>982</v>
      </c>
      <c r="K110" s="15" t="s">
        <v>540</v>
      </c>
      <c r="L110" s="15" t="s">
        <v>541</v>
      </c>
      <c r="M110" s="15" t="s">
        <v>769</v>
      </c>
      <c r="N110" s="15" t="s">
        <v>770</v>
      </c>
      <c r="O110" s="15" t="s">
        <v>156</v>
      </c>
      <c r="P110" s="15" t="s">
        <v>983</v>
      </c>
      <c r="Q110" s="15" t="s">
        <v>984</v>
      </c>
      <c r="R110" s="16">
        <v>44329</v>
      </c>
      <c r="S110" s="17" t="s">
        <v>70</v>
      </c>
      <c r="T110" s="20">
        <f>HYPERLINK("https://vnm.spiral.com.vn//uploaded/20210513/5d382b9e-7833-438a-b7c2-230f83865216.JPEG","07:55:47")</f>
      </c>
      <c r="U110" s="20">
        <f>HYPERLINK("https://vnm.spiral.com.vn//uploaded/20210513/73f3a043-a0db-4bfd-974f-ebe5839e3b3a.JPEG","17:10:51")</f>
      </c>
      <c r="V110" s="18">
        <v>0.38546296296296295</v>
      </c>
      <c r="W110" s="15" t="s">
        <v>985</v>
      </c>
      <c r="X110" s="15" t="s">
        <v>986</v>
      </c>
      <c r="Y110" s="15" t="s">
        <v>35</v>
      </c>
      <c r="Z110" s="19">
        <v>0</v>
      </c>
      <c r="AA110" s="15">
        <v>0</v>
      </c>
      <c r="AB110" s="15" t="s">
        <v>35</v>
      </c>
    </row>
    <row r="111">
      <c r="A111" s="15">
        <v>107</v>
      </c>
      <c r="B111" s="15" t="s">
        <v>103</v>
      </c>
      <c r="C111" s="15" t="s">
        <v>186</v>
      </c>
      <c r="D111" s="15" t="s">
        <v>35</v>
      </c>
      <c r="E111" s="15" t="s">
        <v>35</v>
      </c>
      <c r="F111" s="15" t="s">
        <v>35</v>
      </c>
      <c r="G111" s="15" t="s">
        <v>36</v>
      </c>
      <c r="H111" s="15" t="s">
        <v>987</v>
      </c>
      <c r="I111" s="15" t="s">
        <v>988</v>
      </c>
      <c r="J111" s="15" t="s">
        <v>989</v>
      </c>
      <c r="K111" s="15" t="s">
        <v>40</v>
      </c>
      <c r="L111" s="15" t="s">
        <v>41</v>
      </c>
      <c r="M111" s="15" t="s">
        <v>565</v>
      </c>
      <c r="N111" s="15" t="s">
        <v>566</v>
      </c>
      <c r="O111" s="15" t="s">
        <v>44</v>
      </c>
      <c r="P111" s="15" t="s">
        <v>990</v>
      </c>
      <c r="Q111" s="15" t="s">
        <v>991</v>
      </c>
      <c r="R111" s="16">
        <v>44329</v>
      </c>
      <c r="S111" s="17" t="s">
        <v>475</v>
      </c>
      <c r="T111" s="20">
        <f>HYPERLINK("https://vnm.spiral.com.vn//uploaded/20210513/A7BC4972-AC7B-492E-80D2-8E1232FA94CB.jpg","07:26:13")</f>
      </c>
      <c r="U111" s="20">
        <f>HYPERLINK("https://vnm.spiral.com.vn//uploaded/20210513/C0264E84-BC45-4A1E-992B-F0E0A5B67B17.jpg","17:10:36")</f>
      </c>
      <c r="V111" s="18">
        <v>0.4058217592592593</v>
      </c>
      <c r="W111" s="15" t="s">
        <v>992</v>
      </c>
      <c r="X111" s="15" t="s">
        <v>993</v>
      </c>
      <c r="Y111" s="15" t="s">
        <v>35</v>
      </c>
      <c r="Z111" s="19">
        <v>0</v>
      </c>
      <c r="AA111" s="15">
        <v>0</v>
      </c>
      <c r="AB111" s="15" t="s">
        <v>35</v>
      </c>
    </row>
    <row r="112">
      <c r="A112" s="15">
        <v>108</v>
      </c>
      <c r="B112" s="15" t="s">
        <v>33</v>
      </c>
      <c r="C112" s="15" t="s">
        <v>765</v>
      </c>
      <c r="D112" s="15" t="s">
        <v>536</v>
      </c>
      <c r="E112" s="15" t="s">
        <v>116</v>
      </c>
      <c r="F112" s="15" t="s">
        <v>35</v>
      </c>
      <c r="G112" s="15" t="s">
        <v>74</v>
      </c>
      <c r="H112" s="15" t="s">
        <v>994</v>
      </c>
      <c r="I112" s="15" t="s">
        <v>995</v>
      </c>
      <c r="J112" s="15" t="s">
        <v>996</v>
      </c>
      <c r="K112" s="15" t="s">
        <v>997</v>
      </c>
      <c r="L112" s="15" t="s">
        <v>998</v>
      </c>
      <c r="M112" s="15" t="s">
        <v>999</v>
      </c>
      <c r="N112" s="15" t="s">
        <v>1000</v>
      </c>
      <c r="O112" s="15" t="s">
        <v>82</v>
      </c>
      <c r="P112" s="15" t="s">
        <v>1001</v>
      </c>
      <c r="Q112" s="15" t="s">
        <v>1002</v>
      </c>
      <c r="R112" s="16">
        <v>44329</v>
      </c>
      <c r="S112" s="17" t="s">
        <v>70</v>
      </c>
      <c r="T112" s="20">
        <f>HYPERLINK("https://vnm.spiral.com.vn//uploaded/20210513/41844548-5d2d-4d1c-a043-8c66925c2035.JPEG","07:53:17")</f>
      </c>
      <c r="U112" s="20">
        <f>HYPERLINK("https://vnm.spiral.com.vn//uploaded/20210513/08b9267e-8e90-4577-b5b1-d70a9adaf0f9.JPEG","17:10:27")</f>
      </c>
      <c r="V112" s="18">
        <v>0.3869212962962963</v>
      </c>
      <c r="W112" s="15" t="s">
        <v>1003</v>
      </c>
      <c r="X112" s="15" t="s">
        <v>1004</v>
      </c>
      <c r="Y112" s="15" t="s">
        <v>35</v>
      </c>
      <c r="Z112" s="19">
        <v>0</v>
      </c>
      <c r="AA112" s="15">
        <v>0</v>
      </c>
      <c r="AB112" s="15" t="s">
        <v>35</v>
      </c>
    </row>
    <row r="113">
      <c r="A113" s="15">
        <v>109</v>
      </c>
      <c r="B113" s="15" t="s">
        <v>49</v>
      </c>
      <c r="C113" s="15" t="s">
        <v>369</v>
      </c>
      <c r="D113" s="15" t="s">
        <v>135</v>
      </c>
      <c r="E113" s="15" t="s">
        <v>116</v>
      </c>
      <c r="F113" s="15" t="s">
        <v>35</v>
      </c>
      <c r="G113" s="15" t="s">
        <v>74</v>
      </c>
      <c r="H113" s="15" t="s">
        <v>1005</v>
      </c>
      <c r="I113" s="15" t="s">
        <v>1006</v>
      </c>
      <c r="J113" s="15" t="s">
        <v>1007</v>
      </c>
      <c r="K113" s="15" t="s">
        <v>168</v>
      </c>
      <c r="L113" s="15" t="s">
        <v>169</v>
      </c>
      <c r="M113" s="15" t="s">
        <v>383</v>
      </c>
      <c r="N113" s="15" t="s">
        <v>384</v>
      </c>
      <c r="O113" s="15" t="s">
        <v>82</v>
      </c>
      <c r="P113" s="15" t="s">
        <v>1008</v>
      </c>
      <c r="Q113" s="15" t="s">
        <v>1009</v>
      </c>
      <c r="R113" s="16">
        <v>44329</v>
      </c>
      <c r="S113" s="17" t="s">
        <v>70</v>
      </c>
      <c r="T113" s="20">
        <f>HYPERLINK("https://vnm.spiral.com.vn//uploaded/20210513/FD07305A-1F61-4E2B-A764-717721346B12.jpg","15:30:01")</f>
      </c>
      <c r="U113" s="20">
        <f>HYPERLINK("https://vnm.spiral.com.vn//uploaded/20210513/2145F370-6E28-4221-B5C9-52177E2671E7.jpg","17:10:27")</f>
      </c>
      <c r="V113" s="18">
        <v>0.06974537037037037</v>
      </c>
      <c r="W113" s="15" t="s">
        <v>1010</v>
      </c>
      <c r="X113" s="15" t="s">
        <v>1011</v>
      </c>
      <c r="Y113" s="15" t="s">
        <v>35</v>
      </c>
      <c r="Z113" s="19">
        <v>0</v>
      </c>
      <c r="AA113" s="15">
        <v>0</v>
      </c>
      <c r="AB113" s="15" t="s">
        <v>35</v>
      </c>
    </row>
    <row r="114">
      <c r="A114" s="15">
        <v>110</v>
      </c>
      <c r="B114" s="15" t="s">
        <v>103</v>
      </c>
      <c r="C114" s="15" t="s">
        <v>104</v>
      </c>
      <c r="D114" s="15" t="s">
        <v>35</v>
      </c>
      <c r="E114" s="15" t="s">
        <v>35</v>
      </c>
      <c r="F114" s="15" t="s">
        <v>35</v>
      </c>
      <c r="G114" s="15" t="s">
        <v>36</v>
      </c>
      <c r="H114" s="15" t="s">
        <v>1012</v>
      </c>
      <c r="I114" s="15" t="s">
        <v>1013</v>
      </c>
      <c r="J114" s="15" t="s">
        <v>1014</v>
      </c>
      <c r="K114" s="15" t="s">
        <v>40</v>
      </c>
      <c r="L114" s="15" t="s">
        <v>41</v>
      </c>
      <c r="M114" s="15" t="s">
        <v>108</v>
      </c>
      <c r="N114" s="15" t="s">
        <v>109</v>
      </c>
      <c r="O114" s="15" t="s">
        <v>44</v>
      </c>
      <c r="P114" s="15" t="s">
        <v>1015</v>
      </c>
      <c r="Q114" s="15" t="s">
        <v>1016</v>
      </c>
      <c r="R114" s="16">
        <v>44329</v>
      </c>
      <c r="S114" s="17" t="s">
        <v>70</v>
      </c>
      <c r="T114" s="20">
        <f>HYPERLINK("https://vnm.spiral.com.vn//uploaded/20210513/1D92C65C-1029-4A37-8E2A-B760D62286DD.jpg","07:44:02")</f>
      </c>
      <c r="U114" s="20">
        <f>HYPERLINK("https://vnm.spiral.com.vn//uploaded/20210513/18438EFA-C5A0-4F1A-9E84-FEE103653EC2.jpg","17:10:27")</f>
      </c>
      <c r="V114" s="18">
        <v>0.3933449074074074</v>
      </c>
      <c r="W114" s="15" t="s">
        <v>1017</v>
      </c>
      <c r="X114" s="15" t="s">
        <v>1018</v>
      </c>
      <c r="Y114" s="15" t="s">
        <v>35</v>
      </c>
      <c r="Z114" s="19">
        <v>0</v>
      </c>
      <c r="AA114" s="15">
        <v>0</v>
      </c>
      <c r="AB114" s="15" t="s">
        <v>35</v>
      </c>
    </row>
    <row r="115">
      <c r="A115" s="15">
        <v>111</v>
      </c>
      <c r="B115" s="15" t="s">
        <v>87</v>
      </c>
      <c r="C115" s="15" t="s">
        <v>88</v>
      </c>
      <c r="D115" s="15" t="s">
        <v>432</v>
      </c>
      <c r="E115" s="15" t="s">
        <v>116</v>
      </c>
      <c r="F115" s="15" t="s">
        <v>35</v>
      </c>
      <c r="G115" s="15" t="s">
        <v>74</v>
      </c>
      <c r="H115" s="15" t="s">
        <v>1019</v>
      </c>
      <c r="I115" s="15" t="s">
        <v>1020</v>
      </c>
      <c r="J115" s="15" t="s">
        <v>1021</v>
      </c>
      <c r="K115" s="15" t="s">
        <v>625</v>
      </c>
      <c r="L115" s="15" t="s">
        <v>626</v>
      </c>
      <c r="M115" s="15" t="s">
        <v>1022</v>
      </c>
      <c r="N115" s="15" t="s">
        <v>1023</v>
      </c>
      <c r="O115" s="15" t="s">
        <v>82</v>
      </c>
      <c r="P115" s="15" t="s">
        <v>1024</v>
      </c>
      <c r="Q115" s="15" t="s">
        <v>1025</v>
      </c>
      <c r="R115" s="16">
        <v>44329</v>
      </c>
      <c r="S115" s="17" t="s">
        <v>70</v>
      </c>
      <c r="T115" s="20">
        <f>HYPERLINK("https://vnm.spiral.com.vn//uploaded/20210513/25C25035-C558-4791-B9B2-DB167A74F1BD.jpg","16:35:05")</f>
      </c>
      <c r="U115" s="20">
        <f>HYPERLINK("https://vnm.spiral.com.vn//uploaded/20210513/D6C485C8-C7FA-4BD6-A9B6-1343FF8E2492.jpg","17:10:23")</f>
      </c>
      <c r="V115" s="18">
        <v>0.02451388888888889</v>
      </c>
      <c r="W115" s="15" t="s">
        <v>1026</v>
      </c>
      <c r="X115" s="15" t="s">
        <v>1027</v>
      </c>
      <c r="Y115" s="15" t="s">
        <v>35</v>
      </c>
      <c r="Z115" s="19">
        <v>0</v>
      </c>
      <c r="AA115" s="15">
        <v>0</v>
      </c>
      <c r="AB115" s="15" t="s">
        <v>35</v>
      </c>
    </row>
    <row r="116">
      <c r="A116" s="15">
        <v>112</v>
      </c>
      <c r="B116" s="15" t="s">
        <v>87</v>
      </c>
      <c r="C116" s="15" t="s">
        <v>88</v>
      </c>
      <c r="D116" s="15" t="s">
        <v>74</v>
      </c>
      <c r="E116" s="15" t="s">
        <v>90</v>
      </c>
      <c r="F116" s="15" t="s">
        <v>35</v>
      </c>
      <c r="G116" s="15" t="s">
        <v>74</v>
      </c>
      <c r="H116" s="15" t="s">
        <v>1028</v>
      </c>
      <c r="I116" s="15" t="s">
        <v>1029</v>
      </c>
      <c r="J116" s="15" t="s">
        <v>1030</v>
      </c>
      <c r="K116" s="15" t="s">
        <v>190</v>
      </c>
      <c r="L116" s="15" t="s">
        <v>191</v>
      </c>
      <c r="M116" s="15" t="s">
        <v>1031</v>
      </c>
      <c r="N116" s="15" t="s">
        <v>1032</v>
      </c>
      <c r="O116" s="15" t="s">
        <v>82</v>
      </c>
      <c r="P116" s="15" t="s">
        <v>1033</v>
      </c>
      <c r="Q116" s="15" t="s">
        <v>1034</v>
      </c>
      <c r="R116" s="16">
        <v>44329</v>
      </c>
      <c r="S116" s="17" t="s">
        <v>70</v>
      </c>
      <c r="T116" s="20">
        <f>HYPERLINK("https://vnm.spiral.com.vn//uploaded/20210513/35e1e159-3a86-4ffe-8e07-7b951346f6da.JPEG","16:53:55")</f>
      </c>
      <c r="U116" s="20">
        <f>HYPERLINK("https://vnm.spiral.com.vn//uploaded/20210513/10943171-eb22-41af-b04b-1046ae4e383a.JPEG","17:10:01")</f>
      </c>
      <c r="V116" s="18">
        <v>0.011180555555555555</v>
      </c>
      <c r="W116" s="15" t="s">
        <v>1035</v>
      </c>
      <c r="X116" s="15" t="s">
        <v>1036</v>
      </c>
      <c r="Y116" s="15" t="s">
        <v>35</v>
      </c>
      <c r="Z116" s="19">
        <v>0</v>
      </c>
      <c r="AA116" s="15">
        <v>0</v>
      </c>
      <c r="AB116" s="15" t="s">
        <v>35</v>
      </c>
    </row>
    <row r="117">
      <c r="A117" s="15">
        <v>113</v>
      </c>
      <c r="B117" s="15" t="s">
        <v>103</v>
      </c>
      <c r="C117" s="15" t="s">
        <v>174</v>
      </c>
      <c r="D117" s="15" t="s">
        <v>35</v>
      </c>
      <c r="E117" s="15" t="s">
        <v>35</v>
      </c>
      <c r="F117" s="15" t="s">
        <v>35</v>
      </c>
      <c r="G117" s="15" t="s">
        <v>36</v>
      </c>
      <c r="H117" s="15" t="s">
        <v>1037</v>
      </c>
      <c r="I117" s="15" t="s">
        <v>1038</v>
      </c>
      <c r="J117" s="15" t="s">
        <v>1039</v>
      </c>
      <c r="K117" s="15" t="s">
        <v>40</v>
      </c>
      <c r="L117" s="15" t="s">
        <v>41</v>
      </c>
      <c r="M117" s="15" t="s">
        <v>108</v>
      </c>
      <c r="N117" s="15" t="s">
        <v>109</v>
      </c>
      <c r="O117" s="15" t="s">
        <v>44</v>
      </c>
      <c r="P117" s="15" t="s">
        <v>1040</v>
      </c>
      <c r="Q117" s="15" t="s">
        <v>1041</v>
      </c>
      <c r="R117" s="16">
        <v>44329</v>
      </c>
      <c r="S117" s="17" t="s">
        <v>59</v>
      </c>
      <c r="T117" s="20">
        <f>HYPERLINK("https://vnm.spiral.com.vn//uploaded/20210513/CE90F411-6A8E-4012-A1C8-BB2C17F83B9D.jpg","13:03:01")</f>
      </c>
      <c r="U117" s="20">
        <f>HYPERLINK("https://vnm.spiral.com.vn//uploaded/20210513/16D6B9B3-2822-4068-8FAF-90DD27748FF1.jpg","17:09:57")</f>
      </c>
      <c r="V117" s="18">
        <v>0.17148148148148148</v>
      </c>
      <c r="W117" s="15" t="s">
        <v>1042</v>
      </c>
      <c r="X117" s="15" t="s">
        <v>1043</v>
      </c>
      <c r="Y117" s="15" t="s">
        <v>35</v>
      </c>
      <c r="Z117" s="19">
        <v>0</v>
      </c>
      <c r="AA117" s="15">
        <v>0</v>
      </c>
      <c r="AB117" s="15" t="s">
        <v>35</v>
      </c>
    </row>
    <row r="118">
      <c r="A118" s="15">
        <v>114</v>
      </c>
      <c r="B118" s="15" t="s">
        <v>343</v>
      </c>
      <c r="C118" s="15" t="s">
        <v>344</v>
      </c>
      <c r="D118" s="15" t="s">
        <v>432</v>
      </c>
      <c r="E118" s="15" t="s">
        <v>116</v>
      </c>
      <c r="F118" s="15" t="s">
        <v>35</v>
      </c>
      <c r="G118" s="15" t="s">
        <v>74</v>
      </c>
      <c r="H118" s="15" t="s">
        <v>1044</v>
      </c>
      <c r="I118" s="15" t="s">
        <v>1045</v>
      </c>
      <c r="J118" s="15" t="s">
        <v>1046</v>
      </c>
      <c r="K118" s="15" t="s">
        <v>512</v>
      </c>
      <c r="L118" s="15" t="s">
        <v>513</v>
      </c>
      <c r="M118" s="15" t="s">
        <v>514</v>
      </c>
      <c r="N118" s="15" t="s">
        <v>515</v>
      </c>
      <c r="O118" s="15" t="s">
        <v>82</v>
      </c>
      <c r="P118" s="15" t="s">
        <v>1047</v>
      </c>
      <c r="Q118" s="15" t="s">
        <v>1048</v>
      </c>
      <c r="R118" s="16">
        <v>44329</v>
      </c>
      <c r="S118" s="17" t="s">
        <v>70</v>
      </c>
      <c r="T118" s="20">
        <f>HYPERLINK("https://vnm.spiral.com.vn//uploaded/20210513/2d7e395b-c895-4baa-8cfe-a006fc94083c.JPEG","16:19:17")</f>
      </c>
      <c r="U118" s="20">
        <f>HYPERLINK("https://vnm.spiral.com.vn//uploaded/20210513/186059aa-6b60-4c36-94bd-420613c1eb02.JPEG","17:09:52")</f>
      </c>
      <c r="V118" s="18">
        <v>0.03512731481481481</v>
      </c>
      <c r="W118" s="15" t="s">
        <v>1049</v>
      </c>
      <c r="X118" s="15" t="s">
        <v>1050</v>
      </c>
      <c r="Y118" s="15" t="s">
        <v>35</v>
      </c>
      <c r="Z118" s="19">
        <v>0</v>
      </c>
      <c r="AA118" s="15">
        <v>0</v>
      </c>
      <c r="AB118" s="15" t="s">
        <v>35</v>
      </c>
    </row>
    <row r="119">
      <c r="A119" s="15">
        <v>115</v>
      </c>
      <c r="B119" s="15" t="s">
        <v>103</v>
      </c>
      <c r="C119" s="15" t="s">
        <v>104</v>
      </c>
      <c r="D119" s="15" t="s">
        <v>135</v>
      </c>
      <c r="E119" s="15" t="s">
        <v>116</v>
      </c>
      <c r="F119" s="15" t="s">
        <v>35</v>
      </c>
      <c r="G119" s="15" t="s">
        <v>74</v>
      </c>
      <c r="H119" s="15" t="s">
        <v>1051</v>
      </c>
      <c r="I119" s="15" t="s">
        <v>1052</v>
      </c>
      <c r="J119" s="15" t="s">
        <v>1053</v>
      </c>
      <c r="K119" s="15" t="s">
        <v>190</v>
      </c>
      <c r="L119" s="15" t="s">
        <v>191</v>
      </c>
      <c r="M119" s="15" t="s">
        <v>460</v>
      </c>
      <c r="N119" s="15" t="s">
        <v>461</v>
      </c>
      <c r="O119" s="15" t="s">
        <v>98</v>
      </c>
      <c r="P119" s="15" t="s">
        <v>462</v>
      </c>
      <c r="Q119" s="15" t="s">
        <v>463</v>
      </c>
      <c r="R119" s="16">
        <v>44329</v>
      </c>
      <c r="S119" s="17" t="s">
        <v>35</v>
      </c>
      <c r="T119" s="20">
        <f>HYPERLINK("https://vnm.spiral.com.vn//uploaded/20210513/B5291AE6-35A1-4F87-A726-7D000A75CBF0.jpg","16:00:51")</f>
      </c>
      <c r="U119" s="20">
        <f>HYPERLINK("https://vnm.spiral.com.vn//uploaded/20210513/429191E2-C830-4CBA-9FF9-7D74EAEA4523.jpg","17:09:50")</f>
      </c>
      <c r="V119" s="18">
        <v>0.04790509259259259</v>
      </c>
      <c r="W119" s="15" t="s">
        <v>1054</v>
      </c>
      <c r="X119" s="15" t="s">
        <v>1055</v>
      </c>
      <c r="Y119" s="15" t="s">
        <v>35</v>
      </c>
      <c r="Z119" s="19">
        <v>0</v>
      </c>
      <c r="AA119" s="15">
        <v>0</v>
      </c>
      <c r="AB119" s="15" t="s">
        <v>35</v>
      </c>
    </row>
    <row r="120">
      <c r="A120" s="15">
        <v>116</v>
      </c>
      <c r="B120" s="15" t="s">
        <v>33</v>
      </c>
      <c r="C120" s="15" t="s">
        <v>979</v>
      </c>
      <c r="D120" s="15" t="s">
        <v>35</v>
      </c>
      <c r="E120" s="15" t="s">
        <v>35</v>
      </c>
      <c r="F120" s="15" t="s">
        <v>35</v>
      </c>
      <c r="G120" s="15" t="s">
        <v>74</v>
      </c>
      <c r="H120" s="15" t="s">
        <v>1056</v>
      </c>
      <c r="I120" s="15" t="s">
        <v>767</v>
      </c>
      <c r="J120" s="15" t="s">
        <v>1057</v>
      </c>
      <c r="K120" s="15" t="s">
        <v>540</v>
      </c>
      <c r="L120" s="15" t="s">
        <v>541</v>
      </c>
      <c r="M120" s="15" t="s">
        <v>769</v>
      </c>
      <c r="N120" s="15" t="s">
        <v>770</v>
      </c>
      <c r="O120" s="15" t="s">
        <v>82</v>
      </c>
      <c r="P120" s="15" t="s">
        <v>1058</v>
      </c>
      <c r="Q120" s="15" t="s">
        <v>1059</v>
      </c>
      <c r="R120" s="16">
        <v>44329</v>
      </c>
      <c r="S120" s="17" t="s">
        <v>70</v>
      </c>
      <c r="T120" s="20">
        <f>HYPERLINK("https://vnm.spiral.com.vn//uploaded/20210513/82576a85-b6c4-4b70-9078-5da9bc578179.JPEG","08:05:44")</f>
      </c>
      <c r="U120" s="20">
        <f>HYPERLINK("https://vnm.spiral.com.vn//uploaded/20210513/511f6fad-3b2c-4338-b490-cd228bf0c6af.JPEG","17:09:48")</f>
      </c>
      <c r="V120" s="18">
        <v>0.3778240740740741</v>
      </c>
      <c r="W120" s="15" t="s">
        <v>1060</v>
      </c>
      <c r="X120" s="15" t="s">
        <v>1061</v>
      </c>
      <c r="Y120" s="15" t="s">
        <v>35</v>
      </c>
      <c r="Z120" s="19">
        <v>0</v>
      </c>
      <c r="AA120" s="15">
        <v>0</v>
      </c>
      <c r="AB120" s="15" t="s">
        <v>35</v>
      </c>
    </row>
    <row r="121">
      <c r="A121" s="15">
        <v>117</v>
      </c>
      <c r="B121" s="15" t="s">
        <v>61</v>
      </c>
      <c r="C121" s="15" t="s">
        <v>904</v>
      </c>
      <c r="D121" s="15" t="s">
        <v>35</v>
      </c>
      <c r="E121" s="15" t="s">
        <v>35</v>
      </c>
      <c r="F121" s="15" t="s">
        <v>1062</v>
      </c>
      <c r="G121" s="15" t="s">
        <v>36</v>
      </c>
      <c r="H121" s="15" t="s">
        <v>1063</v>
      </c>
      <c r="I121" s="15" t="s">
        <v>1064</v>
      </c>
      <c r="J121" s="15" t="s">
        <v>1065</v>
      </c>
      <c r="K121" s="15" t="s">
        <v>40</v>
      </c>
      <c r="L121" s="15" t="s">
        <v>41</v>
      </c>
      <c r="M121" s="15" t="s">
        <v>66</v>
      </c>
      <c r="N121" s="15" t="s">
        <v>67</v>
      </c>
      <c r="O121" s="15" t="s">
        <v>44</v>
      </c>
      <c r="P121" s="15" t="s">
        <v>1066</v>
      </c>
      <c r="Q121" s="15" t="s">
        <v>1067</v>
      </c>
      <c r="R121" s="16">
        <v>44329</v>
      </c>
      <c r="S121" s="17" t="s">
        <v>70</v>
      </c>
      <c r="T121" s="20">
        <f>HYPERLINK("https://vnm.spiral.com.vn//uploaded/20210513/8056d757-27b6-4a27-a831-dbd0563a293c.JPEG","07:40:21")</f>
      </c>
      <c r="U121" s="20">
        <f>HYPERLINK("https://vnm.spiral.com.vn//uploaded/20210513/b04e826f-dbfe-4b01-8038-ffc7b26476f7.JPEG","17:09:43")</f>
      </c>
      <c r="V121" s="18">
        <v>0.3953935185185185</v>
      </c>
      <c r="W121" s="15" t="s">
        <v>1068</v>
      </c>
      <c r="X121" s="15" t="s">
        <v>1069</v>
      </c>
      <c r="Y121" s="15" t="s">
        <v>35</v>
      </c>
      <c r="Z121" s="19">
        <v>0</v>
      </c>
      <c r="AA121" s="15">
        <v>0</v>
      </c>
      <c r="AB121" s="15" t="s">
        <v>35</v>
      </c>
    </row>
    <row r="122">
      <c r="A122" s="15">
        <v>118</v>
      </c>
      <c r="B122" s="15" t="s">
        <v>87</v>
      </c>
      <c r="C122" s="15" t="s">
        <v>88</v>
      </c>
      <c r="D122" s="15" t="s">
        <v>35</v>
      </c>
      <c r="E122" s="15" t="s">
        <v>35</v>
      </c>
      <c r="F122" s="15" t="s">
        <v>35</v>
      </c>
      <c r="G122" s="15" t="s">
        <v>74</v>
      </c>
      <c r="H122" s="15" t="s">
        <v>1070</v>
      </c>
      <c r="I122" s="15" t="s">
        <v>1071</v>
      </c>
      <c r="J122" s="15" t="s">
        <v>1072</v>
      </c>
      <c r="K122" s="15" t="s">
        <v>120</v>
      </c>
      <c r="L122" s="15" t="s">
        <v>121</v>
      </c>
      <c r="M122" s="15" t="s">
        <v>1073</v>
      </c>
      <c r="N122" s="15" t="s">
        <v>1074</v>
      </c>
      <c r="O122" s="15" t="s">
        <v>82</v>
      </c>
      <c r="P122" s="15" t="s">
        <v>1075</v>
      </c>
      <c r="Q122" s="15" t="s">
        <v>1076</v>
      </c>
      <c r="R122" s="16">
        <v>44329</v>
      </c>
      <c r="S122" s="17" t="s">
        <v>70</v>
      </c>
      <c r="T122" s="20">
        <f>HYPERLINK("https://vnm.spiral.com.vn//uploaded/20210513/c9283858-aacb-4761-bcbb-2a58751c89f2.jpg","16:02:21")</f>
      </c>
      <c r="U122" s="20">
        <f>HYPERLINK("https://vnm.spiral.com.vn//uploaded/20210513/8fffb862-5383-44b1-813b-0d3f6b879bde.jpg","17:09:42")</f>
      </c>
      <c r="V122" s="18">
        <v>0.04677083333333333</v>
      </c>
      <c r="W122" s="15" t="s">
        <v>1077</v>
      </c>
      <c r="X122" s="15" t="s">
        <v>1077</v>
      </c>
      <c r="Y122" s="15" t="s">
        <v>35</v>
      </c>
      <c r="Z122" s="19">
        <v>0</v>
      </c>
      <c r="AA122" s="15">
        <v>0</v>
      </c>
      <c r="AB122" s="15" t="s">
        <v>35</v>
      </c>
    </row>
    <row r="123">
      <c r="A123" s="15">
        <v>119</v>
      </c>
      <c r="B123" s="15" t="s">
        <v>103</v>
      </c>
      <c r="C123" s="15" t="s">
        <v>1078</v>
      </c>
      <c r="D123" s="15" t="s">
        <v>432</v>
      </c>
      <c r="E123" s="15" t="s">
        <v>116</v>
      </c>
      <c r="F123" s="15" t="s">
        <v>35</v>
      </c>
      <c r="G123" s="15" t="s">
        <v>74</v>
      </c>
      <c r="H123" s="15" t="s">
        <v>1079</v>
      </c>
      <c r="I123" s="15" t="s">
        <v>1080</v>
      </c>
      <c r="J123" s="15" t="s">
        <v>1081</v>
      </c>
      <c r="K123" s="15" t="s">
        <v>436</v>
      </c>
      <c r="L123" s="15" t="s">
        <v>437</v>
      </c>
      <c r="M123" s="15" t="s">
        <v>438</v>
      </c>
      <c r="N123" s="15" t="s">
        <v>439</v>
      </c>
      <c r="O123" s="15" t="s">
        <v>82</v>
      </c>
      <c r="P123" s="15" t="s">
        <v>1082</v>
      </c>
      <c r="Q123" s="15" t="s">
        <v>1083</v>
      </c>
      <c r="R123" s="16">
        <v>44329</v>
      </c>
      <c r="S123" s="17" t="s">
        <v>70</v>
      </c>
      <c r="T123" s="20">
        <f>HYPERLINK("https://vnm.spiral.com.vn//uploaded/20210513/6E60AAF5-D4DF-4823-8FE2-0B448DDC8716.jpg","16:31:07")</f>
      </c>
      <c r="U123" s="20">
        <f>HYPERLINK("https://vnm.spiral.com.vn//uploaded/20210513/1258616B-CD4F-4A9F-87D4-5D692CD948E9.jpg","17:09:37")</f>
      </c>
      <c r="V123" s="18">
        <v>0.02673611111111111</v>
      </c>
      <c r="W123" s="15" t="s">
        <v>1084</v>
      </c>
      <c r="X123" s="15" t="s">
        <v>1085</v>
      </c>
      <c r="Y123" s="15" t="s">
        <v>35</v>
      </c>
      <c r="Z123" s="19">
        <v>0</v>
      </c>
      <c r="AA123" s="15">
        <v>0</v>
      </c>
      <c r="AB123" s="15" t="s">
        <v>35</v>
      </c>
    </row>
    <row r="124">
      <c r="A124" s="15">
        <v>120</v>
      </c>
      <c r="B124" s="15" t="s">
        <v>343</v>
      </c>
      <c r="C124" s="15" t="s">
        <v>344</v>
      </c>
      <c r="D124" s="15" t="s">
        <v>357</v>
      </c>
      <c r="E124" s="15" t="s">
        <v>90</v>
      </c>
      <c r="F124" s="15" t="s">
        <v>35</v>
      </c>
      <c r="G124" s="15" t="s">
        <v>74</v>
      </c>
      <c r="H124" s="15" t="s">
        <v>1086</v>
      </c>
      <c r="I124" s="15" t="s">
        <v>1087</v>
      </c>
      <c r="J124" s="15" t="s">
        <v>1088</v>
      </c>
      <c r="K124" s="15" t="s">
        <v>915</v>
      </c>
      <c r="L124" s="15" t="s">
        <v>916</v>
      </c>
      <c r="M124" s="15" t="s">
        <v>361</v>
      </c>
      <c r="N124" s="15" t="s">
        <v>362</v>
      </c>
      <c r="O124" s="15" t="s">
        <v>82</v>
      </c>
      <c r="P124" s="15" t="s">
        <v>858</v>
      </c>
      <c r="Q124" s="15" t="s">
        <v>859</v>
      </c>
      <c r="R124" s="16">
        <v>44329</v>
      </c>
      <c r="S124" s="17" t="s">
        <v>70</v>
      </c>
      <c r="T124" s="20">
        <f>HYPERLINK("https://vnm.spiral.com.vn//uploaded/20210513/151ad8d9-6963-4f50-abf2-f5c7770247b0.JPEG","14:50:09")</f>
      </c>
      <c r="U124" s="20">
        <f>HYPERLINK("https://vnm.spiral.com.vn//uploaded/20210513/587a3ed8-5aff-4a21-97c8-655a730316fb.JPEG","17:09:37")</f>
      </c>
      <c r="V124" s="18">
        <v>0.09685185185185186</v>
      </c>
      <c r="W124" s="15" t="s">
        <v>1089</v>
      </c>
      <c r="X124" s="15" t="s">
        <v>1090</v>
      </c>
      <c r="Y124" s="15" t="s">
        <v>35</v>
      </c>
      <c r="Z124" s="19">
        <v>0</v>
      </c>
      <c r="AA124" s="15">
        <v>0</v>
      </c>
      <c r="AB124" s="15" t="s">
        <v>35</v>
      </c>
    </row>
    <row r="125">
      <c r="A125" s="15">
        <v>121</v>
      </c>
      <c r="B125" s="15" t="s">
        <v>87</v>
      </c>
      <c r="C125" s="15" t="s">
        <v>88</v>
      </c>
      <c r="D125" s="15" t="s">
        <v>35</v>
      </c>
      <c r="E125" s="15" t="s">
        <v>35</v>
      </c>
      <c r="F125" s="15" t="s">
        <v>1091</v>
      </c>
      <c r="G125" s="15" t="s">
        <v>36</v>
      </c>
      <c r="H125" s="15" t="s">
        <v>1092</v>
      </c>
      <c r="I125" s="15" t="s">
        <v>1093</v>
      </c>
      <c r="J125" s="15" t="s">
        <v>1094</v>
      </c>
      <c r="K125" s="15" t="s">
        <v>40</v>
      </c>
      <c r="L125" s="15" t="s">
        <v>41</v>
      </c>
      <c r="M125" s="15" t="s">
        <v>810</v>
      </c>
      <c r="N125" s="15" t="s">
        <v>811</v>
      </c>
      <c r="O125" s="15" t="s">
        <v>44</v>
      </c>
      <c r="P125" s="15" t="s">
        <v>1095</v>
      </c>
      <c r="Q125" s="15" t="s">
        <v>1096</v>
      </c>
      <c r="R125" s="16">
        <v>44329</v>
      </c>
      <c r="S125" s="17" t="s">
        <v>475</v>
      </c>
      <c r="T125" s="20">
        <f>HYPERLINK("https://vnm.spiral.com.vn//uploaded/20210513/460a078d-0108-466b-9e29-5e5bc3121799.JPEG","08:12:35")</f>
      </c>
      <c r="U125" s="20">
        <f>HYPERLINK("https://vnm.spiral.com.vn//uploaded/20210513/ce88ccf1-562b-49c8-830a-89b0393bbedc.JPEG","17:09:34")</f>
      </c>
      <c r="V125" s="18">
        <v>0.3729050925925926</v>
      </c>
      <c r="W125" s="15" t="s">
        <v>1097</v>
      </c>
      <c r="X125" s="15" t="s">
        <v>1098</v>
      </c>
      <c r="Y125" s="15" t="s">
        <v>35</v>
      </c>
      <c r="Z125" s="19">
        <v>0</v>
      </c>
      <c r="AA125" s="15">
        <v>0</v>
      </c>
      <c r="AB125" s="15" t="s">
        <v>35</v>
      </c>
    </row>
    <row r="126">
      <c r="A126" s="15">
        <v>122</v>
      </c>
      <c r="B126" s="15" t="s">
        <v>33</v>
      </c>
      <c r="C126" s="15" t="s">
        <v>492</v>
      </c>
      <c r="D126" s="15" t="s">
        <v>357</v>
      </c>
      <c r="E126" s="15" t="s">
        <v>35</v>
      </c>
      <c r="F126" s="15" t="s">
        <v>35</v>
      </c>
      <c r="G126" s="15" t="s">
        <v>74</v>
      </c>
      <c r="H126" s="15" t="s">
        <v>1099</v>
      </c>
      <c r="I126" s="15" t="s">
        <v>1100</v>
      </c>
      <c r="J126" s="15" t="s">
        <v>1101</v>
      </c>
      <c r="K126" s="15" t="s">
        <v>540</v>
      </c>
      <c r="L126" s="15" t="s">
        <v>541</v>
      </c>
      <c r="M126" s="15" t="s">
        <v>78</v>
      </c>
      <c r="N126" s="15" t="s">
        <v>79</v>
      </c>
      <c r="O126" s="15" t="s">
        <v>82</v>
      </c>
      <c r="P126" s="15" t="s">
        <v>1102</v>
      </c>
      <c r="Q126" s="15" t="s">
        <v>1103</v>
      </c>
      <c r="R126" s="16">
        <v>44329</v>
      </c>
      <c r="S126" s="17" t="s">
        <v>70</v>
      </c>
      <c r="T126" s="20">
        <f>HYPERLINK("https://vnm.spiral.com.vn//uploaded/20210513/be3a937c-aaf3-47c3-8d49-038f260b59b1.JPEG","12:05:35")</f>
      </c>
      <c r="U126" s="20">
        <f>HYPERLINK("https://vnm.spiral.com.vn//uploaded/20210513/45d4c21d-0575-490e-9b57-a5f068ba7ae3.JPEG","17:09:30")</f>
      </c>
      <c r="V126" s="18">
        <v>0.21105324074074075</v>
      </c>
      <c r="W126" s="15" t="s">
        <v>1104</v>
      </c>
      <c r="X126" s="15" t="s">
        <v>1105</v>
      </c>
      <c r="Y126" s="15" t="s">
        <v>35</v>
      </c>
      <c r="Z126" s="19">
        <v>0</v>
      </c>
      <c r="AA126" s="15">
        <v>0</v>
      </c>
      <c r="AB126" s="15" t="s">
        <v>35</v>
      </c>
    </row>
    <row r="127">
      <c r="A127" s="15">
        <v>123</v>
      </c>
      <c r="B127" s="15" t="s">
        <v>61</v>
      </c>
      <c r="C127" s="15" t="s">
        <v>1106</v>
      </c>
      <c r="D127" s="15" t="s">
        <v>35</v>
      </c>
      <c r="E127" s="15" t="s">
        <v>35</v>
      </c>
      <c r="F127" s="15" t="s">
        <v>35</v>
      </c>
      <c r="G127" s="15" t="s">
        <v>36</v>
      </c>
      <c r="H127" s="15" t="s">
        <v>1107</v>
      </c>
      <c r="I127" s="15" t="s">
        <v>1108</v>
      </c>
      <c r="J127" s="15" t="s">
        <v>1109</v>
      </c>
      <c r="K127" s="15" t="s">
        <v>40</v>
      </c>
      <c r="L127" s="15" t="s">
        <v>41</v>
      </c>
      <c r="M127" s="15" t="s">
        <v>66</v>
      </c>
      <c r="N127" s="15" t="s">
        <v>67</v>
      </c>
      <c r="O127" s="15" t="s">
        <v>44</v>
      </c>
      <c r="P127" s="15" t="s">
        <v>1110</v>
      </c>
      <c r="Q127" s="15" t="s">
        <v>1111</v>
      </c>
      <c r="R127" s="16">
        <v>44329</v>
      </c>
      <c r="S127" s="17" t="s">
        <v>1112</v>
      </c>
      <c r="T127" s="20">
        <f>HYPERLINK("https://vnm.spiral.com.vn//uploaded/20210513/4e24ced9-3165-4ed6-9919-1f14fd0efd57.JPEG","08:14:39")</f>
      </c>
      <c r="U127" s="20">
        <f>HYPERLINK("https://vnm.spiral.com.vn//uploaded/20210513/54919491-df51-42fe-9f21-37b8ce975a00.JPEG","17:09:26")</f>
      </c>
      <c r="V127" s="18">
        <v>0.37137731481481484</v>
      </c>
      <c r="W127" s="15" t="s">
        <v>1113</v>
      </c>
      <c r="X127" s="15" t="s">
        <v>1114</v>
      </c>
      <c r="Y127" s="15" t="s">
        <v>35</v>
      </c>
      <c r="Z127" s="19">
        <v>0</v>
      </c>
      <c r="AA127" s="15">
        <v>0</v>
      </c>
      <c r="AB127" s="15" t="s">
        <v>35</v>
      </c>
    </row>
    <row r="128">
      <c r="A128" s="15">
        <v>124</v>
      </c>
      <c r="B128" s="15" t="s">
        <v>343</v>
      </c>
      <c r="C128" s="15" t="s">
        <v>344</v>
      </c>
      <c r="D128" s="15" t="s">
        <v>357</v>
      </c>
      <c r="E128" s="15" t="s">
        <v>90</v>
      </c>
      <c r="F128" s="15" t="s">
        <v>35</v>
      </c>
      <c r="G128" s="15" t="s">
        <v>74</v>
      </c>
      <c r="H128" s="15" t="s">
        <v>1115</v>
      </c>
      <c r="I128" s="15" t="s">
        <v>1116</v>
      </c>
      <c r="J128" s="15" t="s">
        <v>1117</v>
      </c>
      <c r="K128" s="15" t="s">
        <v>361</v>
      </c>
      <c r="L128" s="15" t="s">
        <v>362</v>
      </c>
      <c r="M128" s="15" t="s">
        <v>363</v>
      </c>
      <c r="N128" s="15" t="s">
        <v>364</v>
      </c>
      <c r="O128" s="15" t="s">
        <v>82</v>
      </c>
      <c r="P128" s="15" t="s">
        <v>1118</v>
      </c>
      <c r="Q128" s="15" t="s">
        <v>1119</v>
      </c>
      <c r="R128" s="16">
        <v>44329</v>
      </c>
      <c r="S128" s="17" t="s">
        <v>70</v>
      </c>
      <c r="T128" s="20">
        <f>HYPERLINK("https://vnm.spiral.com.vn//uploaded/20210513/2948CFCD-ADF4-489A-B95D-BEE1BFEF815B.jpg","07:54:19")</f>
      </c>
      <c r="U128" s="20">
        <f>HYPERLINK("https://vnm.spiral.com.vn//uploaded/20210513/6794E86D-0612-496B-82A8-5FAA1CA5C8FB.jpg","17:09:25")</f>
      </c>
      <c r="V128" s="18">
        <v>0.3854861111111111</v>
      </c>
      <c r="W128" s="15" t="s">
        <v>1120</v>
      </c>
      <c r="X128" s="15" t="s">
        <v>1121</v>
      </c>
      <c r="Y128" s="15" t="s">
        <v>35</v>
      </c>
      <c r="Z128" s="19">
        <v>0</v>
      </c>
      <c r="AA128" s="15">
        <v>0</v>
      </c>
      <c r="AB128" s="15" t="s">
        <v>35</v>
      </c>
    </row>
    <row r="129">
      <c r="A129" s="15">
        <v>125</v>
      </c>
      <c r="B129" s="15" t="s">
        <v>103</v>
      </c>
      <c r="C129" s="15" t="s">
        <v>186</v>
      </c>
      <c r="D129" s="15" t="s">
        <v>135</v>
      </c>
      <c r="E129" s="15" t="s">
        <v>116</v>
      </c>
      <c r="F129" s="15" t="s">
        <v>35</v>
      </c>
      <c r="G129" s="15" t="s">
        <v>74</v>
      </c>
      <c r="H129" s="15" t="s">
        <v>1122</v>
      </c>
      <c r="I129" s="15" t="s">
        <v>1123</v>
      </c>
      <c r="J129" s="15" t="s">
        <v>1124</v>
      </c>
      <c r="K129" s="15" t="s">
        <v>436</v>
      </c>
      <c r="L129" s="15" t="s">
        <v>437</v>
      </c>
      <c r="M129" s="15" t="s">
        <v>438</v>
      </c>
      <c r="N129" s="15" t="s">
        <v>439</v>
      </c>
      <c r="O129" s="15" t="s">
        <v>82</v>
      </c>
      <c r="P129" s="15" t="s">
        <v>1125</v>
      </c>
      <c r="Q129" s="15" t="s">
        <v>1126</v>
      </c>
      <c r="R129" s="16">
        <v>44329</v>
      </c>
      <c r="S129" s="17" t="s">
        <v>70</v>
      </c>
      <c r="T129" s="20">
        <f>HYPERLINK("https://vnm.spiral.com.vn//uploaded/20210513/F5171E1E-4BC1-4687-A420-B3BA76265713.jpg","16:16:36")</f>
      </c>
      <c r="U129" s="20">
        <f>HYPERLINK("https://vnm.spiral.com.vn//uploaded/20210513/9FC36168-3908-4761-883A-149218922798.jpg","17:09:20")</f>
      </c>
      <c r="V129" s="18">
        <v>0.03662037037037037</v>
      </c>
      <c r="W129" s="15" t="s">
        <v>1127</v>
      </c>
      <c r="X129" s="15" t="s">
        <v>1128</v>
      </c>
      <c r="Y129" s="15" t="s">
        <v>35</v>
      </c>
      <c r="Z129" s="19">
        <v>0</v>
      </c>
      <c r="AA129" s="15">
        <v>0</v>
      </c>
      <c r="AB129" s="15" t="s">
        <v>35</v>
      </c>
    </row>
    <row r="130">
      <c r="A130" s="15">
        <v>126</v>
      </c>
      <c r="B130" s="15" t="s">
        <v>103</v>
      </c>
      <c r="C130" s="15" t="s">
        <v>174</v>
      </c>
      <c r="D130" s="15" t="s">
        <v>35</v>
      </c>
      <c r="E130" s="15" t="s">
        <v>35</v>
      </c>
      <c r="F130" s="15" t="s">
        <v>1129</v>
      </c>
      <c r="G130" s="15" t="s">
        <v>36</v>
      </c>
      <c r="H130" s="15" t="s">
        <v>1130</v>
      </c>
      <c r="I130" s="15" t="s">
        <v>1131</v>
      </c>
      <c r="J130" s="15" t="s">
        <v>1132</v>
      </c>
      <c r="K130" s="15" t="s">
        <v>40</v>
      </c>
      <c r="L130" s="15" t="s">
        <v>41</v>
      </c>
      <c r="M130" s="15" t="s">
        <v>108</v>
      </c>
      <c r="N130" s="15" t="s">
        <v>109</v>
      </c>
      <c r="O130" s="15" t="s">
        <v>44</v>
      </c>
      <c r="P130" s="15" t="s">
        <v>1133</v>
      </c>
      <c r="Q130" s="15" t="s">
        <v>1134</v>
      </c>
      <c r="R130" s="16">
        <v>44329</v>
      </c>
      <c r="S130" s="17" t="s">
        <v>243</v>
      </c>
      <c r="T130" s="20">
        <f>HYPERLINK("https://vnm.spiral.com.vn//uploaded/20210513/ef349edb-7e44-498b-b0e7-7fa3238c5f08.JPEG","07:35:56")</f>
      </c>
      <c r="U130" s="20">
        <f>HYPERLINK("https://vnm.spiral.com.vn//uploaded/20210513/75ee813a-fbf5-4810-b5ab-1b1f7b58c2cd.JPEG","17:09:18")</f>
      </c>
      <c r="V130" s="18">
        <v>0.3981712962962963</v>
      </c>
      <c r="W130" s="15" t="s">
        <v>1135</v>
      </c>
      <c r="X130" s="15" t="s">
        <v>1136</v>
      </c>
      <c r="Y130" s="15" t="s">
        <v>35</v>
      </c>
      <c r="Z130" s="19">
        <v>0</v>
      </c>
      <c r="AA130" s="15">
        <v>0</v>
      </c>
      <c r="AB130" s="15" t="s">
        <v>35</v>
      </c>
    </row>
    <row r="131">
      <c r="A131" s="15">
        <v>127</v>
      </c>
      <c r="B131" s="15" t="s">
        <v>87</v>
      </c>
      <c r="C131" s="15" t="s">
        <v>88</v>
      </c>
      <c r="D131" s="15" t="s">
        <v>35</v>
      </c>
      <c r="E131" s="15" t="s">
        <v>35</v>
      </c>
      <c r="F131" s="15" t="s">
        <v>35</v>
      </c>
      <c r="G131" s="15" t="s">
        <v>74</v>
      </c>
      <c r="H131" s="15" t="s">
        <v>1137</v>
      </c>
      <c r="I131" s="15" t="s">
        <v>1138</v>
      </c>
      <c r="J131" s="15" t="s">
        <v>1139</v>
      </c>
      <c r="K131" s="15" t="s">
        <v>888</v>
      </c>
      <c r="L131" s="15" t="s">
        <v>889</v>
      </c>
      <c r="M131" s="15" t="s">
        <v>924</v>
      </c>
      <c r="N131" s="15" t="s">
        <v>925</v>
      </c>
      <c r="O131" s="15" t="s">
        <v>82</v>
      </c>
      <c r="P131" s="15" t="s">
        <v>1140</v>
      </c>
      <c r="Q131" s="15" t="s">
        <v>69</v>
      </c>
      <c r="R131" s="16">
        <v>44329</v>
      </c>
      <c r="S131" s="17" t="s">
        <v>70</v>
      </c>
      <c r="T131" s="20">
        <f>HYPERLINK("https://vnm.spiral.com.vn//uploaded/20210513/2c2cb784-d369-4a7b-926c-a2801cdb0001.JPEG","15:02:46")</f>
      </c>
      <c r="U131" s="20">
        <f>HYPERLINK("https://vnm.spiral.com.vn//uploaded/20210513/3ae25efe-6f7d-4595-a9dc-22305ecab77b.JPEG","17:09:10")</f>
      </c>
      <c r="V131" s="18">
        <v>0.08777777777777777</v>
      </c>
      <c r="W131" s="15" t="s">
        <v>1141</v>
      </c>
      <c r="X131" s="15" t="s">
        <v>1142</v>
      </c>
      <c r="Y131" s="15" t="s">
        <v>35</v>
      </c>
      <c r="Z131" s="19">
        <v>0</v>
      </c>
      <c r="AA131" s="15">
        <v>0</v>
      </c>
      <c r="AB131" s="15" t="s">
        <v>35</v>
      </c>
    </row>
    <row r="132">
      <c r="A132" s="15">
        <v>128</v>
      </c>
      <c r="B132" s="15" t="s">
        <v>343</v>
      </c>
      <c r="C132" s="15" t="s">
        <v>344</v>
      </c>
      <c r="D132" s="15" t="s">
        <v>357</v>
      </c>
      <c r="E132" s="15" t="s">
        <v>90</v>
      </c>
      <c r="F132" s="15" t="s">
        <v>35</v>
      </c>
      <c r="G132" s="15" t="s">
        <v>74</v>
      </c>
      <c r="H132" s="15" t="s">
        <v>1143</v>
      </c>
      <c r="I132" s="15" t="s">
        <v>1144</v>
      </c>
      <c r="J132" s="15" t="s">
        <v>1145</v>
      </c>
      <c r="K132" s="15" t="s">
        <v>361</v>
      </c>
      <c r="L132" s="15" t="s">
        <v>362</v>
      </c>
      <c r="M132" s="15" t="s">
        <v>363</v>
      </c>
      <c r="N132" s="15" t="s">
        <v>364</v>
      </c>
      <c r="O132" s="15" t="s">
        <v>156</v>
      </c>
      <c r="P132" s="15" t="s">
        <v>1146</v>
      </c>
      <c r="Q132" s="15" t="s">
        <v>1147</v>
      </c>
      <c r="R132" s="16">
        <v>44329</v>
      </c>
      <c r="S132" s="17" t="s">
        <v>376</v>
      </c>
      <c r="T132" s="20">
        <f>HYPERLINK("https://vnm.spiral.com.vn//uploaded/20210513/ec142e7f-7154-4270-9af9-ac5e5d1b5935.JPEG","08:54:55")</f>
      </c>
      <c r="U132" s="20">
        <f>HYPERLINK("https://vnm.spiral.com.vn//uploaded/20210513/4a306409-2051-49a6-9176-6a8ad90e0d4a.JPEG","17:09:08")</f>
      </c>
      <c r="V132" s="18">
        <v>0.3432060185185185</v>
      </c>
      <c r="W132" s="15" t="s">
        <v>1148</v>
      </c>
      <c r="X132" s="15" t="s">
        <v>1149</v>
      </c>
      <c r="Y132" s="15" t="s">
        <v>35</v>
      </c>
      <c r="Z132" s="19">
        <v>0</v>
      </c>
      <c r="AA132" s="15">
        <v>0</v>
      </c>
      <c r="AB132" s="15" t="s">
        <v>35</v>
      </c>
    </row>
    <row r="133">
      <c r="A133" s="15">
        <v>129</v>
      </c>
      <c r="B133" s="15" t="s">
        <v>343</v>
      </c>
      <c r="C133" s="15" t="s">
        <v>1150</v>
      </c>
      <c r="D133" s="15" t="s">
        <v>89</v>
      </c>
      <c r="E133" s="15" t="s">
        <v>90</v>
      </c>
      <c r="F133" s="15" t="s">
        <v>35</v>
      </c>
      <c r="G133" s="15" t="s">
        <v>74</v>
      </c>
      <c r="H133" s="15" t="s">
        <v>1151</v>
      </c>
      <c r="I133" s="15" t="s">
        <v>1152</v>
      </c>
      <c r="J133" s="15" t="s">
        <v>1153</v>
      </c>
      <c r="K133" s="15" t="s">
        <v>915</v>
      </c>
      <c r="L133" s="15" t="s">
        <v>916</v>
      </c>
      <c r="M133" s="15" t="s">
        <v>512</v>
      </c>
      <c r="N133" s="15" t="s">
        <v>513</v>
      </c>
      <c r="O133" s="15" t="s">
        <v>98</v>
      </c>
      <c r="P133" s="15" t="s">
        <v>1154</v>
      </c>
      <c r="Q133" s="15" t="s">
        <v>1155</v>
      </c>
      <c r="R133" s="16">
        <v>44329</v>
      </c>
      <c r="S133" s="17" t="s">
        <v>35</v>
      </c>
      <c r="T133" s="20">
        <f>HYPERLINK("https://vnm.spiral.com.vn//uploaded/20210513/6AD665EA-214C-481D-9AEE-A8584CC322DE.jpg","12:59:45")</f>
      </c>
      <c r="U133" s="20">
        <f>HYPERLINK("https://vnm.spiral.com.vn//uploaded/20210513/542D0EE2-1868-491B-9242-5C70822A6298.jpg","17:09:02")</f>
      </c>
      <c r="V133" s="18">
        <v>0.17311342592592593</v>
      </c>
      <c r="W133" s="15" t="s">
        <v>1156</v>
      </c>
      <c r="X133" s="15" t="s">
        <v>1157</v>
      </c>
      <c r="Y133" s="15" t="s">
        <v>35</v>
      </c>
      <c r="Z133" s="19">
        <v>0</v>
      </c>
      <c r="AA133" s="15">
        <v>0</v>
      </c>
      <c r="AB133" s="15" t="s">
        <v>35</v>
      </c>
    </row>
    <row r="134">
      <c r="A134" s="15">
        <v>130</v>
      </c>
      <c r="B134" s="15" t="s">
        <v>61</v>
      </c>
      <c r="C134" s="15" t="s">
        <v>1106</v>
      </c>
      <c r="D134" s="15" t="s">
        <v>35</v>
      </c>
      <c r="E134" s="15" t="s">
        <v>35</v>
      </c>
      <c r="F134" s="15" t="s">
        <v>35</v>
      </c>
      <c r="G134" s="15" t="s">
        <v>36</v>
      </c>
      <c r="H134" s="15" t="s">
        <v>1158</v>
      </c>
      <c r="I134" s="15" t="s">
        <v>1159</v>
      </c>
      <c r="J134" s="15" t="s">
        <v>1160</v>
      </c>
      <c r="K134" s="15" t="s">
        <v>40</v>
      </c>
      <c r="L134" s="15" t="s">
        <v>41</v>
      </c>
      <c r="M134" s="15" t="s">
        <v>205</v>
      </c>
      <c r="N134" s="15" t="s">
        <v>206</v>
      </c>
      <c r="O134" s="15" t="s">
        <v>44</v>
      </c>
      <c r="P134" s="15" t="s">
        <v>1161</v>
      </c>
      <c r="Q134" s="15" t="s">
        <v>1162</v>
      </c>
      <c r="R134" s="16">
        <v>44329</v>
      </c>
      <c r="S134" s="17" t="s">
        <v>1112</v>
      </c>
      <c r="T134" s="20">
        <f>HYPERLINK("https://vnm.spiral.com.vn//uploaded/20210513/65e94a0d-a08a-4bb1-9731-fc15c28e1217.JPEG","07:53:24")</f>
      </c>
      <c r="U134" s="20">
        <f>HYPERLINK("https://vnm.spiral.com.vn//uploaded/20210513/b0970de3-6554-4dce-ba9f-c373ee7b9b26.JPEG","17:08:58")</f>
      </c>
      <c r="V134" s="18">
        <v>0.3858101851851852</v>
      </c>
      <c r="W134" s="15" t="s">
        <v>1163</v>
      </c>
      <c r="X134" s="15" t="s">
        <v>1164</v>
      </c>
      <c r="Y134" s="15" t="s">
        <v>35</v>
      </c>
      <c r="Z134" s="19">
        <v>0</v>
      </c>
      <c r="AA134" s="15">
        <v>0</v>
      </c>
      <c r="AB134" s="15" t="s">
        <v>35</v>
      </c>
    </row>
    <row r="135">
      <c r="A135" s="15">
        <v>131</v>
      </c>
      <c r="B135" s="15" t="s">
        <v>343</v>
      </c>
      <c r="C135" s="15" t="s">
        <v>344</v>
      </c>
      <c r="D135" s="15" t="s">
        <v>432</v>
      </c>
      <c r="E135" s="15" t="s">
        <v>116</v>
      </c>
      <c r="F135" s="15" t="s">
        <v>35</v>
      </c>
      <c r="G135" s="15" t="s">
        <v>74</v>
      </c>
      <c r="H135" s="15" t="s">
        <v>1165</v>
      </c>
      <c r="I135" s="15" t="s">
        <v>1166</v>
      </c>
      <c r="J135" s="15" t="s">
        <v>1167</v>
      </c>
      <c r="K135" s="15" t="s">
        <v>1168</v>
      </c>
      <c r="L135" s="15" t="s">
        <v>1169</v>
      </c>
      <c r="M135" s="15" t="s">
        <v>1170</v>
      </c>
      <c r="N135" s="15" t="s">
        <v>1171</v>
      </c>
      <c r="O135" s="15" t="s">
        <v>82</v>
      </c>
      <c r="P135" s="15" t="s">
        <v>1172</v>
      </c>
      <c r="Q135" s="15" t="s">
        <v>1173</v>
      </c>
      <c r="R135" s="16">
        <v>44329</v>
      </c>
      <c r="S135" s="17" t="s">
        <v>70</v>
      </c>
      <c r="T135" s="20">
        <f>HYPERLINK("https://vnm.spiral.com.vn//uploaded/20210513/8fdfee0d-a688-4d8d-80d5-c970bfa55bd5.JPEG","14:06:25")</f>
      </c>
      <c r="U135" s="20">
        <f>HYPERLINK("https://vnm.spiral.com.vn//uploaded/20210513/9c70b3cb-b33d-497c-87d5-b10a38ba3465.JPEG","17:08:57")</f>
      </c>
      <c r="V135" s="18">
        <v>0.12675925925925927</v>
      </c>
      <c r="W135" s="15" t="s">
        <v>1174</v>
      </c>
      <c r="X135" s="15" t="s">
        <v>1175</v>
      </c>
      <c r="Y135" s="15" t="s">
        <v>35</v>
      </c>
      <c r="Z135" s="19">
        <v>0</v>
      </c>
      <c r="AA135" s="15">
        <v>0</v>
      </c>
      <c r="AB135" s="15" t="s">
        <v>35</v>
      </c>
    </row>
    <row r="136">
      <c r="A136" s="15">
        <v>132</v>
      </c>
      <c r="B136" s="15" t="s">
        <v>246</v>
      </c>
      <c r="C136" s="15" t="s">
        <v>259</v>
      </c>
      <c r="D136" s="15" t="s">
        <v>35</v>
      </c>
      <c r="E136" s="15" t="s">
        <v>35</v>
      </c>
      <c r="F136" s="15" t="s">
        <v>943</v>
      </c>
      <c r="G136" s="15" t="s">
        <v>36</v>
      </c>
      <c r="H136" s="15" t="s">
        <v>1176</v>
      </c>
      <c r="I136" s="15" t="s">
        <v>471</v>
      </c>
      <c r="J136" s="15" t="s">
        <v>1177</v>
      </c>
      <c r="K136" s="15" t="s">
        <v>40</v>
      </c>
      <c r="L136" s="15" t="s">
        <v>41</v>
      </c>
      <c r="M136" s="15" t="s">
        <v>252</v>
      </c>
      <c r="N136" s="15" t="s">
        <v>253</v>
      </c>
      <c r="O136" s="15" t="s">
        <v>44</v>
      </c>
      <c r="P136" s="15" t="s">
        <v>1178</v>
      </c>
      <c r="Q136" s="15" t="s">
        <v>1179</v>
      </c>
      <c r="R136" s="16">
        <v>44329</v>
      </c>
      <c r="S136" s="17" t="s">
        <v>112</v>
      </c>
      <c r="T136" s="20">
        <f>HYPERLINK("https://vnm.spiral.com.vn//uploaded/20210513/ad94cf05-ea8f-49eb-858b-66229bffbaba.JPEG","14:23:28")</f>
      </c>
      <c r="U136" s="20">
        <f>HYPERLINK("https://vnm.spiral.com.vn//uploaded/20210513/978ed66d-6d67-41cb-ac0e-7c0eb3b60a3a.JPEG","17:08:51")</f>
      </c>
      <c r="V136" s="18">
        <v>0.11484953703703704</v>
      </c>
      <c r="W136" s="15" t="s">
        <v>1180</v>
      </c>
      <c r="X136" s="15" t="s">
        <v>1181</v>
      </c>
      <c r="Y136" s="15" t="s">
        <v>35</v>
      </c>
      <c r="Z136" s="19">
        <v>0</v>
      </c>
      <c r="AA136" s="15">
        <v>0</v>
      </c>
      <c r="AB136" s="15" t="s">
        <v>35</v>
      </c>
    </row>
    <row r="137">
      <c r="A137" s="15">
        <v>133</v>
      </c>
      <c r="B137" s="15" t="s">
        <v>246</v>
      </c>
      <c r="C137" s="15" t="s">
        <v>276</v>
      </c>
      <c r="D137" s="15" t="s">
        <v>35</v>
      </c>
      <c r="E137" s="15" t="s">
        <v>35</v>
      </c>
      <c r="F137" s="15" t="s">
        <v>1182</v>
      </c>
      <c r="G137" s="15" t="s">
        <v>36</v>
      </c>
      <c r="H137" s="15" t="s">
        <v>1183</v>
      </c>
      <c r="I137" s="15" t="s">
        <v>1184</v>
      </c>
      <c r="J137" s="15" t="s">
        <v>1185</v>
      </c>
      <c r="K137" s="15" t="s">
        <v>40</v>
      </c>
      <c r="L137" s="15" t="s">
        <v>41</v>
      </c>
      <c r="M137" s="15" t="s">
        <v>252</v>
      </c>
      <c r="N137" s="15" t="s">
        <v>253</v>
      </c>
      <c r="O137" s="15" t="s">
        <v>44</v>
      </c>
      <c r="P137" s="15" t="s">
        <v>1186</v>
      </c>
      <c r="Q137" s="15" t="s">
        <v>1187</v>
      </c>
      <c r="R137" s="16">
        <v>44329</v>
      </c>
      <c r="S137" s="17" t="s">
        <v>1188</v>
      </c>
      <c r="T137" s="20">
        <f>HYPERLINK("https://vnm.spiral.com.vn//uploaded/20210513/4272e895-3049-44be-a8df-18b60651d59e.JPEG","08:27:02")</f>
      </c>
      <c r="U137" s="20">
        <f>HYPERLINK("https://vnm.spiral.com.vn//uploaded/20210513/6b2c7b13-c135-4398-85bf-e4f0a38bfe1b.JPEG","17:08:50")</f>
      </c>
      <c r="V137" s="18">
        <v>0.36236111111111113</v>
      </c>
      <c r="W137" s="15" t="s">
        <v>1189</v>
      </c>
      <c r="X137" s="15" t="s">
        <v>1190</v>
      </c>
      <c r="Y137" s="15" t="s">
        <v>35</v>
      </c>
      <c r="Z137" s="19">
        <v>0</v>
      </c>
      <c r="AA137" s="15">
        <v>0</v>
      </c>
      <c r="AB137" s="15" t="s">
        <v>35</v>
      </c>
    </row>
    <row r="138">
      <c r="A138" s="15">
        <v>134</v>
      </c>
      <c r="B138" s="15" t="s">
        <v>87</v>
      </c>
      <c r="C138" s="15" t="s">
        <v>88</v>
      </c>
      <c r="D138" s="15" t="s">
        <v>35</v>
      </c>
      <c r="E138" s="15" t="s">
        <v>35</v>
      </c>
      <c r="F138" s="15" t="s">
        <v>1191</v>
      </c>
      <c r="G138" s="15" t="s">
        <v>36</v>
      </c>
      <c r="H138" s="15" t="s">
        <v>1192</v>
      </c>
      <c r="I138" s="15" t="s">
        <v>1193</v>
      </c>
      <c r="J138" s="15" t="s">
        <v>1194</v>
      </c>
      <c r="K138" s="15" t="s">
        <v>40</v>
      </c>
      <c r="L138" s="15" t="s">
        <v>41</v>
      </c>
      <c r="M138" s="15" t="s">
        <v>1195</v>
      </c>
      <c r="N138" s="15" t="s">
        <v>1196</v>
      </c>
      <c r="O138" s="15" t="s">
        <v>44</v>
      </c>
      <c r="P138" s="15" t="s">
        <v>1197</v>
      </c>
      <c r="Q138" s="15" t="s">
        <v>1198</v>
      </c>
      <c r="R138" s="16">
        <v>44329</v>
      </c>
      <c r="S138" s="17" t="s">
        <v>1199</v>
      </c>
      <c r="T138" s="20">
        <f>HYPERLINK("https://vnm.spiral.com.vn//uploaded/20210513/0C1F0CE4-ACA5-41F3-A919-70826AC23152.jpg","17:08:49")</f>
      </c>
      <c r="U138" s="18"/>
      <c r="V138" s="18" t="s">
        <v>35</v>
      </c>
      <c r="W138" s="15" t="s">
        <v>1200</v>
      </c>
      <c r="X138" s="15" t="s">
        <v>35</v>
      </c>
      <c r="Y138" s="15" t="s">
        <v>35</v>
      </c>
      <c r="Z138" s="19">
        <v>0</v>
      </c>
      <c r="AA138" s="15">
        <v>0</v>
      </c>
      <c r="AB138" s="15" t="s">
        <v>35</v>
      </c>
    </row>
    <row r="139">
      <c r="A139" s="15">
        <v>135</v>
      </c>
      <c r="B139" s="15" t="s">
        <v>87</v>
      </c>
      <c r="C139" s="15" t="s">
        <v>88</v>
      </c>
      <c r="D139" s="15" t="s">
        <v>148</v>
      </c>
      <c r="E139" s="15" t="s">
        <v>90</v>
      </c>
      <c r="F139" s="15" t="s">
        <v>35</v>
      </c>
      <c r="G139" s="15" t="s">
        <v>74</v>
      </c>
      <c r="H139" s="15" t="s">
        <v>1201</v>
      </c>
      <c r="I139" s="15" t="s">
        <v>1202</v>
      </c>
      <c r="J139" s="15" t="s">
        <v>1203</v>
      </c>
      <c r="K139" s="15" t="s">
        <v>94</v>
      </c>
      <c r="L139" s="15" t="s">
        <v>95</v>
      </c>
      <c r="M139" s="15" t="s">
        <v>1204</v>
      </c>
      <c r="N139" s="15" t="s">
        <v>1205</v>
      </c>
      <c r="O139" s="15" t="s">
        <v>98</v>
      </c>
      <c r="P139" s="15" t="s">
        <v>1206</v>
      </c>
      <c r="Q139" s="15" t="s">
        <v>1207</v>
      </c>
      <c r="R139" s="16">
        <v>44329</v>
      </c>
      <c r="S139" s="17" t="s">
        <v>35</v>
      </c>
      <c r="T139" s="20">
        <f>HYPERLINK("https://vnm.spiral.com.vn//uploaded/20210513/9135aacb-6250-4595-9cd7-892c8679c5b9.JPEG","06:49:59")</f>
      </c>
      <c r="U139" s="20">
        <f>HYPERLINK("https://vnm.spiral.com.vn//uploaded/20210513/4bc5f680-2d0e-44ce-8c5a-a92cd79b7e6a.JPEG","17:08:46")</f>
      </c>
      <c r="V139" s="18">
        <v>0.42971064814814813</v>
      </c>
      <c r="W139" s="15" t="s">
        <v>1208</v>
      </c>
      <c r="X139" s="15" t="s">
        <v>1209</v>
      </c>
      <c r="Y139" s="15" t="s">
        <v>35</v>
      </c>
      <c r="Z139" s="19">
        <v>0</v>
      </c>
      <c r="AA139" s="15">
        <v>0</v>
      </c>
      <c r="AB139" s="15" t="s">
        <v>35</v>
      </c>
    </row>
    <row r="140">
      <c r="A140" s="15">
        <v>136</v>
      </c>
      <c r="B140" s="15" t="s">
        <v>87</v>
      </c>
      <c r="C140" s="15" t="s">
        <v>88</v>
      </c>
      <c r="D140" s="15" t="s">
        <v>89</v>
      </c>
      <c r="E140" s="15" t="s">
        <v>90</v>
      </c>
      <c r="F140" s="15" t="s">
        <v>35</v>
      </c>
      <c r="G140" s="15" t="s">
        <v>74</v>
      </c>
      <c r="H140" s="15" t="s">
        <v>1210</v>
      </c>
      <c r="I140" s="15" t="s">
        <v>1211</v>
      </c>
      <c r="J140" s="15" t="s">
        <v>1212</v>
      </c>
      <c r="K140" s="15" t="s">
        <v>96</v>
      </c>
      <c r="L140" s="15" t="s">
        <v>97</v>
      </c>
      <c r="M140" s="15" t="s">
        <v>802</v>
      </c>
      <c r="N140" s="15" t="s">
        <v>803</v>
      </c>
      <c r="O140" s="15" t="s">
        <v>156</v>
      </c>
      <c r="P140" s="15" t="s">
        <v>1213</v>
      </c>
      <c r="Q140" s="15" t="s">
        <v>1214</v>
      </c>
      <c r="R140" s="16">
        <v>44329</v>
      </c>
      <c r="S140" s="17" t="s">
        <v>70</v>
      </c>
      <c r="T140" s="20">
        <f>HYPERLINK("https://vnm.spiral.com.vn//uploaded/20210513/CF7D82DE-D16E-4D68-B71A-83AD77941155.jpg","08:00:26")</f>
      </c>
      <c r="U140" s="20">
        <f>HYPERLINK("https://vnm.spiral.com.vn//uploaded/20210513/ABB38298-CFD5-4FEE-A39C-F8601FA4574C.jpg","17:08:43")</f>
      </c>
      <c r="V140" s="18">
        <v>0.3807523148148148</v>
      </c>
      <c r="W140" s="15" t="s">
        <v>1215</v>
      </c>
      <c r="X140" s="15" t="s">
        <v>1216</v>
      </c>
      <c r="Y140" s="15" t="s">
        <v>35</v>
      </c>
      <c r="Z140" s="19">
        <v>0</v>
      </c>
      <c r="AA140" s="15">
        <v>0</v>
      </c>
      <c r="AB140" s="15" t="s">
        <v>35</v>
      </c>
    </row>
    <row r="141">
      <c r="A141" s="15">
        <v>137</v>
      </c>
      <c r="B141" s="15" t="s">
        <v>49</v>
      </c>
      <c r="C141" s="15" t="s">
        <v>369</v>
      </c>
      <c r="D141" s="15" t="s">
        <v>379</v>
      </c>
      <c r="E141" s="15" t="s">
        <v>90</v>
      </c>
      <c r="F141" s="15" t="s">
        <v>35</v>
      </c>
      <c r="G141" s="15" t="s">
        <v>74</v>
      </c>
      <c r="H141" s="15" t="s">
        <v>380</v>
      </c>
      <c r="I141" s="15" t="s">
        <v>381</v>
      </c>
      <c r="J141" s="15" t="s">
        <v>382</v>
      </c>
      <c r="K141" s="15" t="s">
        <v>168</v>
      </c>
      <c r="L141" s="15" t="s">
        <v>169</v>
      </c>
      <c r="M141" s="15" t="s">
        <v>383</v>
      </c>
      <c r="N141" s="15" t="s">
        <v>384</v>
      </c>
      <c r="O141" s="15" t="s">
        <v>156</v>
      </c>
      <c r="P141" s="15" t="s">
        <v>1217</v>
      </c>
      <c r="Q141" s="15" t="s">
        <v>1218</v>
      </c>
      <c r="R141" s="16">
        <v>44329</v>
      </c>
      <c r="S141" s="17" t="s">
        <v>243</v>
      </c>
      <c r="T141" s="20">
        <f>HYPERLINK("https://vnm.spiral.com.vn//uploaded/20210513/e4076dd7-bd20-4f50-9a6b-24730effb9aa.JPEG","07:54:14")</f>
      </c>
      <c r="U141" s="20">
        <f>HYPERLINK("https://vnm.spiral.com.vn//uploaded/20210513/e765c292-b50f-4c80-9bfc-99af293fcda2.JPEG","17:08:43")</f>
      </c>
      <c r="V141" s="18">
        <v>0.38505787037037037</v>
      </c>
      <c r="W141" s="15" t="s">
        <v>1219</v>
      </c>
      <c r="X141" s="15" t="s">
        <v>1220</v>
      </c>
      <c r="Y141" s="15" t="s">
        <v>35</v>
      </c>
      <c r="Z141" s="19">
        <v>0</v>
      </c>
      <c r="AA141" s="15">
        <v>0</v>
      </c>
      <c r="AB141" s="15" t="s">
        <v>35</v>
      </c>
    </row>
    <row r="142">
      <c r="A142" s="15">
        <v>138</v>
      </c>
      <c r="B142" s="15" t="s">
        <v>49</v>
      </c>
      <c r="C142" s="15" t="s">
        <v>162</v>
      </c>
      <c r="D142" s="15" t="s">
        <v>35</v>
      </c>
      <c r="E142" s="15" t="s">
        <v>35</v>
      </c>
      <c r="F142" s="15" t="s">
        <v>1221</v>
      </c>
      <c r="G142" s="15" t="s">
        <v>36</v>
      </c>
      <c r="H142" s="15" t="s">
        <v>1222</v>
      </c>
      <c r="I142" s="15" t="s">
        <v>1223</v>
      </c>
      <c r="J142" s="15" t="s">
        <v>1224</v>
      </c>
      <c r="K142" s="15" t="s">
        <v>40</v>
      </c>
      <c r="L142" s="15" t="s">
        <v>41</v>
      </c>
      <c r="M142" s="15" t="s">
        <v>55</v>
      </c>
      <c r="N142" s="15" t="s">
        <v>56</v>
      </c>
      <c r="O142" s="15" t="s">
        <v>44</v>
      </c>
      <c r="P142" s="15" t="s">
        <v>1225</v>
      </c>
      <c r="Q142" s="15" t="s">
        <v>1226</v>
      </c>
      <c r="R142" s="16">
        <v>44329</v>
      </c>
      <c r="S142" s="17" t="s">
        <v>59</v>
      </c>
      <c r="T142" s="20">
        <f>HYPERLINK("https://vnm.spiral.com.vn//uploaded/20210513/DB390332-9D3E-4E90-980D-46DB57BBAB88.jpg","13:04:54")</f>
      </c>
      <c r="U142" s="20">
        <f>HYPERLINK("https://vnm.spiral.com.vn//uploaded/20210513/6B49CEAE-9DFF-430E-8263-B72362A64688.jpg","17:08:36")</f>
      </c>
      <c r="V142" s="18">
        <v>0.16923611111111111</v>
      </c>
      <c r="W142" s="15" t="s">
        <v>1227</v>
      </c>
      <c r="X142" s="15" t="s">
        <v>1228</v>
      </c>
      <c r="Y142" s="15" t="s">
        <v>35</v>
      </c>
      <c r="Z142" s="19">
        <v>0</v>
      </c>
      <c r="AA142" s="15">
        <v>0</v>
      </c>
      <c r="AB142" s="15" t="s">
        <v>35</v>
      </c>
    </row>
    <row r="143">
      <c r="A143" s="15">
        <v>139</v>
      </c>
      <c r="B143" s="15" t="s">
        <v>343</v>
      </c>
      <c r="C143" s="15" t="s">
        <v>344</v>
      </c>
      <c r="D143" s="15" t="s">
        <v>878</v>
      </c>
      <c r="E143" s="15" t="s">
        <v>35</v>
      </c>
      <c r="F143" s="15" t="s">
        <v>35</v>
      </c>
      <c r="G143" s="15" t="s">
        <v>74</v>
      </c>
      <c r="H143" s="15" t="s">
        <v>1229</v>
      </c>
      <c r="I143" s="15" t="s">
        <v>1230</v>
      </c>
      <c r="J143" s="15" t="s">
        <v>1231</v>
      </c>
      <c r="K143" s="15" t="s">
        <v>584</v>
      </c>
      <c r="L143" s="15" t="s">
        <v>585</v>
      </c>
      <c r="M143" s="15" t="s">
        <v>586</v>
      </c>
      <c r="N143" s="15" t="s">
        <v>587</v>
      </c>
      <c r="O143" s="15" t="s">
        <v>82</v>
      </c>
      <c r="P143" s="15" t="s">
        <v>1232</v>
      </c>
      <c r="Q143" s="15" t="s">
        <v>1233</v>
      </c>
      <c r="R143" s="16">
        <v>44329</v>
      </c>
      <c r="S143" s="17" t="s">
        <v>70</v>
      </c>
      <c r="T143" s="20">
        <f>HYPERLINK("https://vnm.spiral.com.vn//uploaded/20210513/380b0254-0e6a-4f1c-a9aa-85326f7baaea.JPEG","15:55:33")</f>
      </c>
      <c r="U143" s="20">
        <f>HYPERLINK("https://vnm.spiral.com.vn//uploaded/20210513/c4db1b25-8b9a-4819-a23d-e36987ec8873.JPEG","17:08:34")</f>
      </c>
      <c r="V143" s="18">
        <v>0.05070601851851852</v>
      </c>
      <c r="W143" s="15" t="s">
        <v>1234</v>
      </c>
      <c r="X143" s="15" t="s">
        <v>1234</v>
      </c>
      <c r="Y143" s="15" t="s">
        <v>35</v>
      </c>
      <c r="Z143" s="19">
        <v>0</v>
      </c>
      <c r="AA143" s="15">
        <v>0</v>
      </c>
      <c r="AB143" s="15" t="s">
        <v>35</v>
      </c>
    </row>
    <row r="144">
      <c r="A144" s="15">
        <v>140</v>
      </c>
      <c r="B144" s="15" t="s">
        <v>103</v>
      </c>
      <c r="C144" s="15" t="s">
        <v>104</v>
      </c>
      <c r="D144" s="15" t="s">
        <v>35</v>
      </c>
      <c r="E144" s="15" t="s">
        <v>35</v>
      </c>
      <c r="F144" s="15" t="s">
        <v>35</v>
      </c>
      <c r="G144" s="15" t="s">
        <v>36</v>
      </c>
      <c r="H144" s="15" t="s">
        <v>1235</v>
      </c>
      <c r="I144" s="15" t="s">
        <v>1236</v>
      </c>
      <c r="J144" s="15" t="s">
        <v>1237</v>
      </c>
      <c r="K144" s="15" t="s">
        <v>40</v>
      </c>
      <c r="L144" s="15" t="s">
        <v>41</v>
      </c>
      <c r="M144" s="15" t="s">
        <v>108</v>
      </c>
      <c r="N144" s="15" t="s">
        <v>109</v>
      </c>
      <c r="O144" s="15" t="s">
        <v>44</v>
      </c>
      <c r="P144" s="15" t="s">
        <v>1238</v>
      </c>
      <c r="Q144" s="15" t="s">
        <v>1239</v>
      </c>
      <c r="R144" s="16">
        <v>44329</v>
      </c>
      <c r="S144" s="17" t="s">
        <v>70</v>
      </c>
      <c r="T144" s="20">
        <f>HYPERLINK("https://vnm.spiral.com.vn//uploaded/20210513/e0fc7f93-8ce0-468b-bab9-b0ec7d751cfd.JPEG","07:55:00")</f>
      </c>
      <c r="U144" s="20">
        <f>HYPERLINK("https://vnm.spiral.com.vn//uploaded/20210513/1d9a5cee-7c7c-416f-afa6-b74ff59a5d33.JPEG","17:08:32")</f>
      </c>
      <c r="V144" s="18">
        <v>0.38439814814814816</v>
      </c>
      <c r="W144" s="15" t="s">
        <v>1240</v>
      </c>
      <c r="X144" s="15" t="s">
        <v>1241</v>
      </c>
      <c r="Y144" s="15" t="s">
        <v>35</v>
      </c>
      <c r="Z144" s="19">
        <v>0</v>
      </c>
      <c r="AA144" s="15">
        <v>0</v>
      </c>
      <c r="AB144" s="15" t="s">
        <v>35</v>
      </c>
    </row>
    <row r="145">
      <c r="A145" s="15">
        <v>141</v>
      </c>
      <c r="B145" s="15" t="s">
        <v>61</v>
      </c>
      <c r="C145" s="15" t="s">
        <v>303</v>
      </c>
      <c r="D145" s="15" t="s">
        <v>89</v>
      </c>
      <c r="E145" s="15" t="s">
        <v>90</v>
      </c>
      <c r="F145" s="15" t="s">
        <v>35</v>
      </c>
      <c r="G145" s="15" t="s">
        <v>74</v>
      </c>
      <c r="H145" s="15" t="s">
        <v>1242</v>
      </c>
      <c r="I145" s="15" t="s">
        <v>1243</v>
      </c>
      <c r="J145" s="15" t="s">
        <v>1244</v>
      </c>
      <c r="K145" s="15" t="s">
        <v>232</v>
      </c>
      <c r="L145" s="15" t="s">
        <v>233</v>
      </c>
      <c r="M145" s="15" t="s">
        <v>503</v>
      </c>
      <c r="N145" s="15" t="s">
        <v>504</v>
      </c>
      <c r="O145" s="15" t="s">
        <v>156</v>
      </c>
      <c r="P145" s="15" t="s">
        <v>1245</v>
      </c>
      <c r="Q145" s="15" t="s">
        <v>1246</v>
      </c>
      <c r="R145" s="16">
        <v>44329</v>
      </c>
      <c r="S145" s="17" t="s">
        <v>47</v>
      </c>
      <c r="T145" s="20">
        <f>HYPERLINK("https://vnm.spiral.com.vn//uploaded/20210513/851550BE-8D73-456F-B71F-6A318A1DC850.jpg","17:08:26")</f>
      </c>
      <c r="U145" s="18"/>
      <c r="V145" s="18" t="s">
        <v>35</v>
      </c>
      <c r="W145" s="15" t="s">
        <v>1247</v>
      </c>
      <c r="X145" s="15" t="s">
        <v>35</v>
      </c>
      <c r="Y145" s="15" t="s">
        <v>35</v>
      </c>
      <c r="Z145" s="19">
        <v>0</v>
      </c>
      <c r="AA145" s="15">
        <v>0</v>
      </c>
      <c r="AB145" s="15" t="s">
        <v>35</v>
      </c>
    </row>
    <row r="146">
      <c r="A146" s="15">
        <v>142</v>
      </c>
      <c r="B146" s="15" t="s">
        <v>87</v>
      </c>
      <c r="C146" s="15" t="s">
        <v>88</v>
      </c>
      <c r="D146" s="15" t="s">
        <v>610</v>
      </c>
      <c r="E146" s="15" t="s">
        <v>90</v>
      </c>
      <c r="F146" s="15" t="s">
        <v>35</v>
      </c>
      <c r="G146" s="15" t="s">
        <v>74</v>
      </c>
      <c r="H146" s="15" t="s">
        <v>1248</v>
      </c>
      <c r="I146" s="15" t="s">
        <v>1249</v>
      </c>
      <c r="J146" s="15" t="s">
        <v>1250</v>
      </c>
      <c r="K146" s="15" t="s">
        <v>614</v>
      </c>
      <c r="L146" s="15" t="s">
        <v>615</v>
      </c>
      <c r="M146" s="15" t="s">
        <v>616</v>
      </c>
      <c r="N146" s="15" t="s">
        <v>617</v>
      </c>
      <c r="O146" s="15" t="s">
        <v>82</v>
      </c>
      <c r="P146" s="15" t="s">
        <v>1251</v>
      </c>
      <c r="Q146" s="15" t="s">
        <v>1252</v>
      </c>
      <c r="R146" s="16">
        <v>44329</v>
      </c>
      <c r="S146" s="17" t="s">
        <v>70</v>
      </c>
      <c r="T146" s="20">
        <f>HYPERLINK("https://vnm.spiral.com.vn//uploaded/20210513/2EB18829-6153-4367-B76F-5C1ACB247610.jpg","16:02:53")</f>
      </c>
      <c r="U146" s="20">
        <f>HYPERLINK("https://vnm.spiral.com.vn//uploaded/20210513/BBA40FD0-7677-45B2-A218-FDEF70FFA0CD.jpg","17:08:25")</f>
      </c>
      <c r="V146" s="18">
        <v>0.045509259259259256</v>
      </c>
      <c r="W146" s="15" t="s">
        <v>1253</v>
      </c>
      <c r="X146" s="15" t="s">
        <v>1254</v>
      </c>
      <c r="Y146" s="15" t="s">
        <v>35</v>
      </c>
      <c r="Z146" s="19">
        <v>0</v>
      </c>
      <c r="AA146" s="15">
        <v>0</v>
      </c>
      <c r="AB146" s="15" t="s">
        <v>35</v>
      </c>
    </row>
    <row r="147">
      <c r="A147" s="15">
        <v>143</v>
      </c>
      <c r="B147" s="15" t="s">
        <v>343</v>
      </c>
      <c r="C147" s="15" t="s">
        <v>344</v>
      </c>
      <c r="D147" s="15" t="s">
        <v>432</v>
      </c>
      <c r="E147" s="15" t="s">
        <v>116</v>
      </c>
      <c r="F147" s="15" t="s">
        <v>35</v>
      </c>
      <c r="G147" s="15" t="s">
        <v>74</v>
      </c>
      <c r="H147" s="15" t="s">
        <v>1255</v>
      </c>
      <c r="I147" s="15" t="s">
        <v>1256</v>
      </c>
      <c r="J147" s="15" t="s">
        <v>1257</v>
      </c>
      <c r="K147" s="15" t="s">
        <v>1168</v>
      </c>
      <c r="L147" s="15" t="s">
        <v>1169</v>
      </c>
      <c r="M147" s="15" t="s">
        <v>1170</v>
      </c>
      <c r="N147" s="15" t="s">
        <v>1171</v>
      </c>
      <c r="O147" s="15" t="s">
        <v>82</v>
      </c>
      <c r="P147" s="15" t="s">
        <v>1258</v>
      </c>
      <c r="Q147" s="15" t="s">
        <v>1259</v>
      </c>
      <c r="R147" s="16">
        <v>44329</v>
      </c>
      <c r="S147" s="17" t="s">
        <v>70</v>
      </c>
      <c r="T147" s="20">
        <f>HYPERLINK("https://vnm.spiral.com.vn//uploaded/20210513/42e7324e-6f59-41b1-8de7-0510d9634395.JPEG","15:08:20")</f>
      </c>
      <c r="U147" s="20">
        <f>HYPERLINK("https://vnm.spiral.com.vn//uploaded/20210513/71488805-3967-495a-a50c-5631c567c387.JPEG","17:08:24")</f>
      </c>
      <c r="V147" s="18">
        <v>0.08337962962962962</v>
      </c>
      <c r="W147" s="15" t="s">
        <v>1260</v>
      </c>
      <c r="X147" s="15" t="s">
        <v>1261</v>
      </c>
      <c r="Y147" s="15" t="s">
        <v>35</v>
      </c>
      <c r="Z147" s="19">
        <v>0</v>
      </c>
      <c r="AA147" s="15">
        <v>0</v>
      </c>
      <c r="AB147" s="15" t="s">
        <v>35</v>
      </c>
    </row>
    <row r="148">
      <c r="A148" s="15">
        <v>144</v>
      </c>
      <c r="B148" s="15" t="s">
        <v>87</v>
      </c>
      <c r="C148" s="15" t="s">
        <v>88</v>
      </c>
      <c r="D148" s="15" t="s">
        <v>135</v>
      </c>
      <c r="E148" s="15" t="s">
        <v>116</v>
      </c>
      <c r="F148" s="15" t="s">
        <v>35</v>
      </c>
      <c r="G148" s="15" t="s">
        <v>74</v>
      </c>
      <c r="H148" s="15" t="s">
        <v>1262</v>
      </c>
      <c r="I148" s="15" t="s">
        <v>1263</v>
      </c>
      <c r="J148" s="15" t="s">
        <v>1264</v>
      </c>
      <c r="K148" s="15" t="s">
        <v>390</v>
      </c>
      <c r="L148" s="15" t="s">
        <v>391</v>
      </c>
      <c r="M148" s="15" t="s">
        <v>392</v>
      </c>
      <c r="N148" s="15" t="s">
        <v>393</v>
      </c>
      <c r="O148" s="15" t="s">
        <v>82</v>
      </c>
      <c r="P148" s="15" t="s">
        <v>1265</v>
      </c>
      <c r="Q148" s="15" t="s">
        <v>1266</v>
      </c>
      <c r="R148" s="16">
        <v>44329</v>
      </c>
      <c r="S148" s="17" t="s">
        <v>70</v>
      </c>
      <c r="T148" s="20">
        <f>HYPERLINK("https://vnm.spiral.com.vn//uploaded/20210513/a530abb1-9d4a-4921-b14e-8a13190ff3f7.JPEG","16:30:32")</f>
      </c>
      <c r="U148" s="20">
        <f>HYPERLINK("https://vnm.spiral.com.vn//uploaded/20210513/87b29fa3-4835-4d82-9b66-f2fbe77d8ef9.JPEG","17:08:04")</f>
      </c>
      <c r="V148" s="18">
        <v>0.026064814814814815</v>
      </c>
      <c r="W148" s="15" t="s">
        <v>1267</v>
      </c>
      <c r="X148" s="15" t="s">
        <v>1268</v>
      </c>
      <c r="Y148" s="15" t="s">
        <v>35</v>
      </c>
      <c r="Z148" s="19">
        <v>0</v>
      </c>
      <c r="AA148" s="15">
        <v>0</v>
      </c>
      <c r="AB148" s="15" t="s">
        <v>35</v>
      </c>
    </row>
    <row r="149">
      <c r="A149" s="15">
        <v>145</v>
      </c>
      <c r="B149" s="15" t="s">
        <v>343</v>
      </c>
      <c r="C149" s="15" t="s">
        <v>721</v>
      </c>
      <c r="D149" s="15" t="s">
        <v>357</v>
      </c>
      <c r="E149" s="15" t="s">
        <v>90</v>
      </c>
      <c r="F149" s="15" t="s">
        <v>35</v>
      </c>
      <c r="G149" s="15" t="s">
        <v>74</v>
      </c>
      <c r="H149" s="15" t="s">
        <v>1269</v>
      </c>
      <c r="I149" s="15" t="s">
        <v>1270</v>
      </c>
      <c r="J149" s="15" t="s">
        <v>1271</v>
      </c>
      <c r="K149" s="15" t="s">
        <v>512</v>
      </c>
      <c r="L149" s="15" t="s">
        <v>513</v>
      </c>
      <c r="M149" s="15" t="s">
        <v>1154</v>
      </c>
      <c r="N149" s="15" t="s">
        <v>1155</v>
      </c>
      <c r="O149" s="15" t="s">
        <v>82</v>
      </c>
      <c r="P149" s="15" t="s">
        <v>1272</v>
      </c>
      <c r="Q149" s="15" t="s">
        <v>1273</v>
      </c>
      <c r="R149" s="16">
        <v>44329</v>
      </c>
      <c r="S149" s="17" t="s">
        <v>70</v>
      </c>
      <c r="T149" s="20">
        <f>HYPERLINK("https://vnm.spiral.com.vn//uploaded/20210513/8F8BC658-DF02-4C0A-9128-888943B0811E.jpg","07:38:47")</f>
      </c>
      <c r="U149" s="20">
        <f>HYPERLINK("https://vnm.spiral.com.vn//uploaded/20210513/0C4F9D0F-140D-45D9-ACAF-2A3F5A3E5F0B.jpg","17:08:03")</f>
      </c>
      <c r="V149" s="18">
        <v>0.39532407407407405</v>
      </c>
      <c r="W149" s="15" t="s">
        <v>1274</v>
      </c>
      <c r="X149" s="15" t="s">
        <v>1275</v>
      </c>
      <c r="Y149" s="15" t="s">
        <v>35</v>
      </c>
      <c r="Z149" s="19">
        <v>0</v>
      </c>
      <c r="AA149" s="15">
        <v>0</v>
      </c>
      <c r="AB149" s="15" t="s">
        <v>35</v>
      </c>
    </row>
    <row r="150">
      <c r="A150" s="15">
        <v>146</v>
      </c>
      <c r="B150" s="15" t="s">
        <v>87</v>
      </c>
      <c r="C150" s="15" t="s">
        <v>88</v>
      </c>
      <c r="D150" s="15" t="s">
        <v>89</v>
      </c>
      <c r="E150" s="15" t="s">
        <v>90</v>
      </c>
      <c r="F150" s="15" t="s">
        <v>35</v>
      </c>
      <c r="G150" s="15" t="s">
        <v>74</v>
      </c>
      <c r="H150" s="15" t="s">
        <v>1276</v>
      </c>
      <c r="I150" s="15" t="s">
        <v>1277</v>
      </c>
      <c r="J150" s="15" t="s">
        <v>1278</v>
      </c>
      <c r="K150" s="15" t="s">
        <v>96</v>
      </c>
      <c r="L150" s="15" t="s">
        <v>97</v>
      </c>
      <c r="M150" s="15" t="s">
        <v>1279</v>
      </c>
      <c r="N150" s="15" t="s">
        <v>1280</v>
      </c>
      <c r="O150" s="15" t="s">
        <v>156</v>
      </c>
      <c r="P150" s="15" t="s">
        <v>1281</v>
      </c>
      <c r="Q150" s="15" t="s">
        <v>1282</v>
      </c>
      <c r="R150" s="16">
        <v>44329</v>
      </c>
      <c r="S150" s="17" t="s">
        <v>70</v>
      </c>
      <c r="T150" s="20">
        <f>HYPERLINK("https://vnm.spiral.com.vn//uploaded/20210513/c0ddd3f5-9ed1-481e-ae15-a94584d8fe84.JPEG","08:04:35")</f>
      </c>
      <c r="U150" s="20">
        <f>HYPERLINK("https://vnm.spiral.com.vn//uploaded/20210513/091cca2e-7ca5-4ad7-8c84-c5b5d3c2f352.JPEG","17:08:01")</f>
      </c>
      <c r="V150" s="18">
        <v>0.3773842592592593</v>
      </c>
      <c r="W150" s="15" t="s">
        <v>1283</v>
      </c>
      <c r="X150" s="15" t="s">
        <v>1284</v>
      </c>
      <c r="Y150" s="15" t="s">
        <v>35</v>
      </c>
      <c r="Z150" s="19">
        <v>0</v>
      </c>
      <c r="AA150" s="15">
        <v>0</v>
      </c>
      <c r="AB150" s="15" t="s">
        <v>35</v>
      </c>
    </row>
    <row r="151">
      <c r="A151" s="15">
        <v>147</v>
      </c>
      <c r="B151" s="15" t="s">
        <v>87</v>
      </c>
      <c r="C151" s="15" t="s">
        <v>88</v>
      </c>
      <c r="D151" s="15" t="s">
        <v>89</v>
      </c>
      <c r="E151" s="15" t="s">
        <v>90</v>
      </c>
      <c r="F151" s="15" t="s">
        <v>35</v>
      </c>
      <c r="G151" s="15" t="s">
        <v>74</v>
      </c>
      <c r="H151" s="15" t="s">
        <v>1285</v>
      </c>
      <c r="I151" s="15" t="s">
        <v>1286</v>
      </c>
      <c r="J151" s="15" t="s">
        <v>1287</v>
      </c>
      <c r="K151" s="15" t="s">
        <v>96</v>
      </c>
      <c r="L151" s="15" t="s">
        <v>97</v>
      </c>
      <c r="M151" s="15" t="s">
        <v>1288</v>
      </c>
      <c r="N151" s="15" t="s">
        <v>1289</v>
      </c>
      <c r="O151" s="15" t="s">
        <v>156</v>
      </c>
      <c r="P151" s="15" t="s">
        <v>1290</v>
      </c>
      <c r="Q151" s="15" t="s">
        <v>1291</v>
      </c>
      <c r="R151" s="16">
        <v>44329</v>
      </c>
      <c r="S151" s="17" t="s">
        <v>70</v>
      </c>
      <c r="T151" s="20">
        <f>HYPERLINK("https://vnm.spiral.com.vn//uploaded/20210513/d9fc0c62-de70-40a5-bc32-ddd2630ba5bc.jpg","07:31:59")</f>
      </c>
      <c r="U151" s="20">
        <f>HYPERLINK("https://vnm.spiral.com.vn//uploaded/20210513/e58eba58-9d22-4818-b0a2-758b1d9c6bae.jpg","17:07:58")</f>
      </c>
      <c r="V151" s="18">
        <v>0.39998842592592593</v>
      </c>
      <c r="W151" s="15" t="s">
        <v>1292</v>
      </c>
      <c r="X151" s="15" t="s">
        <v>1293</v>
      </c>
      <c r="Y151" s="15" t="s">
        <v>35</v>
      </c>
      <c r="Z151" s="19">
        <v>0</v>
      </c>
      <c r="AA151" s="15">
        <v>0</v>
      </c>
      <c r="AB151" s="15" t="s">
        <v>35</v>
      </c>
    </row>
    <row r="152">
      <c r="A152" s="15">
        <v>148</v>
      </c>
      <c r="B152" s="15" t="s">
        <v>61</v>
      </c>
      <c r="C152" s="15" t="s">
        <v>147</v>
      </c>
      <c r="D152" s="15" t="s">
        <v>35</v>
      </c>
      <c r="E152" s="15" t="s">
        <v>35</v>
      </c>
      <c r="F152" s="15" t="s">
        <v>35</v>
      </c>
      <c r="G152" s="15" t="s">
        <v>36</v>
      </c>
      <c r="H152" s="15" t="s">
        <v>1294</v>
      </c>
      <c r="I152" s="15" t="s">
        <v>1295</v>
      </c>
      <c r="J152" s="15" t="s">
        <v>1296</v>
      </c>
      <c r="K152" s="15" t="s">
        <v>40</v>
      </c>
      <c r="L152" s="15" t="s">
        <v>41</v>
      </c>
      <c r="M152" s="15" t="s">
        <v>66</v>
      </c>
      <c r="N152" s="15" t="s">
        <v>67</v>
      </c>
      <c r="O152" s="15" t="s">
        <v>44</v>
      </c>
      <c r="P152" s="15" t="s">
        <v>1297</v>
      </c>
      <c r="Q152" s="15" t="s">
        <v>1298</v>
      </c>
      <c r="R152" s="16">
        <v>44329</v>
      </c>
      <c r="S152" s="17" t="s">
        <v>70</v>
      </c>
      <c r="T152" s="20">
        <f>HYPERLINK("https://vnm.spiral.com.vn//uploaded/20210513/38c82048-b0a1-461d-b3bf-7e614b1c1020.JPEG","07:37:24")</f>
      </c>
      <c r="U152" s="20">
        <f>HYPERLINK("https://vnm.spiral.com.vn//uploaded/20210513/ce4abebd-b19d-4b1a-8d90-0a0c045ec9dd.JPEG","17:07:58")</f>
      </c>
      <c r="V152" s="18">
        <v>0.39622685185185186</v>
      </c>
      <c r="W152" s="15" t="s">
        <v>1299</v>
      </c>
      <c r="X152" s="15" t="s">
        <v>1300</v>
      </c>
      <c r="Y152" s="15" t="s">
        <v>35</v>
      </c>
      <c r="Z152" s="19">
        <v>0</v>
      </c>
      <c r="AA152" s="15">
        <v>0</v>
      </c>
      <c r="AB152" s="15" t="s">
        <v>35</v>
      </c>
    </row>
    <row r="153">
      <c r="A153" s="15">
        <v>149</v>
      </c>
      <c r="B153" s="15" t="s">
        <v>343</v>
      </c>
      <c r="C153" s="15" t="s">
        <v>344</v>
      </c>
      <c r="D153" s="15" t="s">
        <v>35</v>
      </c>
      <c r="E153" s="15" t="s">
        <v>35</v>
      </c>
      <c r="F153" s="15" t="s">
        <v>35</v>
      </c>
      <c r="G153" s="15" t="s">
        <v>36</v>
      </c>
      <c r="H153" s="15" t="s">
        <v>1301</v>
      </c>
      <c r="I153" s="15" t="s">
        <v>1302</v>
      </c>
      <c r="J153" s="15" t="s">
        <v>1303</v>
      </c>
      <c r="K153" s="15" t="s">
        <v>40</v>
      </c>
      <c r="L153" s="15" t="s">
        <v>41</v>
      </c>
      <c r="M153" s="15" t="s">
        <v>409</v>
      </c>
      <c r="N153" s="15" t="s">
        <v>410</v>
      </c>
      <c r="O153" s="15" t="s">
        <v>44</v>
      </c>
      <c r="P153" s="15" t="s">
        <v>1304</v>
      </c>
      <c r="Q153" s="15" t="s">
        <v>1305</v>
      </c>
      <c r="R153" s="16">
        <v>44329</v>
      </c>
      <c r="S153" s="17" t="s">
        <v>70</v>
      </c>
      <c r="T153" s="20">
        <f>HYPERLINK("https://vnm.spiral.com.vn//uploaded/20210513/0EE80EEE-27BF-4F16-8746-57218F19E65E.jpg","07:50:36")</f>
      </c>
      <c r="U153" s="20">
        <f>HYPERLINK("https://vnm.spiral.com.vn//uploaded/20210513/BA94AF80-9788-4610-8743-3FBEA0DE775D.jpg","17:07:55")</f>
      </c>
      <c r="V153" s="18">
        <v>0.387025462962963</v>
      </c>
      <c r="W153" s="15" t="s">
        <v>1306</v>
      </c>
      <c r="X153" s="15" t="s">
        <v>1307</v>
      </c>
      <c r="Y153" s="15" t="s">
        <v>35</v>
      </c>
      <c r="Z153" s="19">
        <v>0</v>
      </c>
      <c r="AA153" s="15">
        <v>0</v>
      </c>
      <c r="AB153" s="15" t="s">
        <v>35</v>
      </c>
    </row>
    <row r="154">
      <c r="A154" s="15">
        <v>150</v>
      </c>
      <c r="B154" s="15" t="s">
        <v>61</v>
      </c>
      <c r="C154" s="15" t="s">
        <v>737</v>
      </c>
      <c r="D154" s="15" t="s">
        <v>35</v>
      </c>
      <c r="E154" s="15" t="s">
        <v>35</v>
      </c>
      <c r="F154" s="15" t="s">
        <v>35</v>
      </c>
      <c r="G154" s="15" t="s">
        <v>36</v>
      </c>
      <c r="H154" s="15" t="s">
        <v>1308</v>
      </c>
      <c r="I154" s="15" t="s">
        <v>1309</v>
      </c>
      <c r="J154" s="15" t="s">
        <v>1310</v>
      </c>
      <c r="K154" s="15" t="s">
        <v>40</v>
      </c>
      <c r="L154" s="15" t="s">
        <v>41</v>
      </c>
      <c r="M154" s="15" t="s">
        <v>205</v>
      </c>
      <c r="N154" s="15" t="s">
        <v>206</v>
      </c>
      <c r="O154" s="15" t="s">
        <v>44</v>
      </c>
      <c r="P154" s="15" t="s">
        <v>1311</v>
      </c>
      <c r="Q154" s="15" t="s">
        <v>1312</v>
      </c>
      <c r="R154" s="16">
        <v>44329</v>
      </c>
      <c r="S154" s="17" t="s">
        <v>70</v>
      </c>
      <c r="T154" s="20">
        <f>HYPERLINK("https://vnm.spiral.com.vn//uploaded/20210513/d963ea1c-7025-4eed-a610-1e29d86e23f5.JPEG","07:57:08")</f>
      </c>
      <c r="U154" s="20">
        <f>HYPERLINK("https://vnm.spiral.com.vn//uploaded/20210513/ea892e0f-d472-4ad2-839d-96aa3d706493.JPEG","17:07:48")</f>
      </c>
      <c r="V154" s="18">
        <v>0.3824074074074074</v>
      </c>
      <c r="W154" s="15" t="s">
        <v>1313</v>
      </c>
      <c r="X154" s="15" t="s">
        <v>1314</v>
      </c>
      <c r="Y154" s="15" t="s">
        <v>35</v>
      </c>
      <c r="Z154" s="19">
        <v>0</v>
      </c>
      <c r="AA154" s="15">
        <v>0</v>
      </c>
      <c r="AB154" s="15" t="s">
        <v>35</v>
      </c>
    </row>
    <row r="155">
      <c r="A155" s="15">
        <v>151</v>
      </c>
      <c r="B155" s="15" t="s">
        <v>343</v>
      </c>
      <c r="C155" s="15" t="s">
        <v>344</v>
      </c>
      <c r="D155" s="15" t="s">
        <v>35</v>
      </c>
      <c r="E155" s="15" t="s">
        <v>35</v>
      </c>
      <c r="F155" s="15" t="s">
        <v>35</v>
      </c>
      <c r="G155" s="15" t="s">
        <v>36</v>
      </c>
      <c r="H155" s="15" t="s">
        <v>1315</v>
      </c>
      <c r="I155" s="15" t="s">
        <v>1316</v>
      </c>
      <c r="J155" s="15" t="s">
        <v>1317</v>
      </c>
      <c r="K155" s="15" t="s">
        <v>40</v>
      </c>
      <c r="L155" s="15" t="s">
        <v>41</v>
      </c>
      <c r="M155" s="15" t="s">
        <v>409</v>
      </c>
      <c r="N155" s="15" t="s">
        <v>410</v>
      </c>
      <c r="O155" s="15" t="s">
        <v>44</v>
      </c>
      <c r="P155" s="15" t="s">
        <v>1318</v>
      </c>
      <c r="Q155" s="15" t="s">
        <v>1319</v>
      </c>
      <c r="R155" s="16">
        <v>44329</v>
      </c>
      <c r="S155" s="17" t="s">
        <v>577</v>
      </c>
      <c r="T155" s="20">
        <f>HYPERLINK("https://vnm.spiral.com.vn//uploaded/20210513/9151513e-ad14-4d51-bd22-e724675cb081.JPEG","08:33:50")</f>
      </c>
      <c r="U155" s="20">
        <f>HYPERLINK("https://vnm.spiral.com.vn//uploaded/20210513/5b4f59cf-8b21-4acb-bc68-54d7ae6d1a59.JPEG","17:07:43")</f>
      </c>
      <c r="V155" s="18">
        <v>0.3568634259259259</v>
      </c>
      <c r="W155" s="15" t="s">
        <v>1320</v>
      </c>
      <c r="X155" s="15" t="s">
        <v>1321</v>
      </c>
      <c r="Y155" s="15" t="s">
        <v>35</v>
      </c>
      <c r="Z155" s="19">
        <v>0</v>
      </c>
      <c r="AA155" s="15">
        <v>0</v>
      </c>
      <c r="AB155" s="15" t="s">
        <v>35</v>
      </c>
    </row>
    <row r="156">
      <c r="A156" s="15">
        <v>152</v>
      </c>
      <c r="B156" s="15" t="s">
        <v>343</v>
      </c>
      <c r="C156" s="15" t="s">
        <v>344</v>
      </c>
      <c r="D156" s="15" t="s">
        <v>536</v>
      </c>
      <c r="E156" s="15" t="s">
        <v>116</v>
      </c>
      <c r="F156" s="15" t="s">
        <v>35</v>
      </c>
      <c r="G156" s="15" t="s">
        <v>74</v>
      </c>
      <c r="H156" s="15" t="s">
        <v>1322</v>
      </c>
      <c r="I156" s="15" t="s">
        <v>1323</v>
      </c>
      <c r="J156" s="15" t="s">
        <v>1324</v>
      </c>
      <c r="K156" s="15" t="s">
        <v>997</v>
      </c>
      <c r="L156" s="15" t="s">
        <v>998</v>
      </c>
      <c r="M156" s="15" t="s">
        <v>1325</v>
      </c>
      <c r="N156" s="15" t="s">
        <v>1326</v>
      </c>
      <c r="O156" s="15" t="s">
        <v>82</v>
      </c>
      <c r="P156" s="15" t="s">
        <v>1327</v>
      </c>
      <c r="Q156" s="15" t="s">
        <v>1328</v>
      </c>
      <c r="R156" s="16">
        <v>44329</v>
      </c>
      <c r="S156" s="17" t="s">
        <v>70</v>
      </c>
      <c r="T156" s="20">
        <f>HYPERLINK("https://vnm.spiral.com.vn//uploaded/20210513/7F06C6E9-53E2-41DF-9CBF-932D754E54BD.jpg","11:33:37")</f>
      </c>
      <c r="U156" s="20">
        <f>HYPERLINK("https://vnm.spiral.com.vn//uploaded/20210513/42E4EFAC-2A40-4A25-8136-CED94668D83E.jpg","17:07:34")</f>
      </c>
      <c r="V156" s="18">
        <v>0.23190972222222223</v>
      </c>
      <c r="W156" s="15" t="s">
        <v>1329</v>
      </c>
      <c r="X156" s="15" t="s">
        <v>1330</v>
      </c>
      <c r="Y156" s="15" t="s">
        <v>35</v>
      </c>
      <c r="Z156" s="19">
        <v>0</v>
      </c>
      <c r="AA156" s="15">
        <v>0</v>
      </c>
      <c r="AB156" s="15" t="s">
        <v>35</v>
      </c>
    </row>
    <row r="157">
      <c r="A157" s="15">
        <v>153</v>
      </c>
      <c r="B157" s="15" t="s">
        <v>343</v>
      </c>
      <c r="C157" s="15" t="s">
        <v>344</v>
      </c>
      <c r="D157" s="15" t="s">
        <v>432</v>
      </c>
      <c r="E157" s="15" t="s">
        <v>116</v>
      </c>
      <c r="F157" s="15" t="s">
        <v>35</v>
      </c>
      <c r="G157" s="15" t="s">
        <v>74</v>
      </c>
      <c r="H157" s="15" t="s">
        <v>1331</v>
      </c>
      <c r="I157" s="15" t="s">
        <v>1332</v>
      </c>
      <c r="J157" s="15" t="s">
        <v>1333</v>
      </c>
      <c r="K157" s="15" t="s">
        <v>512</v>
      </c>
      <c r="L157" s="15" t="s">
        <v>513</v>
      </c>
      <c r="M157" s="15" t="s">
        <v>514</v>
      </c>
      <c r="N157" s="15" t="s">
        <v>515</v>
      </c>
      <c r="O157" s="15" t="s">
        <v>82</v>
      </c>
      <c r="P157" s="15" t="s">
        <v>1334</v>
      </c>
      <c r="Q157" s="15" t="s">
        <v>1335</v>
      </c>
      <c r="R157" s="16">
        <v>44329</v>
      </c>
      <c r="S157" s="17" t="s">
        <v>70</v>
      </c>
      <c r="T157" s="20">
        <f>HYPERLINK("https://vnm.spiral.com.vn//uploaded/20210513/20370017-6724-49D9-98C1-3EFC6885E0BE.jpg","15:44:15")</f>
      </c>
      <c r="U157" s="20">
        <f>HYPERLINK("https://vnm.spiral.com.vn//uploaded/20210513/48C69BBB-6F94-4797-854A-B5F915298509.jpg","17:07:28")</f>
      </c>
      <c r="V157" s="18">
        <v>0.05778935185185185</v>
      </c>
      <c r="W157" s="15" t="s">
        <v>1336</v>
      </c>
      <c r="X157" s="15" t="s">
        <v>1337</v>
      </c>
      <c r="Y157" s="15" t="s">
        <v>35</v>
      </c>
      <c r="Z157" s="19">
        <v>0</v>
      </c>
      <c r="AA157" s="15">
        <v>0</v>
      </c>
      <c r="AB157" s="15" t="s">
        <v>35</v>
      </c>
    </row>
    <row r="158">
      <c r="A158" s="15">
        <v>154</v>
      </c>
      <c r="B158" s="15" t="s">
        <v>87</v>
      </c>
      <c r="C158" s="15" t="s">
        <v>88</v>
      </c>
      <c r="D158" s="15" t="s">
        <v>610</v>
      </c>
      <c r="E158" s="15" t="s">
        <v>90</v>
      </c>
      <c r="F158" s="15" t="s">
        <v>35</v>
      </c>
      <c r="G158" s="15" t="s">
        <v>74</v>
      </c>
      <c r="H158" s="15" t="s">
        <v>1338</v>
      </c>
      <c r="I158" s="15" t="s">
        <v>1339</v>
      </c>
      <c r="J158" s="15" t="s">
        <v>1340</v>
      </c>
      <c r="K158" s="15" t="s">
        <v>94</v>
      </c>
      <c r="L158" s="15" t="s">
        <v>95</v>
      </c>
      <c r="M158" s="15" t="s">
        <v>614</v>
      </c>
      <c r="N158" s="15" t="s">
        <v>615</v>
      </c>
      <c r="O158" s="15" t="s">
        <v>82</v>
      </c>
      <c r="P158" s="15" t="s">
        <v>1341</v>
      </c>
      <c r="Q158" s="15" t="s">
        <v>1342</v>
      </c>
      <c r="R158" s="16">
        <v>44329</v>
      </c>
      <c r="S158" s="17" t="s">
        <v>70</v>
      </c>
      <c r="T158" s="20">
        <f>HYPERLINK("https://vnm.spiral.com.vn//uploaded/20210513/93AB0EC9-01A8-4DDA-87D3-361E9E4AC229.jpg","16:04:28")</f>
      </c>
      <c r="U158" s="20">
        <f>HYPERLINK("https://vnm.spiral.com.vn//uploaded/20210513/F96F610F-9BB8-4972-A658-D10D73523E65.jpg","17:07:27")</f>
      </c>
      <c r="V158" s="18">
        <v>0.043738425925925924</v>
      </c>
      <c r="W158" s="15" t="s">
        <v>1343</v>
      </c>
      <c r="X158" s="15" t="s">
        <v>1344</v>
      </c>
      <c r="Y158" s="15" t="s">
        <v>35</v>
      </c>
      <c r="Z158" s="19">
        <v>0</v>
      </c>
      <c r="AA158" s="15">
        <v>0</v>
      </c>
      <c r="AB158" s="15" t="s">
        <v>35</v>
      </c>
    </row>
    <row r="159">
      <c r="A159" s="15">
        <v>155</v>
      </c>
      <c r="B159" s="15" t="s">
        <v>343</v>
      </c>
      <c r="C159" s="15" t="s">
        <v>344</v>
      </c>
      <c r="D159" s="15" t="s">
        <v>345</v>
      </c>
      <c r="E159" s="15" t="s">
        <v>90</v>
      </c>
      <c r="F159" s="15" t="s">
        <v>35</v>
      </c>
      <c r="G159" s="15" t="s">
        <v>74</v>
      </c>
      <c r="H159" s="15" t="s">
        <v>1345</v>
      </c>
      <c r="I159" s="15" t="s">
        <v>1346</v>
      </c>
      <c r="J159" s="15" t="s">
        <v>1347</v>
      </c>
      <c r="K159" s="15" t="s">
        <v>349</v>
      </c>
      <c r="L159" s="15" t="s">
        <v>350</v>
      </c>
      <c r="M159" s="15" t="s">
        <v>351</v>
      </c>
      <c r="N159" s="15" t="s">
        <v>352</v>
      </c>
      <c r="O159" s="15" t="s">
        <v>82</v>
      </c>
      <c r="P159" s="15" t="s">
        <v>1348</v>
      </c>
      <c r="Q159" s="15" t="s">
        <v>1349</v>
      </c>
      <c r="R159" s="16">
        <v>44329</v>
      </c>
      <c r="S159" s="17" t="s">
        <v>70</v>
      </c>
      <c r="T159" s="20">
        <f>HYPERLINK("https://vnm.spiral.com.vn//uploaded/20210513/8C4F4BC0-214E-4DA1-8263-3FA0DA511D31.jpg","07:57:45")</f>
      </c>
      <c r="U159" s="20">
        <f>HYPERLINK("https://vnm.spiral.com.vn//uploaded/20210513/A06FC455-7B1F-49CC-B8F0-8A43DF43D486.jpg","17:07:26")</f>
      </c>
      <c r="V159" s="18">
        <v>0.381724537037037</v>
      </c>
      <c r="W159" s="15" t="s">
        <v>1350</v>
      </c>
      <c r="X159" s="15" t="s">
        <v>1351</v>
      </c>
      <c r="Y159" s="15" t="s">
        <v>35</v>
      </c>
      <c r="Z159" s="19">
        <v>0</v>
      </c>
      <c r="AA159" s="15">
        <v>0</v>
      </c>
      <c r="AB159" s="15" t="s">
        <v>35</v>
      </c>
    </row>
    <row r="160">
      <c r="A160" s="15">
        <v>156</v>
      </c>
      <c r="B160" s="15" t="s">
        <v>246</v>
      </c>
      <c r="C160" s="15" t="s">
        <v>259</v>
      </c>
      <c r="D160" s="15" t="s">
        <v>35</v>
      </c>
      <c r="E160" s="15" t="s">
        <v>35</v>
      </c>
      <c r="F160" s="15" t="s">
        <v>1352</v>
      </c>
      <c r="G160" s="15" t="s">
        <v>36</v>
      </c>
      <c r="H160" s="15" t="s">
        <v>1353</v>
      </c>
      <c r="I160" s="15" t="s">
        <v>1354</v>
      </c>
      <c r="J160" s="15" t="s">
        <v>1355</v>
      </c>
      <c r="K160" s="15" t="s">
        <v>40</v>
      </c>
      <c r="L160" s="15" t="s">
        <v>41</v>
      </c>
      <c r="M160" s="15" t="s">
        <v>252</v>
      </c>
      <c r="N160" s="15" t="s">
        <v>253</v>
      </c>
      <c r="O160" s="15" t="s">
        <v>44</v>
      </c>
      <c r="P160" s="15" t="s">
        <v>1356</v>
      </c>
      <c r="Q160" s="15" t="s">
        <v>1357</v>
      </c>
      <c r="R160" s="16">
        <v>44329</v>
      </c>
      <c r="S160" s="17" t="s">
        <v>1199</v>
      </c>
      <c r="T160" s="20">
        <f>HYPERLINK("https://vnm.spiral.com.vn//uploaded/20210513/23f5a9c7-f226-4f8d-8111-75792f0ddf35.JPEG","17:07:24")</f>
      </c>
      <c r="U160" s="18"/>
      <c r="V160" s="18" t="s">
        <v>35</v>
      </c>
      <c r="W160" s="15" t="s">
        <v>1358</v>
      </c>
      <c r="X160" s="15" t="s">
        <v>35</v>
      </c>
      <c r="Y160" s="15" t="s">
        <v>35</v>
      </c>
      <c r="Z160" s="19">
        <v>0</v>
      </c>
      <c r="AA160" s="15">
        <v>0</v>
      </c>
      <c r="AB160" s="15" t="s">
        <v>35</v>
      </c>
    </row>
    <row r="161">
      <c r="A161" s="15">
        <v>157</v>
      </c>
      <c r="B161" s="15" t="s">
        <v>343</v>
      </c>
      <c r="C161" s="15" t="s">
        <v>344</v>
      </c>
      <c r="D161" s="15" t="s">
        <v>89</v>
      </c>
      <c r="E161" s="15" t="s">
        <v>90</v>
      </c>
      <c r="F161" s="15" t="s">
        <v>35</v>
      </c>
      <c r="G161" s="15" t="s">
        <v>74</v>
      </c>
      <c r="H161" s="15" t="s">
        <v>1359</v>
      </c>
      <c r="I161" s="15" t="s">
        <v>1360</v>
      </c>
      <c r="J161" s="15" t="s">
        <v>1361</v>
      </c>
      <c r="K161" s="15" t="s">
        <v>361</v>
      </c>
      <c r="L161" s="15" t="s">
        <v>362</v>
      </c>
      <c r="M161" s="15" t="s">
        <v>1362</v>
      </c>
      <c r="N161" s="15" t="s">
        <v>1363</v>
      </c>
      <c r="O161" s="15" t="s">
        <v>82</v>
      </c>
      <c r="P161" s="15" t="s">
        <v>1364</v>
      </c>
      <c r="Q161" s="15" t="s">
        <v>1365</v>
      </c>
      <c r="R161" s="16">
        <v>44329</v>
      </c>
      <c r="S161" s="17" t="s">
        <v>70</v>
      </c>
      <c r="T161" s="20">
        <f>HYPERLINK("https://vnm.spiral.com.vn//uploaded/20210513/2093dad4-c6ae-4fef-a703-be17e05b161f.JPEG","12:33:19")</f>
      </c>
      <c r="U161" s="20">
        <f>HYPERLINK("https://vnm.spiral.com.vn//uploaded/20210513/c086f606-0a6e-42a1-8b66-4092750e50dc.JPEG","17:07:03")</f>
      </c>
      <c r="V161" s="18">
        <v>0.1900925925925926</v>
      </c>
      <c r="W161" s="15" t="s">
        <v>1366</v>
      </c>
      <c r="X161" s="15" t="s">
        <v>1367</v>
      </c>
      <c r="Y161" s="15" t="s">
        <v>35</v>
      </c>
      <c r="Z161" s="19">
        <v>0</v>
      </c>
      <c r="AA161" s="15">
        <v>0</v>
      </c>
      <c r="AB161" s="15" t="s">
        <v>35</v>
      </c>
    </row>
    <row r="162">
      <c r="A162" s="15">
        <v>158</v>
      </c>
      <c r="B162" s="15" t="s">
        <v>343</v>
      </c>
      <c r="C162" s="15" t="s">
        <v>344</v>
      </c>
      <c r="D162" s="15" t="s">
        <v>432</v>
      </c>
      <c r="E162" s="15" t="s">
        <v>116</v>
      </c>
      <c r="F162" s="15" t="s">
        <v>35</v>
      </c>
      <c r="G162" s="15" t="s">
        <v>74</v>
      </c>
      <c r="H162" s="15" t="s">
        <v>1368</v>
      </c>
      <c r="I162" s="15" t="s">
        <v>1369</v>
      </c>
      <c r="J162" s="15" t="s">
        <v>1370</v>
      </c>
      <c r="K162" s="15" t="s">
        <v>512</v>
      </c>
      <c r="L162" s="15" t="s">
        <v>513</v>
      </c>
      <c r="M162" s="15" t="s">
        <v>514</v>
      </c>
      <c r="N162" s="15" t="s">
        <v>515</v>
      </c>
      <c r="O162" s="15" t="s">
        <v>82</v>
      </c>
      <c r="P162" s="15" t="s">
        <v>1371</v>
      </c>
      <c r="Q162" s="15" t="s">
        <v>1372</v>
      </c>
      <c r="R162" s="16">
        <v>44329</v>
      </c>
      <c r="S162" s="17" t="s">
        <v>70</v>
      </c>
      <c r="T162" s="20">
        <f>HYPERLINK("https://vnm.spiral.com.vn//uploaded/20210513/c5371be8-46e0-4a48-b164-a62b4a0227bd.JPEG","16:11:41")</f>
      </c>
      <c r="U162" s="20">
        <f>HYPERLINK("https://vnm.spiral.com.vn//uploaded/20210513/e9ccf8ed-c74b-4351-b4b7-43f31b9d51a4.JPEG","17:07:00")</f>
      </c>
      <c r="V162" s="18">
        <v>0.03841435185185185</v>
      </c>
      <c r="W162" s="15" t="s">
        <v>1373</v>
      </c>
      <c r="X162" s="15" t="s">
        <v>1374</v>
      </c>
      <c r="Y162" s="15" t="s">
        <v>35</v>
      </c>
      <c r="Z162" s="19">
        <v>0</v>
      </c>
      <c r="AA162" s="15">
        <v>0</v>
      </c>
      <c r="AB162" s="15" t="s">
        <v>35</v>
      </c>
    </row>
    <row r="163">
      <c r="A163" s="15">
        <v>159</v>
      </c>
      <c r="B163" s="15" t="s">
        <v>343</v>
      </c>
      <c r="C163" s="15" t="s">
        <v>344</v>
      </c>
      <c r="D163" s="15" t="s">
        <v>35</v>
      </c>
      <c r="E163" s="15" t="s">
        <v>35</v>
      </c>
      <c r="F163" s="15" t="s">
        <v>35</v>
      </c>
      <c r="G163" s="15" t="s">
        <v>36</v>
      </c>
      <c r="H163" s="15" t="s">
        <v>1375</v>
      </c>
      <c r="I163" s="15" t="s">
        <v>1376</v>
      </c>
      <c r="J163" s="15" t="s">
        <v>1377</v>
      </c>
      <c r="K163" s="15" t="s">
        <v>40</v>
      </c>
      <c r="L163" s="15" t="s">
        <v>41</v>
      </c>
      <c r="M163" s="15" t="s">
        <v>409</v>
      </c>
      <c r="N163" s="15" t="s">
        <v>410</v>
      </c>
      <c r="O163" s="15" t="s">
        <v>44</v>
      </c>
      <c r="P163" s="15" t="s">
        <v>1378</v>
      </c>
      <c r="Q163" s="15" t="s">
        <v>1379</v>
      </c>
      <c r="R163" s="16">
        <v>44329</v>
      </c>
      <c r="S163" s="17" t="s">
        <v>70</v>
      </c>
      <c r="T163" s="20">
        <f>HYPERLINK("https://vnm.spiral.com.vn//uploaded/20210513/6B3DF70F-680E-449B-897A-F02DA3FFB0DE.jpg","08:01:32")</f>
      </c>
      <c r="U163" s="20">
        <f>HYPERLINK("https://vnm.spiral.com.vn//uploaded/20210513/39F79FB8-C00E-466D-9524-86B63C828B8A.jpg","17:06:49")</f>
      </c>
      <c r="V163" s="18">
        <v>0.3786689814814815</v>
      </c>
      <c r="W163" s="15" t="s">
        <v>1380</v>
      </c>
      <c r="X163" s="15" t="s">
        <v>1381</v>
      </c>
      <c r="Y163" s="15" t="s">
        <v>35</v>
      </c>
      <c r="Z163" s="19">
        <v>0</v>
      </c>
      <c r="AA163" s="15">
        <v>0</v>
      </c>
      <c r="AB163" s="15" t="s">
        <v>35</v>
      </c>
    </row>
    <row r="164">
      <c r="A164" s="15">
        <v>160</v>
      </c>
      <c r="B164" s="15" t="s">
        <v>343</v>
      </c>
      <c r="C164" s="15" t="s">
        <v>344</v>
      </c>
      <c r="D164" s="15" t="s">
        <v>878</v>
      </c>
      <c r="E164" s="15" t="s">
        <v>35</v>
      </c>
      <c r="F164" s="15" t="s">
        <v>35</v>
      </c>
      <c r="G164" s="15" t="s">
        <v>74</v>
      </c>
      <c r="H164" s="15" t="s">
        <v>1382</v>
      </c>
      <c r="I164" s="15" t="s">
        <v>1383</v>
      </c>
      <c r="J164" s="15" t="s">
        <v>1384</v>
      </c>
      <c r="K164" s="15" t="s">
        <v>584</v>
      </c>
      <c r="L164" s="15" t="s">
        <v>585</v>
      </c>
      <c r="M164" s="15" t="s">
        <v>586</v>
      </c>
      <c r="N164" s="15" t="s">
        <v>587</v>
      </c>
      <c r="O164" s="15" t="s">
        <v>82</v>
      </c>
      <c r="P164" s="15" t="s">
        <v>1385</v>
      </c>
      <c r="Q164" s="15" t="s">
        <v>1386</v>
      </c>
      <c r="R164" s="16">
        <v>44329</v>
      </c>
      <c r="S164" s="17" t="s">
        <v>70</v>
      </c>
      <c r="T164" s="20">
        <f>HYPERLINK("https://vnm.spiral.com.vn//uploaded/20210513/22457e79-9b0b-42e3-97db-91a16deecbdc.JPEG","11:19:00")</f>
      </c>
      <c r="U164" s="20">
        <f>HYPERLINK("https://vnm.spiral.com.vn//uploaded/20210513/4ae23512-ace5-4c57-909c-47a8a5d469b8.JPEG","17:06:49")</f>
      </c>
      <c r="V164" s="18">
        <v>0.24153935185185185</v>
      </c>
      <c r="W164" s="15" t="s">
        <v>1387</v>
      </c>
      <c r="X164" s="15" t="s">
        <v>1388</v>
      </c>
      <c r="Y164" s="15" t="s">
        <v>35</v>
      </c>
      <c r="Z164" s="19">
        <v>0</v>
      </c>
      <c r="AA164" s="15">
        <v>0</v>
      </c>
      <c r="AB164" s="15" t="s">
        <v>35</v>
      </c>
    </row>
    <row r="165">
      <c r="A165" s="15">
        <v>161</v>
      </c>
      <c r="B165" s="15" t="s">
        <v>49</v>
      </c>
      <c r="C165" s="15" t="s">
        <v>1389</v>
      </c>
      <c r="D165" s="15" t="s">
        <v>89</v>
      </c>
      <c r="E165" s="15" t="s">
        <v>90</v>
      </c>
      <c r="F165" s="15" t="s">
        <v>35</v>
      </c>
      <c r="G165" s="15" t="s">
        <v>74</v>
      </c>
      <c r="H165" s="15" t="s">
        <v>1390</v>
      </c>
      <c r="I165" s="15" t="s">
        <v>1391</v>
      </c>
      <c r="J165" s="15" t="s">
        <v>1392</v>
      </c>
      <c r="K165" s="15" t="s">
        <v>166</v>
      </c>
      <c r="L165" s="15" t="s">
        <v>167</v>
      </c>
      <c r="M165" s="15" t="s">
        <v>168</v>
      </c>
      <c r="N165" s="15" t="s">
        <v>169</v>
      </c>
      <c r="O165" s="15" t="s">
        <v>156</v>
      </c>
      <c r="P165" s="15" t="s">
        <v>1393</v>
      </c>
      <c r="Q165" s="15" t="s">
        <v>1394</v>
      </c>
      <c r="R165" s="16">
        <v>44329</v>
      </c>
      <c r="S165" s="17" t="s">
        <v>256</v>
      </c>
      <c r="T165" s="20">
        <f>HYPERLINK("https://vnm.spiral.com.vn//uploaded/20210513/DBF43A0A-FEF7-445D-B7A4-0C30B57FD766.jpg","07:24:44")</f>
      </c>
      <c r="U165" s="20">
        <f>HYPERLINK("https://vnm.spiral.com.vn//uploaded/20210513/0D30803D-96AD-40CD-BDEB-A3318B7A4394.jpg","17:06:48")</f>
      </c>
      <c r="V165" s="18">
        <v>0.40421296296296294</v>
      </c>
      <c r="W165" s="15" t="s">
        <v>1395</v>
      </c>
      <c r="X165" s="15" t="s">
        <v>1396</v>
      </c>
      <c r="Y165" s="15" t="s">
        <v>35</v>
      </c>
      <c r="Z165" s="19">
        <v>0</v>
      </c>
      <c r="AA165" s="15">
        <v>0</v>
      </c>
      <c r="AB165" s="15" t="s">
        <v>35</v>
      </c>
    </row>
    <row r="166">
      <c r="A166" s="15">
        <v>162</v>
      </c>
      <c r="B166" s="15" t="s">
        <v>87</v>
      </c>
      <c r="C166" s="15" t="s">
        <v>88</v>
      </c>
      <c r="D166" s="15" t="s">
        <v>135</v>
      </c>
      <c r="E166" s="15" t="s">
        <v>116</v>
      </c>
      <c r="F166" s="15" t="s">
        <v>35</v>
      </c>
      <c r="G166" s="15" t="s">
        <v>74</v>
      </c>
      <c r="H166" s="15" t="s">
        <v>1397</v>
      </c>
      <c r="I166" s="15" t="s">
        <v>1398</v>
      </c>
      <c r="J166" s="15" t="s">
        <v>1399</v>
      </c>
      <c r="K166" s="15" t="s">
        <v>139</v>
      </c>
      <c r="L166" s="15" t="s">
        <v>140</v>
      </c>
      <c r="M166" s="15" t="s">
        <v>141</v>
      </c>
      <c r="N166" s="15" t="s">
        <v>142</v>
      </c>
      <c r="O166" s="15" t="s">
        <v>82</v>
      </c>
      <c r="P166" s="15" t="s">
        <v>1400</v>
      </c>
      <c r="Q166" s="15" t="s">
        <v>1401</v>
      </c>
      <c r="R166" s="16">
        <v>44329</v>
      </c>
      <c r="S166" s="17" t="s">
        <v>70</v>
      </c>
      <c r="T166" s="20">
        <f>HYPERLINK("https://vnm.spiral.com.vn//uploaded/20210513/EB5EB6AE-225C-4B78-B661-A3E07AE2BBF1.jpg","15:56:44")</f>
      </c>
      <c r="U166" s="20">
        <f>HYPERLINK("https://vnm.spiral.com.vn//uploaded/20210513/6DFBE5A0-6098-4867-838D-6A684C04CB24.jpg","17:06:46")</f>
      </c>
      <c r="V166" s="18">
        <v>0.04863425925925926</v>
      </c>
      <c r="W166" s="15" t="s">
        <v>1402</v>
      </c>
      <c r="X166" s="15" t="s">
        <v>1403</v>
      </c>
      <c r="Y166" s="15" t="s">
        <v>35</v>
      </c>
      <c r="Z166" s="19">
        <v>0</v>
      </c>
      <c r="AA166" s="15">
        <v>0</v>
      </c>
      <c r="AB166" s="15" t="s">
        <v>35</v>
      </c>
    </row>
    <row r="167">
      <c r="A167" s="15">
        <v>163</v>
      </c>
      <c r="B167" s="15" t="s">
        <v>343</v>
      </c>
      <c r="C167" s="15" t="s">
        <v>645</v>
      </c>
      <c r="D167" s="15" t="s">
        <v>35</v>
      </c>
      <c r="E167" s="15" t="s">
        <v>35</v>
      </c>
      <c r="F167" s="15" t="s">
        <v>35</v>
      </c>
      <c r="G167" s="15" t="s">
        <v>36</v>
      </c>
      <c r="H167" s="15" t="s">
        <v>1404</v>
      </c>
      <c r="I167" s="15" t="s">
        <v>1405</v>
      </c>
      <c r="J167" s="15" t="s">
        <v>1406</v>
      </c>
      <c r="K167" s="15" t="s">
        <v>40</v>
      </c>
      <c r="L167" s="15" t="s">
        <v>41</v>
      </c>
      <c r="M167" s="15" t="s">
        <v>42</v>
      </c>
      <c r="N167" s="15" t="s">
        <v>43</v>
      </c>
      <c r="O167" s="15" t="s">
        <v>44</v>
      </c>
      <c r="P167" s="15" t="s">
        <v>1407</v>
      </c>
      <c r="Q167" s="15" t="s">
        <v>1408</v>
      </c>
      <c r="R167" s="16">
        <v>44329</v>
      </c>
      <c r="S167" s="17" t="s">
        <v>1409</v>
      </c>
      <c r="T167" s="20">
        <f>HYPERLINK("https://vnm.spiral.com.vn//uploaded/20210513/210d8271-2b49-4303-8cd3-5bf26a4cd13b.JPEG","07:01:57")</f>
      </c>
      <c r="U167" s="20">
        <f>HYPERLINK("https://vnm.spiral.com.vn//uploaded/20210513/50f5df88-c200-446a-b1b9-c67d5cb534c3.JPEG","17:06:45")</f>
      </c>
      <c r="V167" s="18">
        <v>0.42</v>
      </c>
      <c r="W167" s="15" t="s">
        <v>1410</v>
      </c>
      <c r="X167" s="15" t="s">
        <v>1411</v>
      </c>
      <c r="Y167" s="15" t="s">
        <v>35</v>
      </c>
      <c r="Z167" s="19">
        <v>0</v>
      </c>
      <c r="AA167" s="15">
        <v>0</v>
      </c>
      <c r="AB167" s="15" t="s">
        <v>35</v>
      </c>
    </row>
    <row r="168">
      <c r="A168" s="15">
        <v>164</v>
      </c>
      <c r="B168" s="15" t="s">
        <v>87</v>
      </c>
      <c r="C168" s="15" t="s">
        <v>88</v>
      </c>
      <c r="D168" s="15" t="s">
        <v>135</v>
      </c>
      <c r="E168" s="15" t="s">
        <v>116</v>
      </c>
      <c r="F168" s="15" t="s">
        <v>35</v>
      </c>
      <c r="G168" s="15" t="s">
        <v>74</v>
      </c>
      <c r="H168" s="15" t="s">
        <v>1412</v>
      </c>
      <c r="I168" s="15" t="s">
        <v>1413</v>
      </c>
      <c r="J168" s="15" t="s">
        <v>1414</v>
      </c>
      <c r="K168" s="15" t="s">
        <v>390</v>
      </c>
      <c r="L168" s="15" t="s">
        <v>391</v>
      </c>
      <c r="M168" s="15" t="s">
        <v>392</v>
      </c>
      <c r="N168" s="15" t="s">
        <v>393</v>
      </c>
      <c r="O168" s="15" t="s">
        <v>82</v>
      </c>
      <c r="P168" s="15" t="s">
        <v>1415</v>
      </c>
      <c r="Q168" s="15" t="s">
        <v>1416</v>
      </c>
      <c r="R168" s="16">
        <v>44329</v>
      </c>
      <c r="S168" s="17" t="s">
        <v>70</v>
      </c>
      <c r="T168" s="20">
        <f>HYPERLINK("https://vnm.spiral.com.vn//uploaded/20210513/eea74de7-6f3b-4eee-8fa8-3170a0e22718.jpg","16:33:56")</f>
      </c>
      <c r="U168" s="20">
        <f>HYPERLINK("https://vnm.spiral.com.vn//uploaded/20210513/5171786d-c382-4f54-b14d-818a2a973f0c.jpg","17:06:44")</f>
      </c>
      <c r="V168" s="18">
        <v>0.02277777777777778</v>
      </c>
      <c r="W168" s="15" t="s">
        <v>1417</v>
      </c>
      <c r="X168" s="15" t="s">
        <v>1418</v>
      </c>
      <c r="Y168" s="15" t="s">
        <v>35</v>
      </c>
      <c r="Z168" s="19">
        <v>0</v>
      </c>
      <c r="AA168" s="15">
        <v>0</v>
      </c>
      <c r="AB168" s="15" t="s">
        <v>35</v>
      </c>
    </row>
    <row r="169">
      <c r="A169" s="15">
        <v>165</v>
      </c>
      <c r="B169" s="15" t="s">
        <v>61</v>
      </c>
      <c r="C169" s="15" t="s">
        <v>201</v>
      </c>
      <c r="D169" s="15" t="s">
        <v>35</v>
      </c>
      <c r="E169" s="15" t="s">
        <v>35</v>
      </c>
      <c r="F169" s="15" t="s">
        <v>35</v>
      </c>
      <c r="G169" s="15" t="s">
        <v>36</v>
      </c>
      <c r="H169" s="15" t="s">
        <v>1419</v>
      </c>
      <c r="I169" s="15" t="s">
        <v>1420</v>
      </c>
      <c r="J169" s="15" t="s">
        <v>1421</v>
      </c>
      <c r="K169" s="15" t="s">
        <v>40</v>
      </c>
      <c r="L169" s="15" t="s">
        <v>41</v>
      </c>
      <c r="M169" s="15" t="s">
        <v>66</v>
      </c>
      <c r="N169" s="15" t="s">
        <v>67</v>
      </c>
      <c r="O169" s="15" t="s">
        <v>44</v>
      </c>
      <c r="P169" s="15" t="s">
        <v>1422</v>
      </c>
      <c r="Q169" s="15" t="s">
        <v>1423</v>
      </c>
      <c r="R169" s="16">
        <v>44329</v>
      </c>
      <c r="S169" s="17" t="s">
        <v>70</v>
      </c>
      <c r="T169" s="20">
        <f>HYPERLINK("https://vnm.spiral.com.vn//uploaded/20210513/0ab725d2-8560-4395-8afc-e7357509838d.JPEG","07:46:04")</f>
      </c>
      <c r="U169" s="20">
        <f>HYPERLINK("https://vnm.spiral.com.vn//uploaded/20210513/cb50f7fa-e19e-4e5c-a996-350ac2e3775a.JPEG","17:06:38")</f>
      </c>
      <c r="V169" s="18">
        <v>0.3892824074074074</v>
      </c>
      <c r="W169" s="15" t="s">
        <v>1424</v>
      </c>
      <c r="X169" s="15" t="s">
        <v>1425</v>
      </c>
      <c r="Y169" s="15" t="s">
        <v>35</v>
      </c>
      <c r="Z169" s="19">
        <v>0</v>
      </c>
      <c r="AA169" s="15">
        <v>0</v>
      </c>
      <c r="AB169" s="15" t="s">
        <v>35</v>
      </c>
    </row>
    <row r="170">
      <c r="A170" s="15">
        <v>166</v>
      </c>
      <c r="B170" s="15" t="s">
        <v>103</v>
      </c>
      <c r="C170" s="15" t="s">
        <v>1078</v>
      </c>
      <c r="D170" s="15" t="s">
        <v>89</v>
      </c>
      <c r="E170" s="15" t="s">
        <v>90</v>
      </c>
      <c r="F170" s="15" t="s">
        <v>35</v>
      </c>
      <c r="G170" s="15" t="s">
        <v>74</v>
      </c>
      <c r="H170" s="15" t="s">
        <v>1426</v>
      </c>
      <c r="I170" s="15" t="s">
        <v>1427</v>
      </c>
      <c r="J170" s="15" t="s">
        <v>1428</v>
      </c>
      <c r="K170" s="15" t="s">
        <v>436</v>
      </c>
      <c r="L170" s="15" t="s">
        <v>437</v>
      </c>
      <c r="M170" s="15" t="s">
        <v>1429</v>
      </c>
      <c r="N170" s="15" t="s">
        <v>1430</v>
      </c>
      <c r="O170" s="15" t="s">
        <v>156</v>
      </c>
      <c r="P170" s="15" t="s">
        <v>1431</v>
      </c>
      <c r="Q170" s="15" t="s">
        <v>1432</v>
      </c>
      <c r="R170" s="16">
        <v>44329</v>
      </c>
      <c r="S170" s="17" t="s">
        <v>70</v>
      </c>
      <c r="T170" s="20">
        <f>HYPERLINK("https://vnm.spiral.com.vn//uploaded/20210513/c6084d73-deb0-4996-9930-7639d6191114.JPEG","07:37:25")</f>
      </c>
      <c r="U170" s="20">
        <f>HYPERLINK("https://vnm.spiral.com.vn//uploaded/20210513/ec9a251a-5ba9-4114-9ab1-4abcfefb5f63.JPEG","17:06:35")</f>
      </c>
      <c r="V170" s="18">
        <v>0.39525462962962965</v>
      </c>
      <c r="W170" s="15" t="s">
        <v>1433</v>
      </c>
      <c r="X170" s="15" t="s">
        <v>1434</v>
      </c>
      <c r="Y170" s="15" t="s">
        <v>35</v>
      </c>
      <c r="Z170" s="19">
        <v>0</v>
      </c>
      <c r="AA170" s="15">
        <v>0</v>
      </c>
      <c r="AB170" s="15" t="s">
        <v>35</v>
      </c>
    </row>
    <row r="171">
      <c r="A171" s="15">
        <v>167</v>
      </c>
      <c r="B171" s="15" t="s">
        <v>49</v>
      </c>
      <c r="C171" s="15" t="s">
        <v>468</v>
      </c>
      <c r="D171" s="15" t="s">
        <v>35</v>
      </c>
      <c r="E171" s="15" t="s">
        <v>35</v>
      </c>
      <c r="F171" s="15" t="s">
        <v>1435</v>
      </c>
      <c r="G171" s="15" t="s">
        <v>36</v>
      </c>
      <c r="H171" s="15" t="s">
        <v>1436</v>
      </c>
      <c r="I171" s="15" t="s">
        <v>1437</v>
      </c>
      <c r="J171" s="15" t="s">
        <v>1438</v>
      </c>
      <c r="K171" s="15" t="s">
        <v>40</v>
      </c>
      <c r="L171" s="15" t="s">
        <v>41</v>
      </c>
      <c r="M171" s="15" t="s">
        <v>55</v>
      </c>
      <c r="N171" s="15" t="s">
        <v>56</v>
      </c>
      <c r="O171" s="15" t="s">
        <v>44</v>
      </c>
      <c r="P171" s="15" t="s">
        <v>1439</v>
      </c>
      <c r="Q171" s="15" t="s">
        <v>1440</v>
      </c>
      <c r="R171" s="16">
        <v>44329</v>
      </c>
      <c r="S171" s="17" t="s">
        <v>70</v>
      </c>
      <c r="T171" s="20">
        <f>HYPERLINK("https://vnm.spiral.com.vn//uploaded/20210513/66D12C47-695B-4DD1-B868-44F9583C9386.jpg","07:59:57")</f>
      </c>
      <c r="U171" s="20">
        <f>HYPERLINK("https://vnm.spiral.com.vn//uploaded/20210513/EBAD1526-5651-44DB-9269-7AD807547469.jpg","17:06:32")</f>
      </c>
      <c r="V171" s="18">
        <v>0.37957175925925923</v>
      </c>
      <c r="W171" s="15" t="s">
        <v>1441</v>
      </c>
      <c r="X171" s="15" t="s">
        <v>1442</v>
      </c>
      <c r="Y171" s="15" t="s">
        <v>35</v>
      </c>
      <c r="Z171" s="19">
        <v>0</v>
      </c>
      <c r="AA171" s="15">
        <v>0</v>
      </c>
      <c r="AB171" s="15" t="s">
        <v>35</v>
      </c>
    </row>
    <row r="172">
      <c r="A172" s="15">
        <v>168</v>
      </c>
      <c r="B172" s="15" t="s">
        <v>103</v>
      </c>
      <c r="C172" s="15" t="s">
        <v>104</v>
      </c>
      <c r="D172" s="15" t="s">
        <v>357</v>
      </c>
      <c r="E172" s="15" t="s">
        <v>90</v>
      </c>
      <c r="F172" s="15" t="s">
        <v>35</v>
      </c>
      <c r="G172" s="15" t="s">
        <v>74</v>
      </c>
      <c r="H172" s="15" t="s">
        <v>1443</v>
      </c>
      <c r="I172" s="15" t="s">
        <v>1444</v>
      </c>
      <c r="J172" s="15" t="s">
        <v>1445</v>
      </c>
      <c r="K172" s="15" t="s">
        <v>915</v>
      </c>
      <c r="L172" s="15" t="s">
        <v>916</v>
      </c>
      <c r="M172" s="15" t="s">
        <v>897</v>
      </c>
      <c r="N172" s="15" t="s">
        <v>898</v>
      </c>
      <c r="O172" s="15" t="s">
        <v>82</v>
      </c>
      <c r="P172" s="15" t="s">
        <v>1446</v>
      </c>
      <c r="Q172" s="15" t="s">
        <v>1447</v>
      </c>
      <c r="R172" s="16">
        <v>44329</v>
      </c>
      <c r="S172" s="17" t="s">
        <v>70</v>
      </c>
      <c r="T172" s="20">
        <f>HYPERLINK("https://vnm.spiral.com.vn//uploaded/20210513/6d77f736-392f-4461-a202-767ad6693df9.JPEG","15:02:22")</f>
      </c>
      <c r="U172" s="20">
        <f>HYPERLINK("https://vnm.spiral.com.vn//uploaded/20210513/a4f32773-8fec-49d5-bb70-50d2c685ad89.JPEG","17:06:29")</f>
      </c>
      <c r="V172" s="18">
        <v>0.08619212962962963</v>
      </c>
      <c r="W172" s="15" t="s">
        <v>1448</v>
      </c>
      <c r="X172" s="15" t="s">
        <v>1449</v>
      </c>
      <c r="Y172" s="15" t="s">
        <v>35</v>
      </c>
      <c r="Z172" s="19">
        <v>0</v>
      </c>
      <c r="AA172" s="15">
        <v>0</v>
      </c>
      <c r="AB172" s="15" t="s">
        <v>35</v>
      </c>
    </row>
    <row r="173">
      <c r="A173" s="15">
        <v>169</v>
      </c>
      <c r="B173" s="15" t="s">
        <v>87</v>
      </c>
      <c r="C173" s="15" t="s">
        <v>88</v>
      </c>
      <c r="D173" s="15" t="s">
        <v>135</v>
      </c>
      <c r="E173" s="15" t="s">
        <v>116</v>
      </c>
      <c r="F173" s="15" t="s">
        <v>35</v>
      </c>
      <c r="G173" s="15" t="s">
        <v>74</v>
      </c>
      <c r="H173" s="15" t="s">
        <v>1450</v>
      </c>
      <c r="I173" s="15" t="s">
        <v>1451</v>
      </c>
      <c r="J173" s="15" t="s">
        <v>1452</v>
      </c>
      <c r="K173" s="15" t="s">
        <v>139</v>
      </c>
      <c r="L173" s="15" t="s">
        <v>140</v>
      </c>
      <c r="M173" s="15" t="s">
        <v>530</v>
      </c>
      <c r="N173" s="15" t="s">
        <v>531</v>
      </c>
      <c r="O173" s="15" t="s">
        <v>82</v>
      </c>
      <c r="P173" s="15" t="s">
        <v>1453</v>
      </c>
      <c r="Q173" s="15" t="s">
        <v>1454</v>
      </c>
      <c r="R173" s="16">
        <v>44329</v>
      </c>
      <c r="S173" s="17" t="s">
        <v>70</v>
      </c>
      <c r="T173" s="20">
        <f>HYPERLINK("https://vnm.spiral.com.vn//uploaded/20210513/51d3832a-03a5-43f4-8957-ea5328d3182f.JPEG","15:57:33")</f>
      </c>
      <c r="U173" s="20">
        <f>HYPERLINK("https://vnm.spiral.com.vn//uploaded/20210513/1b90dfbb-9dc3-49d1-9484-708a963c8fbc.JPEG","17:06:29")</f>
      </c>
      <c r="V173" s="18">
        <v>0.04787037037037037</v>
      </c>
      <c r="W173" s="15" t="s">
        <v>1455</v>
      </c>
      <c r="X173" s="15" t="s">
        <v>1456</v>
      </c>
      <c r="Y173" s="15" t="s">
        <v>35</v>
      </c>
      <c r="Z173" s="19">
        <v>0</v>
      </c>
      <c r="AA173" s="15">
        <v>0</v>
      </c>
      <c r="AB173" s="15" t="s">
        <v>35</v>
      </c>
    </row>
    <row r="174">
      <c r="A174" s="15">
        <v>170</v>
      </c>
      <c r="B174" s="15" t="s">
        <v>87</v>
      </c>
      <c r="C174" s="15" t="s">
        <v>88</v>
      </c>
      <c r="D174" s="15" t="s">
        <v>35</v>
      </c>
      <c r="E174" s="15" t="s">
        <v>35</v>
      </c>
      <c r="F174" s="15" t="s">
        <v>35</v>
      </c>
      <c r="G174" s="15" t="s">
        <v>74</v>
      </c>
      <c r="H174" s="15" t="s">
        <v>1457</v>
      </c>
      <c r="I174" s="15" t="s">
        <v>1458</v>
      </c>
      <c r="J174" s="15" t="s">
        <v>1459</v>
      </c>
      <c r="K174" s="15" t="s">
        <v>888</v>
      </c>
      <c r="L174" s="15" t="s">
        <v>889</v>
      </c>
      <c r="M174" s="15" t="s">
        <v>924</v>
      </c>
      <c r="N174" s="15" t="s">
        <v>925</v>
      </c>
      <c r="O174" s="15" t="s">
        <v>82</v>
      </c>
      <c r="P174" s="15" t="s">
        <v>1460</v>
      </c>
      <c r="Q174" s="15" t="s">
        <v>1461</v>
      </c>
      <c r="R174" s="16">
        <v>44329</v>
      </c>
      <c r="S174" s="17" t="s">
        <v>70</v>
      </c>
      <c r="T174" s="20">
        <f>HYPERLINK("https://vnm.spiral.com.vn//uploaded/20210513/988EDC88-3104-4EEA-90EB-9E907741D729.jpg","16:18:50")</f>
      </c>
      <c r="U174" s="20">
        <f>HYPERLINK("https://vnm.spiral.com.vn//uploaded/20210513/E43655F2-4D16-4E8D-A912-F1909561CFB6.jpg","17:06:21")</f>
      </c>
      <c r="V174" s="18">
        <v>0.032997685185185185</v>
      </c>
      <c r="W174" s="15" t="s">
        <v>1462</v>
      </c>
      <c r="X174" s="15" t="s">
        <v>1463</v>
      </c>
      <c r="Y174" s="15" t="s">
        <v>35</v>
      </c>
      <c r="Z174" s="19">
        <v>0</v>
      </c>
      <c r="AA174" s="15">
        <v>0</v>
      </c>
      <c r="AB174" s="15" t="s">
        <v>35</v>
      </c>
    </row>
    <row r="175">
      <c r="A175" s="15">
        <v>171</v>
      </c>
      <c r="B175" s="15" t="s">
        <v>49</v>
      </c>
      <c r="C175" s="15" t="s">
        <v>369</v>
      </c>
      <c r="D175" s="15" t="s">
        <v>35</v>
      </c>
      <c r="E175" s="15" t="s">
        <v>35</v>
      </c>
      <c r="F175" s="15" t="s">
        <v>35</v>
      </c>
      <c r="G175" s="15" t="s">
        <v>35</v>
      </c>
      <c r="H175" s="15" t="s">
        <v>1464</v>
      </c>
      <c r="I175" s="15" t="s">
        <v>1465</v>
      </c>
      <c r="J175" s="15" t="s">
        <v>1466</v>
      </c>
      <c r="K175" s="15" t="s">
        <v>40</v>
      </c>
      <c r="L175" s="15" t="s">
        <v>41</v>
      </c>
      <c r="M175" s="15" t="s">
        <v>55</v>
      </c>
      <c r="N175" s="15" t="s">
        <v>56</v>
      </c>
      <c r="O175" s="15" t="s">
        <v>44</v>
      </c>
      <c r="P175" s="15" t="s">
        <v>1467</v>
      </c>
      <c r="Q175" s="15" t="s">
        <v>1468</v>
      </c>
      <c r="R175" s="16">
        <v>44329</v>
      </c>
      <c r="S175" s="17" t="s">
        <v>376</v>
      </c>
      <c r="T175" s="20">
        <f>HYPERLINK("https://vnm.spiral.com.vn//uploaded/20210513/2bc03640-1eb2-45e2-beec-34008228626e.JPEG","09:03:55")</f>
      </c>
      <c r="U175" s="20">
        <f>HYPERLINK("https://vnm.spiral.com.vn//uploaded/20210513/871e330b-6489-4c10-bc30-ca6f6f0395dd.JPEG","17:06:20")</f>
      </c>
      <c r="V175" s="18">
        <v>0.33501157407407406</v>
      </c>
      <c r="W175" s="15" t="s">
        <v>1469</v>
      </c>
      <c r="X175" s="15" t="s">
        <v>1470</v>
      </c>
      <c r="Y175" s="15" t="s">
        <v>35</v>
      </c>
      <c r="Z175" s="19">
        <v>0</v>
      </c>
      <c r="AA175" s="15">
        <v>0</v>
      </c>
      <c r="AB175" s="15" t="s">
        <v>35</v>
      </c>
    </row>
    <row r="176">
      <c r="A176" s="15">
        <v>172</v>
      </c>
      <c r="B176" s="15" t="s">
        <v>103</v>
      </c>
      <c r="C176" s="15" t="s">
        <v>1078</v>
      </c>
      <c r="D176" s="15" t="s">
        <v>35</v>
      </c>
      <c r="E176" s="15" t="s">
        <v>35</v>
      </c>
      <c r="F176" s="15" t="s">
        <v>1471</v>
      </c>
      <c r="G176" s="15" t="s">
        <v>36</v>
      </c>
      <c r="H176" s="15" t="s">
        <v>1472</v>
      </c>
      <c r="I176" s="15" t="s">
        <v>1473</v>
      </c>
      <c r="J176" s="15" t="s">
        <v>1474</v>
      </c>
      <c r="K176" s="15" t="s">
        <v>40</v>
      </c>
      <c r="L176" s="15" t="s">
        <v>41</v>
      </c>
      <c r="M176" s="15" t="s">
        <v>565</v>
      </c>
      <c r="N176" s="15" t="s">
        <v>566</v>
      </c>
      <c r="O176" s="15" t="s">
        <v>44</v>
      </c>
      <c r="P176" s="15" t="s">
        <v>1475</v>
      </c>
      <c r="Q176" s="15" t="s">
        <v>1476</v>
      </c>
      <c r="R176" s="16">
        <v>44329</v>
      </c>
      <c r="S176" s="17" t="s">
        <v>59</v>
      </c>
      <c r="T176" s="20">
        <f>HYPERLINK("https://vnm.spiral.com.vn//uploaded/20210513/460E5959-B43C-4C2F-91EF-4E39C0EA0EE9.jpg","12:47:51")</f>
      </c>
      <c r="U176" s="20">
        <f>HYPERLINK("https://vnm.spiral.com.vn//uploaded/20210513/897E3140-2A8C-477E-AE38-70658F042064.jpg","17:06:15")</f>
      </c>
      <c r="V176" s="18">
        <v>0.17944444444444443</v>
      </c>
      <c r="W176" s="15" t="s">
        <v>1477</v>
      </c>
      <c r="X176" s="15" t="s">
        <v>1478</v>
      </c>
      <c r="Y176" s="15" t="s">
        <v>35</v>
      </c>
      <c r="Z176" s="19">
        <v>0</v>
      </c>
      <c r="AA176" s="15">
        <v>0</v>
      </c>
      <c r="AB176" s="15" t="s">
        <v>35</v>
      </c>
    </row>
    <row r="177">
      <c r="A177" s="15">
        <v>173</v>
      </c>
      <c r="B177" s="15" t="s">
        <v>61</v>
      </c>
      <c r="C177" s="15" t="s">
        <v>1106</v>
      </c>
      <c r="D177" s="15" t="s">
        <v>35</v>
      </c>
      <c r="E177" s="15" t="s">
        <v>35</v>
      </c>
      <c r="F177" s="15" t="s">
        <v>1479</v>
      </c>
      <c r="G177" s="15" t="s">
        <v>36</v>
      </c>
      <c r="H177" s="15" t="s">
        <v>1480</v>
      </c>
      <c r="I177" s="15" t="s">
        <v>1481</v>
      </c>
      <c r="J177" s="15" t="s">
        <v>1482</v>
      </c>
      <c r="K177" s="15" t="s">
        <v>40</v>
      </c>
      <c r="L177" s="15" t="s">
        <v>41</v>
      </c>
      <c r="M177" s="15" t="s">
        <v>66</v>
      </c>
      <c r="N177" s="15" t="s">
        <v>67</v>
      </c>
      <c r="O177" s="15" t="s">
        <v>44</v>
      </c>
      <c r="P177" s="15" t="s">
        <v>1483</v>
      </c>
      <c r="Q177" s="15" t="s">
        <v>1484</v>
      </c>
      <c r="R177" s="16">
        <v>44329</v>
      </c>
      <c r="S177" s="17" t="s">
        <v>70</v>
      </c>
      <c r="T177" s="20">
        <f>HYPERLINK("https://vnm.spiral.com.vn//uploaded/20210513/DF6999F5-5EAE-466C-86C5-15444DF37AAE.jpg","07:55:59")</f>
      </c>
      <c r="U177" s="20">
        <f>HYPERLINK("https://vnm.spiral.com.vn//uploaded/20210513/2C7D0B9B-66EF-4724-A903-5C7D6EAA0B14.jpg","17:06:14")</f>
      </c>
      <c r="V177" s="18">
        <v>0.38211805555555556</v>
      </c>
      <c r="W177" s="15" t="s">
        <v>1485</v>
      </c>
      <c r="X177" s="15" t="s">
        <v>1486</v>
      </c>
      <c r="Y177" s="15" t="s">
        <v>35</v>
      </c>
      <c r="Z177" s="19">
        <v>0</v>
      </c>
      <c r="AA177" s="15">
        <v>0</v>
      </c>
      <c r="AB177" s="15" t="s">
        <v>35</v>
      </c>
    </row>
    <row r="178">
      <c r="A178" s="15">
        <v>174</v>
      </c>
      <c r="B178" s="15" t="s">
        <v>61</v>
      </c>
      <c r="C178" s="15" t="s">
        <v>712</v>
      </c>
      <c r="D178" s="15" t="s">
        <v>357</v>
      </c>
      <c r="E178" s="15" t="s">
        <v>90</v>
      </c>
      <c r="F178" s="15" t="s">
        <v>35</v>
      </c>
      <c r="G178" s="15" t="s">
        <v>74</v>
      </c>
      <c r="H178" s="15" t="s">
        <v>1487</v>
      </c>
      <c r="I178" s="15" t="s">
        <v>1488</v>
      </c>
      <c r="J178" s="15" t="s">
        <v>1489</v>
      </c>
      <c r="K178" s="15" t="s">
        <v>309</v>
      </c>
      <c r="L178" s="15" t="s">
        <v>310</v>
      </c>
      <c r="M178" s="15" t="s">
        <v>778</v>
      </c>
      <c r="N178" s="15" t="s">
        <v>779</v>
      </c>
      <c r="O178" s="15" t="s">
        <v>82</v>
      </c>
      <c r="P178" s="15" t="s">
        <v>1490</v>
      </c>
      <c r="Q178" s="15" t="s">
        <v>1491</v>
      </c>
      <c r="R178" s="16">
        <v>44329</v>
      </c>
      <c r="S178" s="17" t="s">
        <v>70</v>
      </c>
      <c r="T178" s="20">
        <f>HYPERLINK("https://vnm.spiral.com.vn//uploaded/20210513/937e3fba-97e2-4afc-a7b7-a77df4cfd2a9.JPEG","07:47:38")</f>
      </c>
      <c r="U178" s="20">
        <f>HYPERLINK("https://vnm.spiral.com.vn//uploaded/20210513/42626618-6cfd-4016-9d5f-ed36d4202e6a.JPEG","17:06:14")</f>
      </c>
      <c r="V178" s="18">
        <v>0.3879166666666667</v>
      </c>
      <c r="W178" s="15" t="s">
        <v>1492</v>
      </c>
      <c r="X178" s="15" t="s">
        <v>1493</v>
      </c>
      <c r="Y178" s="15" t="s">
        <v>35</v>
      </c>
      <c r="Z178" s="19">
        <v>0</v>
      </c>
      <c r="AA178" s="15">
        <v>0</v>
      </c>
      <c r="AB178" s="15" t="s">
        <v>35</v>
      </c>
    </row>
    <row r="179">
      <c r="A179" s="15">
        <v>175</v>
      </c>
      <c r="B179" s="15" t="s">
        <v>87</v>
      </c>
      <c r="C179" s="15" t="s">
        <v>88</v>
      </c>
      <c r="D179" s="15" t="s">
        <v>135</v>
      </c>
      <c r="E179" s="15" t="s">
        <v>116</v>
      </c>
      <c r="F179" s="15" t="s">
        <v>35</v>
      </c>
      <c r="G179" s="15" t="s">
        <v>74</v>
      </c>
      <c r="H179" s="15" t="s">
        <v>1494</v>
      </c>
      <c r="I179" s="15" t="s">
        <v>1495</v>
      </c>
      <c r="J179" s="15" t="s">
        <v>1496</v>
      </c>
      <c r="K179" s="15" t="s">
        <v>390</v>
      </c>
      <c r="L179" s="15" t="s">
        <v>391</v>
      </c>
      <c r="M179" s="15" t="s">
        <v>392</v>
      </c>
      <c r="N179" s="15" t="s">
        <v>393</v>
      </c>
      <c r="O179" s="15" t="s">
        <v>82</v>
      </c>
      <c r="P179" s="15" t="s">
        <v>1497</v>
      </c>
      <c r="Q179" s="15" t="s">
        <v>1498</v>
      </c>
      <c r="R179" s="16">
        <v>44329</v>
      </c>
      <c r="S179" s="17" t="s">
        <v>70</v>
      </c>
      <c r="T179" s="20">
        <f>HYPERLINK("https://vnm.spiral.com.vn//uploaded/20210513/0bd9b834-6828-4bc3-b11f-1a7381725292.JPEG","17:06:05")</f>
      </c>
      <c r="U179" s="18"/>
      <c r="V179" s="18" t="s">
        <v>35</v>
      </c>
      <c r="W179" s="15" t="s">
        <v>1499</v>
      </c>
      <c r="X179" s="15" t="s">
        <v>35</v>
      </c>
      <c r="Y179" s="15" t="s">
        <v>35</v>
      </c>
      <c r="Z179" s="19">
        <v>0</v>
      </c>
      <c r="AA179" s="15">
        <v>0</v>
      </c>
      <c r="AB179" s="15" t="s">
        <v>35</v>
      </c>
    </row>
    <row r="180">
      <c r="A180" s="15">
        <v>176</v>
      </c>
      <c r="B180" s="15" t="s">
        <v>61</v>
      </c>
      <c r="C180" s="15" t="s">
        <v>62</v>
      </c>
      <c r="D180" s="15" t="s">
        <v>35</v>
      </c>
      <c r="E180" s="15" t="s">
        <v>35</v>
      </c>
      <c r="F180" s="15" t="s">
        <v>35</v>
      </c>
      <c r="G180" s="15" t="s">
        <v>36</v>
      </c>
      <c r="H180" s="15" t="s">
        <v>1500</v>
      </c>
      <c r="I180" s="15" t="s">
        <v>1501</v>
      </c>
      <c r="J180" s="15" t="s">
        <v>1502</v>
      </c>
      <c r="K180" s="15" t="s">
        <v>40</v>
      </c>
      <c r="L180" s="15" t="s">
        <v>41</v>
      </c>
      <c r="M180" s="15" t="s">
        <v>66</v>
      </c>
      <c r="N180" s="15" t="s">
        <v>67</v>
      </c>
      <c r="O180" s="15" t="s">
        <v>44</v>
      </c>
      <c r="P180" s="15" t="s">
        <v>1503</v>
      </c>
      <c r="Q180" s="15" t="s">
        <v>1504</v>
      </c>
      <c r="R180" s="16">
        <v>44329</v>
      </c>
      <c r="S180" s="17" t="s">
        <v>1112</v>
      </c>
      <c r="T180" s="20">
        <f>HYPERLINK("https://vnm.spiral.com.vn//uploaded/20210513/2ec0dc9f-1d23-49a7-91a4-2cf836242fd5.JPEG","08:08:56")</f>
      </c>
      <c r="U180" s="20">
        <f>HYPERLINK("https://vnm.spiral.com.vn//uploaded/20210513/89cd0735-5c6e-4857-8101-58a243b5b524.JPEG","17:06:04")</f>
      </c>
      <c r="V180" s="18">
        <v>0.37300925925925926</v>
      </c>
      <c r="W180" s="15" t="s">
        <v>1505</v>
      </c>
      <c r="X180" s="15" t="s">
        <v>1506</v>
      </c>
      <c r="Y180" s="15" t="s">
        <v>35</v>
      </c>
      <c r="Z180" s="19">
        <v>0</v>
      </c>
      <c r="AA180" s="15">
        <v>0</v>
      </c>
      <c r="AB180" s="15" t="s">
        <v>35</v>
      </c>
    </row>
    <row r="181">
      <c r="A181" s="15">
        <v>177</v>
      </c>
      <c r="B181" s="15" t="s">
        <v>246</v>
      </c>
      <c r="C181" s="15" t="s">
        <v>259</v>
      </c>
      <c r="D181" s="15" t="s">
        <v>148</v>
      </c>
      <c r="E181" s="15" t="s">
        <v>90</v>
      </c>
      <c r="F181" s="15" t="s">
        <v>35</v>
      </c>
      <c r="G181" s="15" t="s">
        <v>74</v>
      </c>
      <c r="H181" s="15" t="s">
        <v>1507</v>
      </c>
      <c r="I181" s="15" t="s">
        <v>1508</v>
      </c>
      <c r="J181" s="15" t="s">
        <v>1509</v>
      </c>
      <c r="K181" s="15" t="s">
        <v>263</v>
      </c>
      <c r="L181" s="15" t="s">
        <v>264</v>
      </c>
      <c r="M181" s="15" t="s">
        <v>1510</v>
      </c>
      <c r="N181" s="15" t="s">
        <v>1511</v>
      </c>
      <c r="O181" s="15" t="s">
        <v>156</v>
      </c>
      <c r="P181" s="15" t="s">
        <v>1512</v>
      </c>
      <c r="Q181" s="15" t="s">
        <v>1513</v>
      </c>
      <c r="R181" s="16">
        <v>44329</v>
      </c>
      <c r="S181" s="17" t="s">
        <v>112</v>
      </c>
      <c r="T181" s="20">
        <f>HYPERLINK("https://vnm.spiral.com.vn//uploaded/20210513/D3C1EF28-AE26-4A29-AA36-60BD7ADA4ADD.jpg","13:58:05")</f>
      </c>
      <c r="U181" s="20">
        <f>HYPERLINK("https://vnm.spiral.com.vn//uploaded/20210513/B59A7135-5599-4332-A54B-8DB84EB3A38A.jpg","17:06:02")</f>
      </c>
      <c r="V181" s="18">
        <v>0.13052083333333334</v>
      </c>
      <c r="W181" s="15" t="s">
        <v>1514</v>
      </c>
      <c r="X181" s="15" t="s">
        <v>1515</v>
      </c>
      <c r="Y181" s="15" t="s">
        <v>35</v>
      </c>
      <c r="Z181" s="19">
        <v>0</v>
      </c>
      <c r="AA181" s="15">
        <v>0</v>
      </c>
      <c r="AB181" s="15" t="s">
        <v>35</v>
      </c>
    </row>
    <row r="182">
      <c r="A182" s="15">
        <v>178</v>
      </c>
      <c r="B182" s="15" t="s">
        <v>343</v>
      </c>
      <c r="C182" s="15" t="s">
        <v>344</v>
      </c>
      <c r="D182" s="15" t="s">
        <v>823</v>
      </c>
      <c r="E182" s="15" t="s">
        <v>116</v>
      </c>
      <c r="F182" s="15" t="s">
        <v>35</v>
      </c>
      <c r="G182" s="15" t="s">
        <v>74</v>
      </c>
      <c r="H182" s="15" t="s">
        <v>1516</v>
      </c>
      <c r="I182" s="15" t="s">
        <v>1517</v>
      </c>
      <c r="J182" s="15" t="s">
        <v>1518</v>
      </c>
      <c r="K182" s="15" t="s">
        <v>540</v>
      </c>
      <c r="L182" s="15" t="s">
        <v>541</v>
      </c>
      <c r="M182" s="15" t="s">
        <v>584</v>
      </c>
      <c r="N182" s="15" t="s">
        <v>585</v>
      </c>
      <c r="O182" s="15" t="s">
        <v>98</v>
      </c>
      <c r="P182" s="15" t="s">
        <v>827</v>
      </c>
      <c r="Q182" s="15" t="s">
        <v>828</v>
      </c>
      <c r="R182" s="16">
        <v>44329</v>
      </c>
      <c r="S182" s="17" t="s">
        <v>70</v>
      </c>
      <c r="T182" s="20">
        <f>HYPERLINK("https://vnm.spiral.com.vn//uploaded/20210513/CD16960D-39C0-4D72-9F0A-95E1DE0801EB.jpg","11:55:19")</f>
      </c>
      <c r="U182" s="20">
        <f>HYPERLINK("https://vnm.spiral.com.vn//uploaded/20210513/0B8E4BB1-367E-4264-A67D-0BD259F2EDA5.jpg","17:06:00")</f>
      </c>
      <c r="V182" s="18">
        <v>0.21575231481481483</v>
      </c>
      <c r="W182" s="15" t="s">
        <v>1519</v>
      </c>
      <c r="X182" s="15" t="s">
        <v>1520</v>
      </c>
      <c r="Y182" s="15" t="s">
        <v>35</v>
      </c>
      <c r="Z182" s="19">
        <v>0</v>
      </c>
      <c r="AA182" s="15">
        <v>0</v>
      </c>
      <c r="AB182" s="15" t="s">
        <v>35</v>
      </c>
    </row>
    <row r="183">
      <c r="A183" s="15">
        <v>179</v>
      </c>
      <c r="B183" s="15" t="s">
        <v>343</v>
      </c>
      <c r="C183" s="15" t="s">
        <v>344</v>
      </c>
      <c r="D183" s="15" t="s">
        <v>379</v>
      </c>
      <c r="E183" s="15" t="s">
        <v>35</v>
      </c>
      <c r="F183" s="15" t="s">
        <v>35</v>
      </c>
      <c r="G183" s="15" t="s">
        <v>35</v>
      </c>
      <c r="H183" s="15" t="s">
        <v>1521</v>
      </c>
      <c r="I183" s="15" t="s">
        <v>1522</v>
      </c>
      <c r="J183" s="15" t="s">
        <v>1523</v>
      </c>
      <c r="K183" s="15" t="s">
        <v>349</v>
      </c>
      <c r="L183" s="15" t="s">
        <v>350</v>
      </c>
      <c r="M183" s="15" t="s">
        <v>1524</v>
      </c>
      <c r="N183" s="15" t="s">
        <v>429</v>
      </c>
      <c r="O183" s="15" t="s">
        <v>156</v>
      </c>
      <c r="P183" s="15" t="s">
        <v>1525</v>
      </c>
      <c r="Q183" s="15" t="s">
        <v>1526</v>
      </c>
      <c r="R183" s="16">
        <v>44329</v>
      </c>
      <c r="S183" s="17" t="s">
        <v>256</v>
      </c>
      <c r="T183" s="20">
        <f>HYPERLINK("https://vnm.spiral.com.vn//uploaded/20210513/808266C9-9A9F-4403-AF96-086FAF6F9FE8.jpg","07:29:31")</f>
      </c>
      <c r="U183" s="20">
        <f>HYPERLINK("https://vnm.spiral.com.vn//uploaded/20210513/79FCB8B6-4CE2-4C42-820B-ADB8F2A64829.jpg","17:06:00")</f>
      </c>
      <c r="V183" s="18">
        <v>0.40033564814814815</v>
      </c>
      <c r="W183" s="15" t="s">
        <v>1527</v>
      </c>
      <c r="X183" s="15" t="s">
        <v>1528</v>
      </c>
      <c r="Y183" s="15" t="s">
        <v>35</v>
      </c>
      <c r="Z183" s="19">
        <v>0</v>
      </c>
      <c r="AA183" s="15">
        <v>0</v>
      </c>
      <c r="AB183" s="15" t="s">
        <v>35</v>
      </c>
    </row>
    <row r="184">
      <c r="A184" s="15">
        <v>180</v>
      </c>
      <c r="B184" s="15" t="s">
        <v>33</v>
      </c>
      <c r="C184" s="15" t="s">
        <v>765</v>
      </c>
      <c r="D184" s="15" t="s">
        <v>35</v>
      </c>
      <c r="E184" s="15" t="s">
        <v>35</v>
      </c>
      <c r="F184" s="15" t="s">
        <v>35</v>
      </c>
      <c r="G184" s="15" t="s">
        <v>74</v>
      </c>
      <c r="H184" s="15" t="s">
        <v>1529</v>
      </c>
      <c r="I184" s="15" t="s">
        <v>1530</v>
      </c>
      <c r="J184" s="15" t="s">
        <v>1531</v>
      </c>
      <c r="K184" s="15" t="s">
        <v>769</v>
      </c>
      <c r="L184" s="15" t="s">
        <v>770</v>
      </c>
      <c r="M184" s="15" t="s">
        <v>1532</v>
      </c>
      <c r="N184" s="15" t="s">
        <v>1533</v>
      </c>
      <c r="O184" s="15" t="s">
        <v>156</v>
      </c>
      <c r="P184" s="15" t="s">
        <v>1534</v>
      </c>
      <c r="Q184" s="15" t="s">
        <v>255</v>
      </c>
      <c r="R184" s="16">
        <v>44329</v>
      </c>
      <c r="S184" s="17" t="s">
        <v>256</v>
      </c>
      <c r="T184" s="20">
        <f>HYPERLINK("https://vnm.spiral.com.vn//uploaded/20210513/DEFC21FA-85D2-4212-B159-17ACA5A0D678.jpg","07:17:26")</f>
      </c>
      <c r="U184" s="20">
        <f>HYPERLINK("https://vnm.spiral.com.vn//uploaded/20210513/73966D1A-6BAC-457B-ACC8-721B5E7EBC98.jpg","17:05:55")</f>
      </c>
      <c r="V184" s="18">
        <v>0.4086689814814815</v>
      </c>
      <c r="W184" s="15" t="s">
        <v>1535</v>
      </c>
      <c r="X184" s="15" t="s">
        <v>1536</v>
      </c>
      <c r="Y184" s="15" t="s">
        <v>35</v>
      </c>
      <c r="Z184" s="19">
        <v>0</v>
      </c>
      <c r="AA184" s="15">
        <v>0</v>
      </c>
      <c r="AB184" s="15" t="s">
        <v>35</v>
      </c>
    </row>
    <row r="185">
      <c r="A185" s="15">
        <v>181</v>
      </c>
      <c r="B185" s="15" t="s">
        <v>33</v>
      </c>
      <c r="C185" s="15" t="s">
        <v>211</v>
      </c>
      <c r="D185" s="15" t="s">
        <v>35</v>
      </c>
      <c r="E185" s="15" t="s">
        <v>35</v>
      </c>
      <c r="F185" s="15" t="s">
        <v>35</v>
      </c>
      <c r="G185" s="15" t="s">
        <v>36</v>
      </c>
      <c r="H185" s="15" t="s">
        <v>1537</v>
      </c>
      <c r="I185" s="15" t="s">
        <v>1538</v>
      </c>
      <c r="J185" s="15" t="s">
        <v>1539</v>
      </c>
      <c r="K185" s="15" t="s">
        <v>40</v>
      </c>
      <c r="L185" s="15" t="s">
        <v>41</v>
      </c>
      <c r="M185" s="15" t="s">
        <v>42</v>
      </c>
      <c r="N185" s="15" t="s">
        <v>43</v>
      </c>
      <c r="O185" s="15" t="s">
        <v>44</v>
      </c>
      <c r="P185" s="15" t="s">
        <v>1540</v>
      </c>
      <c r="Q185" s="15" t="s">
        <v>1541</v>
      </c>
      <c r="R185" s="16">
        <v>44329</v>
      </c>
      <c r="S185" s="17" t="s">
        <v>70</v>
      </c>
      <c r="T185" s="20">
        <f>HYPERLINK("https://vnm.spiral.com.vn//uploaded/20210513/0BEF0C32-87DE-4D85-9F1A-41BD4D5F15F9.jpg","07:45:57")</f>
      </c>
      <c r="U185" s="20">
        <f>HYPERLINK("https://vnm.spiral.com.vn//uploaded/20210513/75DF9FEF-C31E-46E5-B92F-889AB4630CBD.jpg","17:05:51")</f>
      </c>
      <c r="V185" s="18">
        <v>0.38881944444444444</v>
      </c>
      <c r="W185" s="15" t="s">
        <v>1542</v>
      </c>
      <c r="X185" s="15" t="s">
        <v>1543</v>
      </c>
      <c r="Y185" s="15" t="s">
        <v>35</v>
      </c>
      <c r="Z185" s="19">
        <v>0</v>
      </c>
      <c r="AA185" s="15">
        <v>0</v>
      </c>
      <c r="AB185" s="15" t="s">
        <v>35</v>
      </c>
    </row>
    <row r="186">
      <c r="A186" s="15">
        <v>182</v>
      </c>
      <c r="B186" s="15" t="s">
        <v>87</v>
      </c>
      <c r="C186" s="15" t="s">
        <v>88</v>
      </c>
      <c r="D186" s="15" t="s">
        <v>35</v>
      </c>
      <c r="E186" s="15" t="s">
        <v>35</v>
      </c>
      <c r="F186" s="15" t="s">
        <v>35</v>
      </c>
      <c r="G186" s="15" t="s">
        <v>74</v>
      </c>
      <c r="H186" s="15" t="s">
        <v>1544</v>
      </c>
      <c r="I186" s="15" t="s">
        <v>1545</v>
      </c>
      <c r="J186" s="15" t="s">
        <v>1546</v>
      </c>
      <c r="K186" s="15" t="s">
        <v>888</v>
      </c>
      <c r="L186" s="15" t="s">
        <v>889</v>
      </c>
      <c r="M186" s="15" t="s">
        <v>890</v>
      </c>
      <c r="N186" s="15" t="s">
        <v>891</v>
      </c>
      <c r="O186" s="15" t="s">
        <v>82</v>
      </c>
      <c r="P186" s="15" t="s">
        <v>1547</v>
      </c>
      <c r="Q186" s="15" t="s">
        <v>1548</v>
      </c>
      <c r="R186" s="16">
        <v>44329</v>
      </c>
      <c r="S186" s="17" t="s">
        <v>70</v>
      </c>
      <c r="T186" s="20">
        <f>HYPERLINK("https://vnm.spiral.com.vn//uploaded/20210513/EF56AC64-FD32-448E-8A68-9ADE177C3979.jpg","16:23:56")</f>
      </c>
      <c r="U186" s="20">
        <f>HYPERLINK("https://vnm.spiral.com.vn//uploaded/20210513/08487FDC-2254-4514-A9EB-36FAE52EA67B.jpg","17:05:48")</f>
      </c>
      <c r="V186" s="18">
        <v>0.029074074074074075</v>
      </c>
      <c r="W186" s="15" t="s">
        <v>1549</v>
      </c>
      <c r="X186" s="15" t="s">
        <v>1550</v>
      </c>
      <c r="Y186" s="15" t="s">
        <v>35</v>
      </c>
      <c r="Z186" s="19">
        <v>0</v>
      </c>
      <c r="AA186" s="15">
        <v>0</v>
      </c>
      <c r="AB186" s="15" t="s">
        <v>35</v>
      </c>
    </row>
    <row r="187">
      <c r="A187" s="15">
        <v>183</v>
      </c>
      <c r="B187" s="15" t="s">
        <v>87</v>
      </c>
      <c r="C187" s="15" t="s">
        <v>88</v>
      </c>
      <c r="D187" s="15" t="s">
        <v>357</v>
      </c>
      <c r="E187" s="15" t="s">
        <v>90</v>
      </c>
      <c r="F187" s="15" t="s">
        <v>35</v>
      </c>
      <c r="G187" s="15" t="s">
        <v>74</v>
      </c>
      <c r="H187" s="15" t="s">
        <v>1551</v>
      </c>
      <c r="I187" s="15" t="s">
        <v>1552</v>
      </c>
      <c r="J187" s="15" t="s">
        <v>1553</v>
      </c>
      <c r="K187" s="15" t="s">
        <v>94</v>
      </c>
      <c r="L187" s="15" t="s">
        <v>95</v>
      </c>
      <c r="M187" s="15" t="s">
        <v>1554</v>
      </c>
      <c r="N187" s="15" t="s">
        <v>1555</v>
      </c>
      <c r="O187" s="15" t="s">
        <v>82</v>
      </c>
      <c r="P187" s="15" t="s">
        <v>1556</v>
      </c>
      <c r="Q187" s="15" t="s">
        <v>1557</v>
      </c>
      <c r="R187" s="16">
        <v>44329</v>
      </c>
      <c r="S187" s="17" t="s">
        <v>70</v>
      </c>
      <c r="T187" s="20">
        <f>HYPERLINK("https://vnm.spiral.com.vn//uploaded/20210513/59A60568-5073-4B0B-8F32-AA6241F44438.jpg","11:46:15")</f>
      </c>
      <c r="U187" s="20">
        <f>HYPERLINK("https://vnm.spiral.com.vn//uploaded/20210513/762208CC-D0B8-4AF4-AAC3-191CE4119104.jpg","17:05:41")</f>
      </c>
      <c r="V187" s="18">
        <v>0.2218287037037037</v>
      </c>
      <c r="W187" s="15" t="s">
        <v>1558</v>
      </c>
      <c r="X187" s="15" t="s">
        <v>1559</v>
      </c>
      <c r="Y187" s="15" t="s">
        <v>35</v>
      </c>
      <c r="Z187" s="19">
        <v>0</v>
      </c>
      <c r="AA187" s="15">
        <v>0</v>
      </c>
      <c r="AB187" s="15" t="s">
        <v>35</v>
      </c>
    </row>
    <row r="188">
      <c r="A188" s="15">
        <v>184</v>
      </c>
      <c r="B188" s="15" t="s">
        <v>33</v>
      </c>
      <c r="C188" s="15" t="s">
        <v>979</v>
      </c>
      <c r="D188" s="15" t="s">
        <v>35</v>
      </c>
      <c r="E188" s="15" t="s">
        <v>35</v>
      </c>
      <c r="F188" s="15" t="s">
        <v>35</v>
      </c>
      <c r="G188" s="15" t="s">
        <v>74</v>
      </c>
      <c r="H188" s="15" t="s">
        <v>1560</v>
      </c>
      <c r="I188" s="15" t="s">
        <v>1561</v>
      </c>
      <c r="J188" s="15" t="s">
        <v>1562</v>
      </c>
      <c r="K188" s="15" t="s">
        <v>540</v>
      </c>
      <c r="L188" s="15" t="s">
        <v>541</v>
      </c>
      <c r="M188" s="15" t="s">
        <v>769</v>
      </c>
      <c r="N188" s="15" t="s">
        <v>770</v>
      </c>
      <c r="O188" s="15" t="s">
        <v>82</v>
      </c>
      <c r="P188" s="15" t="s">
        <v>1563</v>
      </c>
      <c r="Q188" s="15" t="s">
        <v>1564</v>
      </c>
      <c r="R188" s="16">
        <v>44329</v>
      </c>
      <c r="S188" s="17" t="s">
        <v>70</v>
      </c>
      <c r="T188" s="20">
        <f>HYPERLINK("https://vnm.spiral.com.vn//uploaded/20210513/919446F8-822E-43A6-9EBD-9A82156E649F.jpg","07:56:24")</f>
      </c>
      <c r="U188" s="20">
        <f>HYPERLINK("https://vnm.spiral.com.vn//uploaded/20210513/7A8CCEF6-E4A4-4CB4-B564-63E6164D16C7.jpg","17:05:41")</f>
      </c>
      <c r="V188" s="18">
        <v>0.38144675925925925</v>
      </c>
      <c r="W188" s="15" t="s">
        <v>1565</v>
      </c>
      <c r="X188" s="15" t="s">
        <v>1566</v>
      </c>
      <c r="Y188" s="15" t="s">
        <v>35</v>
      </c>
      <c r="Z188" s="19">
        <v>0</v>
      </c>
      <c r="AA188" s="15">
        <v>0</v>
      </c>
      <c r="AB188" s="15" t="s">
        <v>35</v>
      </c>
    </row>
    <row r="189">
      <c r="A189" s="15">
        <v>185</v>
      </c>
      <c r="B189" s="15" t="s">
        <v>87</v>
      </c>
      <c r="C189" s="15" t="s">
        <v>88</v>
      </c>
      <c r="D189" s="15" t="s">
        <v>357</v>
      </c>
      <c r="E189" s="15" t="s">
        <v>90</v>
      </c>
      <c r="F189" s="15" t="s">
        <v>35</v>
      </c>
      <c r="G189" s="15" t="s">
        <v>74</v>
      </c>
      <c r="H189" s="15" t="s">
        <v>1567</v>
      </c>
      <c r="I189" s="15" t="s">
        <v>1568</v>
      </c>
      <c r="J189" s="15" t="s">
        <v>1569</v>
      </c>
      <c r="K189" s="15" t="s">
        <v>94</v>
      </c>
      <c r="L189" s="15" t="s">
        <v>95</v>
      </c>
      <c r="M189" s="15" t="s">
        <v>1570</v>
      </c>
      <c r="N189" s="15" t="s">
        <v>1571</v>
      </c>
      <c r="O189" s="15" t="s">
        <v>98</v>
      </c>
      <c r="P189" s="15" t="s">
        <v>1572</v>
      </c>
      <c r="Q189" s="15" t="s">
        <v>1573</v>
      </c>
      <c r="R189" s="16">
        <v>44329</v>
      </c>
      <c r="S189" s="17" t="s">
        <v>70</v>
      </c>
      <c r="T189" s="20">
        <f>HYPERLINK("https://vnm.spiral.com.vn//uploaded/20210513/f81b30d2-24fe-47cf-9ede-f7c9e2792e90.JPEG","16:23:53")</f>
      </c>
      <c r="U189" s="20">
        <f>HYPERLINK("https://vnm.spiral.com.vn//uploaded/20210513/7c0c80e2-c74d-4418-924e-ef968c2d1122.JPEG","17:05:35")</f>
      </c>
      <c r="V189" s="18">
        <v>0.028958333333333332</v>
      </c>
      <c r="W189" s="15" t="s">
        <v>1574</v>
      </c>
      <c r="X189" s="15" t="s">
        <v>1575</v>
      </c>
      <c r="Y189" s="15" t="s">
        <v>35</v>
      </c>
      <c r="Z189" s="19">
        <v>0</v>
      </c>
      <c r="AA189" s="15">
        <v>0</v>
      </c>
      <c r="AB189" s="15" t="s">
        <v>35</v>
      </c>
    </row>
    <row r="190">
      <c r="A190" s="15">
        <v>186</v>
      </c>
      <c r="B190" s="15" t="s">
        <v>87</v>
      </c>
      <c r="C190" s="15" t="s">
        <v>88</v>
      </c>
      <c r="D190" s="15" t="s">
        <v>357</v>
      </c>
      <c r="E190" s="15" t="s">
        <v>90</v>
      </c>
      <c r="F190" s="15" t="s">
        <v>35</v>
      </c>
      <c r="G190" s="15" t="s">
        <v>74</v>
      </c>
      <c r="H190" s="15" t="s">
        <v>1576</v>
      </c>
      <c r="I190" s="15" t="s">
        <v>1577</v>
      </c>
      <c r="J190" s="15" t="s">
        <v>1578</v>
      </c>
      <c r="K190" s="15" t="s">
        <v>1570</v>
      </c>
      <c r="L190" s="15" t="s">
        <v>1571</v>
      </c>
      <c r="M190" s="15" t="s">
        <v>1572</v>
      </c>
      <c r="N190" s="15" t="s">
        <v>1573</v>
      </c>
      <c r="O190" s="15" t="s">
        <v>82</v>
      </c>
      <c r="P190" s="15" t="s">
        <v>1579</v>
      </c>
      <c r="Q190" s="15" t="s">
        <v>1580</v>
      </c>
      <c r="R190" s="16">
        <v>44329</v>
      </c>
      <c r="S190" s="17" t="s">
        <v>70</v>
      </c>
      <c r="T190" s="20">
        <f>HYPERLINK("https://vnm.spiral.com.vn//uploaded/20210513/79955693-27A1-4B14-B03F-1AE250D27346.jpg","16:40:39")</f>
      </c>
      <c r="U190" s="20">
        <f>HYPERLINK("https://vnm.spiral.com.vn//uploaded/20210513/120CD7FF-F645-441B-9DB0-D12EB1F084BD.jpg","17:05:32")</f>
      </c>
      <c r="V190" s="18">
        <v>0.017280092592592593</v>
      </c>
      <c r="W190" s="15" t="s">
        <v>1581</v>
      </c>
      <c r="X190" s="15" t="s">
        <v>1582</v>
      </c>
      <c r="Y190" s="15" t="s">
        <v>35</v>
      </c>
      <c r="Z190" s="19">
        <v>0</v>
      </c>
      <c r="AA190" s="15">
        <v>0</v>
      </c>
      <c r="AB190" s="15" t="s">
        <v>35</v>
      </c>
    </row>
    <row r="191">
      <c r="A191" s="15">
        <v>187</v>
      </c>
      <c r="B191" s="15" t="s">
        <v>61</v>
      </c>
      <c r="C191" s="15" t="s">
        <v>904</v>
      </c>
      <c r="D191" s="15" t="s">
        <v>357</v>
      </c>
      <c r="E191" s="15" t="s">
        <v>90</v>
      </c>
      <c r="F191" s="15" t="s">
        <v>35</v>
      </c>
      <c r="G191" s="15" t="s">
        <v>74</v>
      </c>
      <c r="H191" s="15" t="s">
        <v>1583</v>
      </c>
      <c r="I191" s="15" t="s">
        <v>1584</v>
      </c>
      <c r="J191" s="15" t="s">
        <v>1585</v>
      </c>
      <c r="K191" s="15" t="s">
        <v>152</v>
      </c>
      <c r="L191" s="15" t="s">
        <v>153</v>
      </c>
      <c r="M191" s="15" t="s">
        <v>1586</v>
      </c>
      <c r="N191" s="15" t="s">
        <v>1587</v>
      </c>
      <c r="O191" s="15" t="s">
        <v>98</v>
      </c>
      <c r="P191" s="15" t="s">
        <v>1588</v>
      </c>
      <c r="Q191" s="15" t="s">
        <v>1589</v>
      </c>
      <c r="R191" s="16">
        <v>44329</v>
      </c>
      <c r="S191" s="17" t="s">
        <v>70</v>
      </c>
      <c r="T191" s="20">
        <f>HYPERLINK("https://vnm.spiral.com.vn//uploaded/20210513/EA9188A4-D7BB-44D8-A269-1CBD11047605.jpg","15:04:24")</f>
      </c>
      <c r="U191" s="20">
        <f>HYPERLINK("https://vnm.spiral.com.vn//uploaded/20210513/F25AB52D-BE44-4F7C-B774-CDEC294C9A45.jpg","17:05:30")</f>
      </c>
      <c r="V191" s="18">
        <v>0.08409722222222223</v>
      </c>
      <c r="W191" s="15" t="s">
        <v>1590</v>
      </c>
      <c r="X191" s="15" t="s">
        <v>1591</v>
      </c>
      <c r="Y191" s="15" t="s">
        <v>35</v>
      </c>
      <c r="Z191" s="19">
        <v>0</v>
      </c>
      <c r="AA191" s="15">
        <v>0</v>
      </c>
      <c r="AB191" s="15" t="s">
        <v>35</v>
      </c>
    </row>
    <row r="192">
      <c r="A192" s="15">
        <v>188</v>
      </c>
      <c r="B192" s="15" t="s">
        <v>343</v>
      </c>
      <c r="C192" s="15" t="s">
        <v>645</v>
      </c>
      <c r="D192" s="15" t="s">
        <v>35</v>
      </c>
      <c r="E192" s="15" t="s">
        <v>35</v>
      </c>
      <c r="F192" s="15" t="s">
        <v>35</v>
      </c>
      <c r="G192" s="15" t="s">
        <v>36</v>
      </c>
      <c r="H192" s="15" t="s">
        <v>1592</v>
      </c>
      <c r="I192" s="15" t="s">
        <v>1593</v>
      </c>
      <c r="J192" s="15" t="s">
        <v>1594</v>
      </c>
      <c r="K192" s="15" t="s">
        <v>40</v>
      </c>
      <c r="L192" s="15" t="s">
        <v>41</v>
      </c>
      <c r="M192" s="15" t="s">
        <v>42</v>
      </c>
      <c r="N192" s="15" t="s">
        <v>43</v>
      </c>
      <c r="O192" s="15" t="s">
        <v>44</v>
      </c>
      <c r="P192" s="15" t="s">
        <v>1595</v>
      </c>
      <c r="Q192" s="15" t="s">
        <v>1596</v>
      </c>
      <c r="R192" s="16">
        <v>44329</v>
      </c>
      <c r="S192" s="17" t="s">
        <v>243</v>
      </c>
      <c r="T192" s="20">
        <f>HYPERLINK("https://vnm.spiral.com.vn//uploaded/20210513/e37b44d5-3c5f-4d1f-b439-93583f481015.JPEG","07:01:07")</f>
      </c>
      <c r="U192" s="20">
        <f>HYPERLINK("https://vnm.spiral.com.vn//uploaded/20210513/749b09e5-a572-43fa-824e-381ab1cc074f.JPEG","17:05:27")</f>
      </c>
      <c r="V192" s="18">
        <v>0.41967592592592595</v>
      </c>
      <c r="W192" s="15" t="s">
        <v>1597</v>
      </c>
      <c r="X192" s="15" t="s">
        <v>1598</v>
      </c>
      <c r="Y192" s="15" t="s">
        <v>35</v>
      </c>
      <c r="Z192" s="19">
        <v>0</v>
      </c>
      <c r="AA192" s="15">
        <v>0</v>
      </c>
      <c r="AB192" s="15" t="s">
        <v>35</v>
      </c>
    </row>
    <row r="193">
      <c r="A193" s="15">
        <v>189</v>
      </c>
      <c r="B193" s="15" t="s">
        <v>343</v>
      </c>
      <c r="C193" s="15" t="s">
        <v>344</v>
      </c>
      <c r="D193" s="15" t="s">
        <v>35</v>
      </c>
      <c r="E193" s="15" t="s">
        <v>35</v>
      </c>
      <c r="F193" s="15" t="s">
        <v>1599</v>
      </c>
      <c r="G193" s="15" t="s">
        <v>36</v>
      </c>
      <c r="H193" s="15" t="s">
        <v>1600</v>
      </c>
      <c r="I193" s="15" t="s">
        <v>1601</v>
      </c>
      <c r="J193" s="15" t="s">
        <v>1602</v>
      </c>
      <c r="K193" s="15" t="s">
        <v>40</v>
      </c>
      <c r="L193" s="15" t="s">
        <v>41</v>
      </c>
      <c r="M193" s="15" t="s">
        <v>595</v>
      </c>
      <c r="N193" s="15" t="s">
        <v>596</v>
      </c>
      <c r="O193" s="15" t="s">
        <v>44</v>
      </c>
      <c r="P193" s="15" t="s">
        <v>1603</v>
      </c>
      <c r="Q193" s="15" t="s">
        <v>1604</v>
      </c>
      <c r="R193" s="16">
        <v>44329</v>
      </c>
      <c r="S193" s="17" t="s">
        <v>70</v>
      </c>
      <c r="T193" s="20">
        <f>HYPERLINK("https://vnm.spiral.com.vn//uploaded/20210513/d68949e8-7315-4637-a70c-edfa29518c0a.JPEG","08:35:39")</f>
      </c>
      <c r="U193" s="20">
        <f>HYPERLINK("https://vnm.spiral.com.vn//uploaded/20210513/87f003a1-1177-4e93-a9c3-f977e5bf8ddb.JPEG","17:05:26")</f>
      </c>
      <c r="V193" s="18">
        <v>0.3540162037037037</v>
      </c>
      <c r="W193" s="15" t="s">
        <v>1605</v>
      </c>
      <c r="X193" s="15" t="s">
        <v>1606</v>
      </c>
      <c r="Y193" s="15" t="s">
        <v>35</v>
      </c>
      <c r="Z193" s="19">
        <v>0</v>
      </c>
      <c r="AA193" s="15">
        <v>0</v>
      </c>
      <c r="AB193" s="15" t="s">
        <v>35</v>
      </c>
    </row>
    <row r="194">
      <c r="A194" s="15">
        <v>190</v>
      </c>
      <c r="B194" s="15" t="s">
        <v>103</v>
      </c>
      <c r="C194" s="15" t="s">
        <v>104</v>
      </c>
      <c r="D194" s="15" t="s">
        <v>135</v>
      </c>
      <c r="E194" s="15" t="s">
        <v>116</v>
      </c>
      <c r="F194" s="15" t="s">
        <v>35</v>
      </c>
      <c r="G194" s="15" t="s">
        <v>74</v>
      </c>
      <c r="H194" s="15" t="s">
        <v>1607</v>
      </c>
      <c r="I194" s="15" t="s">
        <v>1608</v>
      </c>
      <c r="J194" s="15" t="s">
        <v>1609</v>
      </c>
      <c r="K194" s="15" t="s">
        <v>460</v>
      </c>
      <c r="L194" s="15" t="s">
        <v>461</v>
      </c>
      <c r="M194" s="15" t="s">
        <v>462</v>
      </c>
      <c r="N194" s="15" t="s">
        <v>463</v>
      </c>
      <c r="O194" s="15" t="s">
        <v>82</v>
      </c>
      <c r="P194" s="15" t="s">
        <v>1610</v>
      </c>
      <c r="Q194" s="15" t="s">
        <v>1611</v>
      </c>
      <c r="R194" s="16">
        <v>44329</v>
      </c>
      <c r="S194" s="17" t="s">
        <v>70</v>
      </c>
      <c r="T194" s="20">
        <f>HYPERLINK("https://vnm.spiral.com.vn//uploaded/20210513/4bb3c732-5180-4653-9d3b-e252280d13d5.JPEG","15:46:28")</f>
      </c>
      <c r="U194" s="20">
        <f>HYPERLINK("https://vnm.spiral.com.vn//uploaded/20210513/d7f19325-5a01-4497-a8a0-485d8e7032d5.JPEG","17:05:24")</f>
      </c>
      <c r="V194" s="18">
        <v>0.054814814814814816</v>
      </c>
      <c r="W194" s="15" t="s">
        <v>1612</v>
      </c>
      <c r="X194" s="15" t="s">
        <v>1613</v>
      </c>
      <c r="Y194" s="15" t="s">
        <v>35</v>
      </c>
      <c r="Z194" s="19">
        <v>0</v>
      </c>
      <c r="AA194" s="15">
        <v>0</v>
      </c>
      <c r="AB194" s="15" t="s">
        <v>35</v>
      </c>
    </row>
    <row r="195">
      <c r="A195" s="15">
        <v>191</v>
      </c>
      <c r="B195" s="15" t="s">
        <v>87</v>
      </c>
      <c r="C195" s="15" t="s">
        <v>88</v>
      </c>
      <c r="D195" s="15" t="s">
        <v>304</v>
      </c>
      <c r="E195" s="15" t="s">
        <v>305</v>
      </c>
      <c r="F195" s="15" t="s">
        <v>35</v>
      </c>
      <c r="G195" s="15" t="s">
        <v>74</v>
      </c>
      <c r="H195" s="15" t="s">
        <v>1614</v>
      </c>
      <c r="I195" s="15" t="s">
        <v>1615</v>
      </c>
      <c r="J195" s="15" t="s">
        <v>1616</v>
      </c>
      <c r="K195" s="15" t="s">
        <v>748</v>
      </c>
      <c r="L195" s="15" t="s">
        <v>749</v>
      </c>
      <c r="M195" s="15" t="s">
        <v>1617</v>
      </c>
      <c r="N195" s="15" t="s">
        <v>1618</v>
      </c>
      <c r="O195" s="15" t="s">
        <v>156</v>
      </c>
      <c r="P195" s="15" t="s">
        <v>1619</v>
      </c>
      <c r="Q195" s="15" t="s">
        <v>1620</v>
      </c>
      <c r="R195" s="16">
        <v>44329</v>
      </c>
      <c r="S195" s="17" t="s">
        <v>475</v>
      </c>
      <c r="T195" s="20">
        <f>HYPERLINK("https://vnm.spiral.com.vn//uploaded/20210513/9ACBECDC-BB5A-4286-808E-E58A8450A190.jpg","07:31:59")</f>
      </c>
      <c r="U195" s="20">
        <f>HYPERLINK("https://vnm.spiral.com.vn//uploaded/20210513/C9A10582-A756-4A3C-B34F-534F8041B6BD.jpg","17:05:24")</f>
      </c>
      <c r="V195" s="18">
        <v>0.3982060185185185</v>
      </c>
      <c r="W195" s="15" t="s">
        <v>1621</v>
      </c>
      <c r="X195" s="15" t="s">
        <v>1622</v>
      </c>
      <c r="Y195" s="15" t="s">
        <v>35</v>
      </c>
      <c r="Z195" s="19">
        <v>0</v>
      </c>
      <c r="AA195" s="15">
        <v>0</v>
      </c>
      <c r="AB195" s="15" t="s">
        <v>35</v>
      </c>
    </row>
    <row r="196">
      <c r="A196" s="15">
        <v>192</v>
      </c>
      <c r="B196" s="15" t="s">
        <v>343</v>
      </c>
      <c r="C196" s="15" t="s">
        <v>344</v>
      </c>
      <c r="D196" s="15" t="s">
        <v>345</v>
      </c>
      <c r="E196" s="15" t="s">
        <v>90</v>
      </c>
      <c r="F196" s="15" t="s">
        <v>35</v>
      </c>
      <c r="G196" s="15" t="s">
        <v>74</v>
      </c>
      <c r="H196" s="15" t="s">
        <v>1623</v>
      </c>
      <c r="I196" s="15" t="s">
        <v>1624</v>
      </c>
      <c r="J196" s="15" t="s">
        <v>1625</v>
      </c>
      <c r="K196" s="15" t="s">
        <v>349</v>
      </c>
      <c r="L196" s="15" t="s">
        <v>350</v>
      </c>
      <c r="M196" s="15" t="s">
        <v>351</v>
      </c>
      <c r="N196" s="15" t="s">
        <v>352</v>
      </c>
      <c r="O196" s="15" t="s">
        <v>82</v>
      </c>
      <c r="P196" s="15" t="s">
        <v>1626</v>
      </c>
      <c r="Q196" s="15" t="s">
        <v>1627</v>
      </c>
      <c r="R196" s="16">
        <v>44329</v>
      </c>
      <c r="S196" s="17" t="s">
        <v>70</v>
      </c>
      <c r="T196" s="20">
        <f>HYPERLINK("https://vnm.spiral.com.vn//uploaded/20210513/3a183517-6fcb-4bd0-bc28-804aded08817.JPEG","08:58:49")</f>
      </c>
      <c r="U196" s="20">
        <f>HYPERLINK("https://vnm.spiral.com.vn//uploaded/20210513/0344e13b-2f18-4e40-9cf5-275949915075.JPEG","17:05:23")</f>
      </c>
      <c r="V196" s="18">
        <v>0.3378935185185185</v>
      </c>
      <c r="W196" s="15" t="s">
        <v>1628</v>
      </c>
      <c r="X196" s="15" t="s">
        <v>1629</v>
      </c>
      <c r="Y196" s="15" t="s">
        <v>35</v>
      </c>
      <c r="Z196" s="19">
        <v>0</v>
      </c>
      <c r="AA196" s="15">
        <v>0</v>
      </c>
      <c r="AB196" s="15" t="s">
        <v>35</v>
      </c>
    </row>
    <row r="197">
      <c r="A197" s="15">
        <v>193</v>
      </c>
      <c r="B197" s="15" t="s">
        <v>343</v>
      </c>
      <c r="C197" s="15" t="s">
        <v>344</v>
      </c>
      <c r="D197" s="15" t="s">
        <v>432</v>
      </c>
      <c r="E197" s="15" t="s">
        <v>116</v>
      </c>
      <c r="F197" s="15" t="s">
        <v>35</v>
      </c>
      <c r="G197" s="15" t="s">
        <v>74</v>
      </c>
      <c r="H197" s="15" t="s">
        <v>1630</v>
      </c>
      <c r="I197" s="15" t="s">
        <v>1631</v>
      </c>
      <c r="J197" s="15" t="s">
        <v>1632</v>
      </c>
      <c r="K197" s="15" t="s">
        <v>512</v>
      </c>
      <c r="L197" s="15" t="s">
        <v>513</v>
      </c>
      <c r="M197" s="15" t="s">
        <v>514</v>
      </c>
      <c r="N197" s="15" t="s">
        <v>515</v>
      </c>
      <c r="O197" s="15" t="s">
        <v>82</v>
      </c>
      <c r="P197" s="15" t="s">
        <v>1633</v>
      </c>
      <c r="Q197" s="15" t="s">
        <v>1634</v>
      </c>
      <c r="R197" s="16">
        <v>44329</v>
      </c>
      <c r="S197" s="17" t="s">
        <v>70</v>
      </c>
      <c r="T197" s="20">
        <f>HYPERLINK("https://vnm.spiral.com.vn//uploaded/20210513/6415215f-b9ad-4982-aebf-31b65270a903.JPEG","15:25:45")</f>
      </c>
      <c r="U197" s="20">
        <f>HYPERLINK("https://vnm.spiral.com.vn//uploaded/20210513/bc0a3ca3-8ea2-43e9-9325-7b6ecd8e3030.JPEG","17:05:22")</f>
      </c>
      <c r="V197" s="18">
        <v>0.06917824074074073</v>
      </c>
      <c r="W197" s="15" t="s">
        <v>1635</v>
      </c>
      <c r="X197" s="15" t="s">
        <v>1636</v>
      </c>
      <c r="Y197" s="15" t="s">
        <v>35</v>
      </c>
      <c r="Z197" s="19">
        <v>0</v>
      </c>
      <c r="AA197" s="15">
        <v>0</v>
      </c>
      <c r="AB197" s="15" t="s">
        <v>35</v>
      </c>
    </row>
    <row r="198">
      <c r="A198" s="15">
        <v>194</v>
      </c>
      <c r="B198" s="15" t="s">
        <v>87</v>
      </c>
      <c r="C198" s="15" t="s">
        <v>88</v>
      </c>
      <c r="D198" s="15" t="s">
        <v>89</v>
      </c>
      <c r="E198" s="15" t="s">
        <v>90</v>
      </c>
      <c r="F198" s="15" t="s">
        <v>35</v>
      </c>
      <c r="G198" s="15" t="s">
        <v>74</v>
      </c>
      <c r="H198" s="15" t="s">
        <v>1637</v>
      </c>
      <c r="I198" s="15" t="s">
        <v>1638</v>
      </c>
      <c r="J198" s="15" t="s">
        <v>1639</v>
      </c>
      <c r="K198" s="15" t="s">
        <v>94</v>
      </c>
      <c r="L198" s="15" t="s">
        <v>95</v>
      </c>
      <c r="M198" s="15" t="s">
        <v>96</v>
      </c>
      <c r="N198" s="15" t="s">
        <v>97</v>
      </c>
      <c r="O198" s="15" t="s">
        <v>98</v>
      </c>
      <c r="P198" s="15" t="s">
        <v>1640</v>
      </c>
      <c r="Q198" s="15" t="s">
        <v>1641</v>
      </c>
      <c r="R198" s="16">
        <v>44329</v>
      </c>
      <c r="S198" s="17" t="s">
        <v>35</v>
      </c>
      <c r="T198" s="20">
        <f>HYPERLINK("https://vnm.spiral.com.vn//uploaded/20210513/b7a2d8fc-e435-416a-8526-663b99945b4c.JPEG","11:12:43")</f>
      </c>
      <c r="U198" s="20">
        <f>HYPERLINK("https://vnm.spiral.com.vn//uploaded/20210513/5c5e67ce-7e49-42aa-a33c-3167bdbf563c.JPEG","17:05:21")</f>
      </c>
      <c r="V198" s="18">
        <v>0.24488425925925925</v>
      </c>
      <c r="W198" s="15" t="s">
        <v>1642</v>
      </c>
      <c r="X198" s="15" t="s">
        <v>1643</v>
      </c>
      <c r="Y198" s="15" t="s">
        <v>35</v>
      </c>
      <c r="Z198" s="19">
        <v>0</v>
      </c>
      <c r="AA198" s="15">
        <v>0</v>
      </c>
      <c r="AB198" s="15" t="s">
        <v>35</v>
      </c>
    </row>
    <row r="199">
      <c r="A199" s="15">
        <v>195</v>
      </c>
      <c r="B199" s="15" t="s">
        <v>343</v>
      </c>
      <c r="C199" s="15" t="s">
        <v>344</v>
      </c>
      <c r="D199" s="15" t="s">
        <v>1644</v>
      </c>
      <c r="E199" s="15" t="s">
        <v>35</v>
      </c>
      <c r="F199" s="15" t="s">
        <v>35</v>
      </c>
      <c r="G199" s="15" t="s">
        <v>74</v>
      </c>
      <c r="H199" s="15" t="s">
        <v>1645</v>
      </c>
      <c r="I199" s="15" t="s">
        <v>1646</v>
      </c>
      <c r="J199" s="15" t="s">
        <v>1647</v>
      </c>
      <c r="K199" s="15" t="s">
        <v>584</v>
      </c>
      <c r="L199" s="15" t="s">
        <v>585</v>
      </c>
      <c r="M199" s="15" t="s">
        <v>827</v>
      </c>
      <c r="N199" s="15" t="s">
        <v>828</v>
      </c>
      <c r="O199" s="15" t="s">
        <v>82</v>
      </c>
      <c r="P199" s="15" t="s">
        <v>1648</v>
      </c>
      <c r="Q199" s="15" t="s">
        <v>1649</v>
      </c>
      <c r="R199" s="16">
        <v>44329</v>
      </c>
      <c r="S199" s="17" t="s">
        <v>70</v>
      </c>
      <c r="T199" s="20">
        <f>HYPERLINK("https://vnm.spiral.com.vn//uploaded/20210513/9f2995d0-ea05-41f4-9bc3-b0ace5045a35.JPEG","16:16:17")</f>
      </c>
      <c r="U199" s="20">
        <f>HYPERLINK("https://vnm.spiral.com.vn//uploaded/20210513/581b0d4a-7024-4e8d-8d7d-4b6512d92d3b.JPEG","17:05:21")</f>
      </c>
      <c r="V199" s="18">
        <v>0.034074074074074076</v>
      </c>
      <c r="W199" s="15" t="s">
        <v>1650</v>
      </c>
      <c r="X199" s="15" t="s">
        <v>1651</v>
      </c>
      <c r="Y199" s="15" t="s">
        <v>35</v>
      </c>
      <c r="Z199" s="19">
        <v>0</v>
      </c>
      <c r="AA199" s="15">
        <v>0</v>
      </c>
      <c r="AB199" s="15" t="s">
        <v>35</v>
      </c>
    </row>
    <row r="200">
      <c r="A200" s="15">
        <v>196</v>
      </c>
      <c r="B200" s="15" t="s">
        <v>49</v>
      </c>
      <c r="C200" s="15" t="s">
        <v>369</v>
      </c>
      <c r="D200" s="15" t="s">
        <v>135</v>
      </c>
      <c r="E200" s="15" t="s">
        <v>116</v>
      </c>
      <c r="F200" s="15" t="s">
        <v>35</v>
      </c>
      <c r="G200" s="15" t="s">
        <v>74</v>
      </c>
      <c r="H200" s="15" t="s">
        <v>1652</v>
      </c>
      <c r="I200" s="15" t="s">
        <v>1653</v>
      </c>
      <c r="J200" s="15" t="s">
        <v>1654</v>
      </c>
      <c r="K200" s="15" t="s">
        <v>166</v>
      </c>
      <c r="L200" s="15" t="s">
        <v>167</v>
      </c>
      <c r="M200" s="15" t="s">
        <v>168</v>
      </c>
      <c r="N200" s="15" t="s">
        <v>169</v>
      </c>
      <c r="O200" s="15" t="s">
        <v>82</v>
      </c>
      <c r="P200" s="15" t="s">
        <v>1655</v>
      </c>
      <c r="Q200" s="15" t="s">
        <v>1656</v>
      </c>
      <c r="R200" s="16">
        <v>44329</v>
      </c>
      <c r="S200" s="17" t="s">
        <v>70</v>
      </c>
      <c r="T200" s="20">
        <f>HYPERLINK("https://vnm.spiral.com.vn//uploaded/20210513/CA89D914-2D3F-42D6-AC88-DCE316E093DF.jpg","16:18:05")</f>
      </c>
      <c r="U200" s="20">
        <f>HYPERLINK("https://vnm.spiral.com.vn//uploaded/20210513/BC31AEA5-4AF9-4523-9235-EAF71E445A80.jpg","17:05:15")</f>
      </c>
      <c r="V200" s="18">
        <v>0.03275462962962963</v>
      </c>
      <c r="W200" s="15" t="s">
        <v>1657</v>
      </c>
      <c r="X200" s="15" t="s">
        <v>1658</v>
      </c>
      <c r="Y200" s="15" t="s">
        <v>35</v>
      </c>
      <c r="Z200" s="19">
        <v>0</v>
      </c>
      <c r="AA200" s="15">
        <v>0</v>
      </c>
      <c r="AB200" s="15" t="s">
        <v>35</v>
      </c>
    </row>
    <row r="201">
      <c r="A201" s="15">
        <v>197</v>
      </c>
      <c r="B201" s="15" t="s">
        <v>246</v>
      </c>
      <c r="C201" s="15" t="s">
        <v>864</v>
      </c>
      <c r="D201" s="15" t="s">
        <v>148</v>
      </c>
      <c r="E201" s="15" t="s">
        <v>90</v>
      </c>
      <c r="F201" s="15" t="s">
        <v>35</v>
      </c>
      <c r="G201" s="15" t="s">
        <v>74</v>
      </c>
      <c r="H201" s="15" t="s">
        <v>865</v>
      </c>
      <c r="I201" s="15" t="s">
        <v>866</v>
      </c>
      <c r="J201" s="15" t="s">
        <v>867</v>
      </c>
      <c r="K201" s="15" t="s">
        <v>263</v>
      </c>
      <c r="L201" s="15" t="s">
        <v>264</v>
      </c>
      <c r="M201" s="15" t="s">
        <v>868</v>
      </c>
      <c r="N201" s="15" t="s">
        <v>869</v>
      </c>
      <c r="O201" s="15" t="s">
        <v>156</v>
      </c>
      <c r="P201" s="15" t="s">
        <v>1659</v>
      </c>
      <c r="Q201" s="15" t="s">
        <v>1660</v>
      </c>
      <c r="R201" s="16">
        <v>44329</v>
      </c>
      <c r="S201" s="17" t="s">
        <v>1409</v>
      </c>
      <c r="T201" s="20">
        <f>HYPERLINK("https://vnm.spiral.com.vn//uploaded/20210513/9DC2C907-D19A-4B33-8B92-4B436A9BFA4F.jpg","06:52:34")</f>
      </c>
      <c r="U201" s="20">
        <f>HYPERLINK("https://vnm.spiral.com.vn//uploaded/20210513/981A9CEA-43EE-43B6-9687-EBD50928A3A6.jpg","17:05:14")</f>
      </c>
      <c r="V201" s="18">
        <v>0.425462962962963</v>
      </c>
      <c r="W201" s="15" t="s">
        <v>1661</v>
      </c>
      <c r="X201" s="15" t="s">
        <v>1662</v>
      </c>
      <c r="Y201" s="15" t="s">
        <v>35</v>
      </c>
      <c r="Z201" s="19">
        <v>0</v>
      </c>
      <c r="AA201" s="15">
        <v>0</v>
      </c>
      <c r="AB201" s="15" t="s">
        <v>35</v>
      </c>
    </row>
    <row r="202">
      <c r="A202" s="15">
        <v>198</v>
      </c>
      <c r="B202" s="15" t="s">
        <v>87</v>
      </c>
      <c r="C202" s="15" t="s">
        <v>88</v>
      </c>
      <c r="D202" s="15" t="s">
        <v>35</v>
      </c>
      <c r="E202" s="15" t="s">
        <v>35</v>
      </c>
      <c r="F202" s="15" t="s">
        <v>35</v>
      </c>
      <c r="G202" s="15" t="s">
        <v>74</v>
      </c>
      <c r="H202" s="15" t="s">
        <v>1663</v>
      </c>
      <c r="I202" s="15" t="s">
        <v>1664</v>
      </c>
      <c r="J202" s="15" t="s">
        <v>1665</v>
      </c>
      <c r="K202" s="15" t="s">
        <v>888</v>
      </c>
      <c r="L202" s="15" t="s">
        <v>889</v>
      </c>
      <c r="M202" s="15" t="s">
        <v>1666</v>
      </c>
      <c r="N202" s="15" t="s">
        <v>1667</v>
      </c>
      <c r="O202" s="15" t="s">
        <v>82</v>
      </c>
      <c r="P202" s="15" t="s">
        <v>1668</v>
      </c>
      <c r="Q202" s="15" t="s">
        <v>1669</v>
      </c>
      <c r="R202" s="16">
        <v>44329</v>
      </c>
      <c r="S202" s="17" t="s">
        <v>70</v>
      </c>
      <c r="T202" s="20">
        <f>HYPERLINK("https://vnm.spiral.com.vn//uploaded/20210513/0A663649-43B8-4CD8-ADE1-79A54A8D72E5.jpg","15:31:23")</f>
      </c>
      <c r="U202" s="20">
        <f>HYPERLINK("https://vnm.spiral.com.vn//uploaded/20210513/34387EA5-1E89-4974-A1C3-B4CBA6677A10.jpg","17:05:14")</f>
      </c>
      <c r="V202" s="18">
        <v>0.06517361111111111</v>
      </c>
      <c r="W202" s="15" t="s">
        <v>1670</v>
      </c>
      <c r="X202" s="15" t="s">
        <v>1671</v>
      </c>
      <c r="Y202" s="15" t="s">
        <v>35</v>
      </c>
      <c r="Z202" s="19">
        <v>0</v>
      </c>
      <c r="AA202" s="15">
        <v>0</v>
      </c>
      <c r="AB202" s="15" t="s">
        <v>35</v>
      </c>
    </row>
    <row r="203">
      <c r="A203" s="15">
        <v>199</v>
      </c>
      <c r="B203" s="15" t="s">
        <v>87</v>
      </c>
      <c r="C203" s="15" t="s">
        <v>88</v>
      </c>
      <c r="D203" s="15" t="s">
        <v>357</v>
      </c>
      <c r="E203" s="15" t="s">
        <v>90</v>
      </c>
      <c r="F203" s="15" t="s">
        <v>35</v>
      </c>
      <c r="G203" s="15" t="s">
        <v>74</v>
      </c>
      <c r="H203" s="15" t="s">
        <v>1551</v>
      </c>
      <c r="I203" s="15" t="s">
        <v>1552</v>
      </c>
      <c r="J203" s="15" t="s">
        <v>1553</v>
      </c>
      <c r="K203" s="15" t="s">
        <v>94</v>
      </c>
      <c r="L203" s="15" t="s">
        <v>95</v>
      </c>
      <c r="M203" s="15" t="s">
        <v>1554</v>
      </c>
      <c r="N203" s="15" t="s">
        <v>1555</v>
      </c>
      <c r="O203" s="15" t="s">
        <v>156</v>
      </c>
      <c r="P203" s="15" t="s">
        <v>1672</v>
      </c>
      <c r="Q203" s="15" t="s">
        <v>1673</v>
      </c>
      <c r="R203" s="16">
        <v>44329</v>
      </c>
      <c r="S203" s="17" t="s">
        <v>70</v>
      </c>
      <c r="T203" s="20">
        <f>HYPERLINK("https://vnm.spiral.com.vn//uploaded/20210513/9D67CBC1-C08B-4C5E-8A69-D3588DED453C.jpg","07:47:58")</f>
      </c>
      <c r="U203" s="20">
        <f>HYPERLINK("https://vnm.spiral.com.vn//uploaded/20210513/03F18905-A4EE-469E-A5BC-00272C4CC0E8.jpg","17:05:13")</f>
      </c>
      <c r="V203" s="18">
        <v>0.38697916666666665</v>
      </c>
      <c r="W203" s="15" t="s">
        <v>1674</v>
      </c>
      <c r="X203" s="15" t="s">
        <v>1675</v>
      </c>
      <c r="Y203" s="15" t="s">
        <v>35</v>
      </c>
      <c r="Z203" s="19">
        <v>0</v>
      </c>
      <c r="AA203" s="15">
        <v>0</v>
      </c>
      <c r="AB203" s="15" t="s">
        <v>35</v>
      </c>
    </row>
    <row r="204">
      <c r="A204" s="15">
        <v>200</v>
      </c>
      <c r="B204" s="15" t="s">
        <v>246</v>
      </c>
      <c r="C204" s="15" t="s">
        <v>864</v>
      </c>
      <c r="D204" s="15" t="s">
        <v>35</v>
      </c>
      <c r="E204" s="15" t="s">
        <v>35</v>
      </c>
      <c r="F204" s="15" t="s">
        <v>1676</v>
      </c>
      <c r="G204" s="15" t="s">
        <v>36</v>
      </c>
      <c r="H204" s="15" t="s">
        <v>1677</v>
      </c>
      <c r="I204" s="15" t="s">
        <v>1678</v>
      </c>
      <c r="J204" s="15" t="s">
        <v>1679</v>
      </c>
      <c r="K204" s="15" t="s">
        <v>40</v>
      </c>
      <c r="L204" s="15" t="s">
        <v>41</v>
      </c>
      <c r="M204" s="15" t="s">
        <v>252</v>
      </c>
      <c r="N204" s="15" t="s">
        <v>253</v>
      </c>
      <c r="O204" s="15" t="s">
        <v>44</v>
      </c>
      <c r="P204" s="15" t="s">
        <v>1680</v>
      </c>
      <c r="Q204" s="15" t="s">
        <v>1681</v>
      </c>
      <c r="R204" s="16">
        <v>44329</v>
      </c>
      <c r="S204" s="17" t="s">
        <v>70</v>
      </c>
      <c r="T204" s="20">
        <f>HYPERLINK("https://vnm.spiral.com.vn//uploaded/20210513/6215BD9B-6AB5-405A-824C-CCAB94F580F5.jpg","07:57:48")</f>
      </c>
      <c r="U204" s="20">
        <f>HYPERLINK("https://vnm.spiral.com.vn//uploaded/20210513/48F4EDEA-83F1-488B-95A0-D3FC6913B088.jpg","17:05:13")</f>
      </c>
      <c r="V204" s="18">
        <v>0.38015046296296295</v>
      </c>
      <c r="W204" s="15" t="s">
        <v>1682</v>
      </c>
      <c r="X204" s="15" t="s">
        <v>1683</v>
      </c>
      <c r="Y204" s="15" t="s">
        <v>35</v>
      </c>
      <c r="Z204" s="19">
        <v>0</v>
      </c>
      <c r="AA204" s="15">
        <v>0</v>
      </c>
      <c r="AB204" s="15" t="s">
        <v>35</v>
      </c>
    </row>
    <row r="205">
      <c r="A205" s="15">
        <v>201</v>
      </c>
      <c r="B205" s="15" t="s">
        <v>33</v>
      </c>
      <c r="C205" s="15" t="s">
        <v>219</v>
      </c>
      <c r="D205" s="15" t="s">
        <v>536</v>
      </c>
      <c r="E205" s="15" t="s">
        <v>116</v>
      </c>
      <c r="F205" s="15" t="s">
        <v>35</v>
      </c>
      <c r="G205" s="15" t="s">
        <v>74</v>
      </c>
      <c r="H205" s="15" t="s">
        <v>1684</v>
      </c>
      <c r="I205" s="15" t="s">
        <v>1685</v>
      </c>
      <c r="J205" s="15" t="s">
        <v>1686</v>
      </c>
      <c r="K205" s="15" t="s">
        <v>997</v>
      </c>
      <c r="L205" s="15" t="s">
        <v>998</v>
      </c>
      <c r="M205" s="15" t="s">
        <v>999</v>
      </c>
      <c r="N205" s="15" t="s">
        <v>1000</v>
      </c>
      <c r="O205" s="15" t="s">
        <v>82</v>
      </c>
      <c r="P205" s="15" t="s">
        <v>1687</v>
      </c>
      <c r="Q205" s="15" t="s">
        <v>1688</v>
      </c>
      <c r="R205" s="16">
        <v>44329</v>
      </c>
      <c r="S205" s="17" t="s">
        <v>70</v>
      </c>
      <c r="T205" s="20">
        <f>HYPERLINK("https://vnm.spiral.com.vn//uploaded/20210513/88487e9d-322f-4066-8d83-70b60e122697.JPEG","07:46:51")</f>
      </c>
      <c r="U205" s="20">
        <f>HYPERLINK("https://vnm.spiral.com.vn//uploaded/20210513/2af8ca9d-a805-404b-8524-3c89174bc648.JPEG","17:05:11")</f>
      </c>
      <c r="V205" s="18">
        <v>0.38773148148148145</v>
      </c>
      <c r="W205" s="15" t="s">
        <v>1689</v>
      </c>
      <c r="X205" s="15" t="s">
        <v>1690</v>
      </c>
      <c r="Y205" s="15" t="s">
        <v>35</v>
      </c>
      <c r="Z205" s="19">
        <v>0</v>
      </c>
      <c r="AA205" s="15">
        <v>0</v>
      </c>
      <c r="AB205" s="15" t="s">
        <v>35</v>
      </c>
    </row>
    <row r="206">
      <c r="A206" s="15">
        <v>202</v>
      </c>
      <c r="B206" s="15" t="s">
        <v>103</v>
      </c>
      <c r="C206" s="15" t="s">
        <v>174</v>
      </c>
      <c r="D206" s="15" t="s">
        <v>89</v>
      </c>
      <c r="E206" s="15" t="s">
        <v>90</v>
      </c>
      <c r="F206" s="15" t="s">
        <v>35</v>
      </c>
      <c r="G206" s="15" t="s">
        <v>74</v>
      </c>
      <c r="H206" s="15" t="s">
        <v>1691</v>
      </c>
      <c r="I206" s="15" t="s">
        <v>1692</v>
      </c>
      <c r="J206" s="15" t="s">
        <v>1693</v>
      </c>
      <c r="K206" s="15" t="s">
        <v>178</v>
      </c>
      <c r="L206" s="15" t="s">
        <v>179</v>
      </c>
      <c r="M206" s="15" t="s">
        <v>180</v>
      </c>
      <c r="N206" s="15" t="s">
        <v>181</v>
      </c>
      <c r="O206" s="15" t="s">
        <v>156</v>
      </c>
      <c r="P206" s="15" t="s">
        <v>1694</v>
      </c>
      <c r="Q206" s="15" t="s">
        <v>1695</v>
      </c>
      <c r="R206" s="16">
        <v>44329</v>
      </c>
      <c r="S206" s="17" t="s">
        <v>1696</v>
      </c>
      <c r="T206" s="20">
        <f>HYPERLINK("https://vnm.spiral.com.vn//uploaded/20210513/5b43fa59-e859-4761-8662-f46df36ba516.JPEG","06:54:14")</f>
      </c>
      <c r="U206" s="20">
        <f>HYPERLINK("https://vnm.spiral.com.vn//uploaded/20210513/aed28ddb-ac97-4033-9ce3-044f3cee1c36.JPEG","17:05:08")</f>
      </c>
      <c r="V206" s="18">
        <v>0.4242361111111111</v>
      </c>
      <c r="W206" s="15" t="s">
        <v>1697</v>
      </c>
      <c r="X206" s="15" t="s">
        <v>1698</v>
      </c>
      <c r="Y206" s="15" t="s">
        <v>35</v>
      </c>
      <c r="Z206" s="19">
        <v>0</v>
      </c>
      <c r="AA206" s="15">
        <v>0</v>
      </c>
      <c r="AB206" s="15" t="s">
        <v>35</v>
      </c>
    </row>
    <row r="207">
      <c r="A207" s="15">
        <v>203</v>
      </c>
      <c r="B207" s="15" t="s">
        <v>87</v>
      </c>
      <c r="C207" s="15" t="s">
        <v>88</v>
      </c>
      <c r="D207" s="15" t="s">
        <v>135</v>
      </c>
      <c r="E207" s="15" t="s">
        <v>116</v>
      </c>
      <c r="F207" s="15" t="s">
        <v>35</v>
      </c>
      <c r="G207" s="15" t="s">
        <v>74</v>
      </c>
      <c r="H207" s="15" t="s">
        <v>1699</v>
      </c>
      <c r="I207" s="15" t="s">
        <v>1700</v>
      </c>
      <c r="J207" s="15" t="s">
        <v>1701</v>
      </c>
      <c r="K207" s="15" t="s">
        <v>94</v>
      </c>
      <c r="L207" s="15" t="s">
        <v>95</v>
      </c>
      <c r="M207" s="15" t="s">
        <v>139</v>
      </c>
      <c r="N207" s="15" t="s">
        <v>140</v>
      </c>
      <c r="O207" s="15" t="s">
        <v>98</v>
      </c>
      <c r="P207" s="15" t="s">
        <v>141</v>
      </c>
      <c r="Q207" s="15" t="s">
        <v>142</v>
      </c>
      <c r="R207" s="16">
        <v>44329</v>
      </c>
      <c r="S207" s="17" t="s">
        <v>70</v>
      </c>
      <c r="T207" s="20">
        <f>HYPERLINK("https://vnm.spiral.com.vn//uploaded/20210513/99774EB4-1C7C-4F5B-86A0-67485AE8D442.jpg","15:52:28")</f>
      </c>
      <c r="U207" s="20">
        <f>HYPERLINK("https://vnm.spiral.com.vn//uploaded/20210513/0690D2D8-A467-4125-AEED-4F6E7D2A956D.jpg","17:05:06")</f>
      </c>
      <c r="V207" s="18">
        <v>0.05043981481481481</v>
      </c>
      <c r="W207" s="15" t="s">
        <v>1702</v>
      </c>
      <c r="X207" s="15" t="s">
        <v>1703</v>
      </c>
      <c r="Y207" s="15" t="s">
        <v>35</v>
      </c>
      <c r="Z207" s="19">
        <v>0</v>
      </c>
      <c r="AA207" s="15">
        <v>0</v>
      </c>
      <c r="AB207" s="15" t="s">
        <v>35</v>
      </c>
    </row>
    <row r="208">
      <c r="A208" s="15">
        <v>204</v>
      </c>
      <c r="B208" s="15" t="s">
        <v>246</v>
      </c>
      <c r="C208" s="15" t="s">
        <v>259</v>
      </c>
      <c r="D208" s="15" t="s">
        <v>89</v>
      </c>
      <c r="E208" s="15" t="s">
        <v>90</v>
      </c>
      <c r="F208" s="15" t="s">
        <v>35</v>
      </c>
      <c r="G208" s="15" t="s">
        <v>74</v>
      </c>
      <c r="H208" s="15" t="s">
        <v>336</v>
      </c>
      <c r="I208" s="15" t="s">
        <v>337</v>
      </c>
      <c r="J208" s="15" t="s">
        <v>338</v>
      </c>
      <c r="K208" s="15" t="s">
        <v>263</v>
      </c>
      <c r="L208" s="15" t="s">
        <v>264</v>
      </c>
      <c r="M208" s="15" t="s">
        <v>339</v>
      </c>
      <c r="N208" s="15" t="s">
        <v>340</v>
      </c>
      <c r="O208" s="15" t="s">
        <v>156</v>
      </c>
      <c r="P208" s="15" t="s">
        <v>1704</v>
      </c>
      <c r="Q208" s="15" t="s">
        <v>283</v>
      </c>
      <c r="R208" s="16">
        <v>44329</v>
      </c>
      <c r="S208" s="17" t="s">
        <v>243</v>
      </c>
      <c r="T208" s="20">
        <f>HYPERLINK("https://vnm.spiral.com.vn//uploaded/20210513/27eba7bd-3fb6-4022-a4e1-e30c276d53e8.JPEG","07:12:41")</f>
      </c>
      <c r="U208" s="20">
        <f>HYPERLINK("https://vnm.spiral.com.vn//uploaded/20210513/01729306-101c-437c-b154-b9954f7cfb6b.JPEG","17:04:59")</f>
      </c>
      <c r="V208" s="18">
        <v>0.41131944444444446</v>
      </c>
      <c r="W208" s="15" t="s">
        <v>1705</v>
      </c>
      <c r="X208" s="15" t="s">
        <v>1706</v>
      </c>
      <c r="Y208" s="15" t="s">
        <v>35</v>
      </c>
      <c r="Z208" s="19">
        <v>0</v>
      </c>
      <c r="AA208" s="15">
        <v>0</v>
      </c>
      <c r="AB208" s="15" t="s">
        <v>35</v>
      </c>
    </row>
    <row r="209">
      <c r="A209" s="15">
        <v>205</v>
      </c>
      <c r="B209" s="15" t="s">
        <v>246</v>
      </c>
      <c r="C209" s="15" t="s">
        <v>782</v>
      </c>
      <c r="D209" s="15" t="s">
        <v>35</v>
      </c>
      <c r="E209" s="15" t="s">
        <v>35</v>
      </c>
      <c r="F209" s="15" t="s">
        <v>1707</v>
      </c>
      <c r="G209" s="15" t="s">
        <v>36</v>
      </c>
      <c r="H209" s="15" t="s">
        <v>1708</v>
      </c>
      <c r="I209" s="15" t="s">
        <v>1709</v>
      </c>
      <c r="J209" s="15" t="s">
        <v>1710</v>
      </c>
      <c r="K209" s="15" t="s">
        <v>40</v>
      </c>
      <c r="L209" s="15" t="s">
        <v>41</v>
      </c>
      <c r="M209" s="15" t="s">
        <v>252</v>
      </c>
      <c r="N209" s="15" t="s">
        <v>253</v>
      </c>
      <c r="O209" s="15" t="s">
        <v>44</v>
      </c>
      <c r="P209" s="15" t="s">
        <v>1711</v>
      </c>
      <c r="Q209" s="15" t="s">
        <v>1712</v>
      </c>
      <c r="R209" s="16">
        <v>44329</v>
      </c>
      <c r="S209" s="17" t="s">
        <v>577</v>
      </c>
      <c r="T209" s="20">
        <f>HYPERLINK("https://vnm.spiral.com.vn//uploaded/20210513/16c94ba9-dd5d-4946-bb27-c4bcbbd4fbc9.JPEG","08:21:13")</f>
      </c>
      <c r="U209" s="20">
        <f>HYPERLINK("https://vnm.spiral.com.vn//uploaded/20210513/b0646b79-4c59-4c56-bb16-8db7fabce53c.JPEG","17:04:50")</f>
      </c>
      <c r="V209" s="18">
        <v>0.3636226851851852</v>
      </c>
      <c r="W209" s="15" t="s">
        <v>1713</v>
      </c>
      <c r="X209" s="15" t="s">
        <v>1714</v>
      </c>
      <c r="Y209" s="15" t="s">
        <v>35</v>
      </c>
      <c r="Z209" s="19">
        <v>0</v>
      </c>
      <c r="AA209" s="15">
        <v>0</v>
      </c>
      <c r="AB209" s="15" t="s">
        <v>35</v>
      </c>
    </row>
    <row r="210">
      <c r="A210" s="15">
        <v>206</v>
      </c>
      <c r="B210" s="15" t="s">
        <v>49</v>
      </c>
      <c r="C210" s="15" t="s">
        <v>1715</v>
      </c>
      <c r="D210" s="15" t="s">
        <v>89</v>
      </c>
      <c r="E210" s="15" t="s">
        <v>90</v>
      </c>
      <c r="F210" s="15" t="s">
        <v>35</v>
      </c>
      <c r="G210" s="15" t="s">
        <v>74</v>
      </c>
      <c r="H210" s="15" t="s">
        <v>1716</v>
      </c>
      <c r="I210" s="15" t="s">
        <v>1717</v>
      </c>
      <c r="J210" s="15" t="s">
        <v>1718</v>
      </c>
      <c r="K210" s="15" t="s">
        <v>166</v>
      </c>
      <c r="L210" s="15" t="s">
        <v>167</v>
      </c>
      <c r="M210" s="15" t="s">
        <v>168</v>
      </c>
      <c r="N210" s="15" t="s">
        <v>169</v>
      </c>
      <c r="O210" s="15" t="s">
        <v>156</v>
      </c>
      <c r="P210" s="15" t="s">
        <v>1719</v>
      </c>
      <c r="Q210" s="15" t="s">
        <v>1720</v>
      </c>
      <c r="R210" s="16">
        <v>44329</v>
      </c>
      <c r="S210" s="17" t="s">
        <v>243</v>
      </c>
      <c r="T210" s="20">
        <f>HYPERLINK("https://vnm.spiral.com.vn//uploaded/20210513/5EE3AAF5-6460-4FA4-BC0A-3602A9DE0A8E.jpg","07:15:07")</f>
      </c>
      <c r="U210" s="20">
        <f>HYPERLINK("https://vnm.spiral.com.vn//uploaded/20210513/A64ABB0C-8AC5-430C-BAD2-C9DE084A6C99.jpg","17:04:48")</f>
      </c>
      <c r="V210" s="18">
        <v>0.4095023148148148</v>
      </c>
      <c r="W210" s="15" t="s">
        <v>1721</v>
      </c>
      <c r="X210" s="15" t="s">
        <v>1722</v>
      </c>
      <c r="Y210" s="15" t="s">
        <v>35</v>
      </c>
      <c r="Z210" s="19">
        <v>0</v>
      </c>
      <c r="AA210" s="15">
        <v>0</v>
      </c>
      <c r="AB210" s="15" t="s">
        <v>35</v>
      </c>
    </row>
    <row r="211">
      <c r="A211" s="15">
        <v>207</v>
      </c>
      <c r="B211" s="15" t="s">
        <v>343</v>
      </c>
      <c r="C211" s="15" t="s">
        <v>344</v>
      </c>
      <c r="D211" s="15" t="s">
        <v>432</v>
      </c>
      <c r="E211" s="15" t="s">
        <v>116</v>
      </c>
      <c r="F211" s="15" t="s">
        <v>35</v>
      </c>
      <c r="G211" s="15" t="s">
        <v>74</v>
      </c>
      <c r="H211" s="15" t="s">
        <v>1723</v>
      </c>
      <c r="I211" s="15" t="s">
        <v>1724</v>
      </c>
      <c r="J211" s="15" t="s">
        <v>1725</v>
      </c>
      <c r="K211" s="15" t="s">
        <v>1168</v>
      </c>
      <c r="L211" s="15" t="s">
        <v>1169</v>
      </c>
      <c r="M211" s="15" t="s">
        <v>1170</v>
      </c>
      <c r="N211" s="15" t="s">
        <v>1171</v>
      </c>
      <c r="O211" s="15" t="s">
        <v>82</v>
      </c>
      <c r="P211" s="15" t="s">
        <v>1726</v>
      </c>
      <c r="Q211" s="15" t="s">
        <v>1727</v>
      </c>
      <c r="R211" s="16">
        <v>44329</v>
      </c>
      <c r="S211" s="17" t="s">
        <v>70</v>
      </c>
      <c r="T211" s="20">
        <f>HYPERLINK("https://vnm.spiral.com.vn//uploaded/20210513/58eff3bf-442e-4da7-bb39-519c563f7854.JPEG","16:41:59")</f>
      </c>
      <c r="U211" s="20">
        <f>HYPERLINK("https://vnm.spiral.com.vn//uploaded/20210513/cb55ec9f-6c02-4915-a02f-a55448afe4ff.JPEG","17:04:47")</f>
      </c>
      <c r="V211" s="18">
        <v>0.015833333333333335</v>
      </c>
      <c r="W211" s="15" t="s">
        <v>1728</v>
      </c>
      <c r="X211" s="15" t="s">
        <v>1729</v>
      </c>
      <c r="Y211" s="15" t="s">
        <v>35</v>
      </c>
      <c r="Z211" s="19">
        <v>0</v>
      </c>
      <c r="AA211" s="15">
        <v>0</v>
      </c>
      <c r="AB211" s="15" t="s">
        <v>35</v>
      </c>
    </row>
    <row r="212">
      <c r="A212" s="15">
        <v>208</v>
      </c>
      <c r="B212" s="15" t="s">
        <v>61</v>
      </c>
      <c r="C212" s="15" t="s">
        <v>1730</v>
      </c>
      <c r="D212" s="15" t="s">
        <v>35</v>
      </c>
      <c r="E212" s="15" t="s">
        <v>35</v>
      </c>
      <c r="F212" s="15" t="s">
        <v>35</v>
      </c>
      <c r="G212" s="15" t="s">
        <v>36</v>
      </c>
      <c r="H212" s="15" t="s">
        <v>1731</v>
      </c>
      <c r="I212" s="15" t="s">
        <v>1732</v>
      </c>
      <c r="J212" s="15" t="s">
        <v>1733</v>
      </c>
      <c r="K212" s="15" t="s">
        <v>40</v>
      </c>
      <c r="L212" s="15" t="s">
        <v>41</v>
      </c>
      <c r="M212" s="15" t="s">
        <v>205</v>
      </c>
      <c r="N212" s="15" t="s">
        <v>206</v>
      </c>
      <c r="O212" s="15" t="s">
        <v>44</v>
      </c>
      <c r="P212" s="15" t="s">
        <v>1734</v>
      </c>
      <c r="Q212" s="15" t="s">
        <v>1735</v>
      </c>
      <c r="R212" s="16">
        <v>44329</v>
      </c>
      <c r="S212" s="17" t="s">
        <v>70</v>
      </c>
      <c r="T212" s="20">
        <f>HYPERLINK("https://vnm.spiral.com.vn//uploaded/20210513/7F03FAC4-CBCC-45F6-B5D4-ACD561B6D201.jpg","08:28:41")</f>
      </c>
      <c r="U212" s="20">
        <f>HYPERLINK("https://vnm.spiral.com.vn//uploaded/20210513/FD1AEF04-8FFC-4FFA-953B-04D732171E63.jpg","17:04:38")</f>
      </c>
      <c r="V212" s="18">
        <v>0.3582986111111111</v>
      </c>
      <c r="W212" s="15" t="s">
        <v>1736</v>
      </c>
      <c r="X212" s="15" t="s">
        <v>1737</v>
      </c>
      <c r="Y212" s="15" t="s">
        <v>35</v>
      </c>
      <c r="Z212" s="19">
        <v>0</v>
      </c>
      <c r="AA212" s="15">
        <v>0</v>
      </c>
      <c r="AB212" s="15" t="s">
        <v>35</v>
      </c>
    </row>
    <row r="213">
      <c r="A213" s="15">
        <v>209</v>
      </c>
      <c r="B213" s="15" t="s">
        <v>87</v>
      </c>
      <c r="C213" s="15" t="s">
        <v>88</v>
      </c>
      <c r="D213" s="15" t="s">
        <v>135</v>
      </c>
      <c r="E213" s="15" t="s">
        <v>116</v>
      </c>
      <c r="F213" s="15" t="s">
        <v>35</v>
      </c>
      <c r="G213" s="15" t="s">
        <v>74</v>
      </c>
      <c r="H213" s="15" t="s">
        <v>1738</v>
      </c>
      <c r="I213" s="15" t="s">
        <v>1739</v>
      </c>
      <c r="J213" s="15" t="s">
        <v>1740</v>
      </c>
      <c r="K213" s="15" t="s">
        <v>139</v>
      </c>
      <c r="L213" s="15" t="s">
        <v>140</v>
      </c>
      <c r="M213" s="15" t="s">
        <v>141</v>
      </c>
      <c r="N213" s="15" t="s">
        <v>142</v>
      </c>
      <c r="O213" s="15" t="s">
        <v>82</v>
      </c>
      <c r="P213" s="15" t="s">
        <v>1741</v>
      </c>
      <c r="Q213" s="15" t="s">
        <v>1742</v>
      </c>
      <c r="R213" s="16">
        <v>44329</v>
      </c>
      <c r="S213" s="17" t="s">
        <v>70</v>
      </c>
      <c r="T213" s="20">
        <f>HYPERLINK("https://vnm.spiral.com.vn//uploaded/20210513/D52494FA-24F8-47C5-9C97-884984200B9D.jpg","15:46:08")</f>
      </c>
      <c r="U213" s="20">
        <f>HYPERLINK("https://vnm.spiral.com.vn//uploaded/20210513/7E3A095E-291F-4A57-AC24-FB78D6F23089.jpg","17:04:37")</f>
      </c>
      <c r="V213" s="18">
        <v>0.054502314814814816</v>
      </c>
      <c r="W213" s="15" t="s">
        <v>1743</v>
      </c>
      <c r="X213" s="15" t="s">
        <v>1744</v>
      </c>
      <c r="Y213" s="15" t="s">
        <v>35</v>
      </c>
      <c r="Z213" s="19">
        <v>0</v>
      </c>
      <c r="AA213" s="15">
        <v>0</v>
      </c>
      <c r="AB213" s="15" t="s">
        <v>35</v>
      </c>
    </row>
    <row r="214">
      <c r="A214" s="15">
        <v>210</v>
      </c>
      <c r="B214" s="15" t="s">
        <v>87</v>
      </c>
      <c r="C214" s="15" t="s">
        <v>88</v>
      </c>
      <c r="D214" s="15" t="s">
        <v>115</v>
      </c>
      <c r="E214" s="15" t="s">
        <v>116</v>
      </c>
      <c r="F214" s="15" t="s">
        <v>35</v>
      </c>
      <c r="G214" s="15" t="s">
        <v>74</v>
      </c>
      <c r="H214" s="15" t="s">
        <v>1745</v>
      </c>
      <c r="I214" s="15" t="s">
        <v>1746</v>
      </c>
      <c r="J214" s="15" t="s">
        <v>1747</v>
      </c>
      <c r="K214" s="15" t="s">
        <v>120</v>
      </c>
      <c r="L214" s="15" t="s">
        <v>121</v>
      </c>
      <c r="M214" s="15" t="s">
        <v>1073</v>
      </c>
      <c r="N214" s="15" t="s">
        <v>1074</v>
      </c>
      <c r="O214" s="15" t="s">
        <v>82</v>
      </c>
      <c r="P214" s="15" t="s">
        <v>1748</v>
      </c>
      <c r="Q214" s="15" t="s">
        <v>1749</v>
      </c>
      <c r="R214" s="16">
        <v>44329</v>
      </c>
      <c r="S214" s="17" t="s">
        <v>70</v>
      </c>
      <c r="T214" s="20">
        <f>HYPERLINK("https://vnm.spiral.com.vn//uploaded/20210513/04624B43-5BE0-418E-AC55-E2267E3E8DF1.jpg","10:07:22")</f>
      </c>
      <c r="U214" s="20">
        <f>HYPERLINK("https://vnm.spiral.com.vn//uploaded/20210513/68A356AF-F84B-4D09-B27D-6AB47BAC8C5E.jpg","17:04:37")</f>
      </c>
      <c r="V214" s="18">
        <v>0.28975694444444444</v>
      </c>
      <c r="W214" s="15" t="s">
        <v>1750</v>
      </c>
      <c r="X214" s="15" t="s">
        <v>1751</v>
      </c>
      <c r="Y214" s="15" t="s">
        <v>35</v>
      </c>
      <c r="Z214" s="19">
        <v>0</v>
      </c>
      <c r="AA214" s="15">
        <v>0</v>
      </c>
      <c r="AB214" s="15" t="s">
        <v>35</v>
      </c>
    </row>
    <row r="215">
      <c r="A215" s="15">
        <v>211</v>
      </c>
      <c r="B215" s="15" t="s">
        <v>49</v>
      </c>
      <c r="C215" s="15" t="s">
        <v>162</v>
      </c>
      <c r="D215" s="15" t="s">
        <v>89</v>
      </c>
      <c r="E215" s="15" t="s">
        <v>90</v>
      </c>
      <c r="F215" s="15" t="s">
        <v>35</v>
      </c>
      <c r="G215" s="15" t="s">
        <v>74</v>
      </c>
      <c r="H215" s="15" t="s">
        <v>1752</v>
      </c>
      <c r="I215" s="15" t="s">
        <v>1753</v>
      </c>
      <c r="J215" s="15" t="s">
        <v>1754</v>
      </c>
      <c r="K215" s="15" t="s">
        <v>166</v>
      </c>
      <c r="L215" s="15" t="s">
        <v>167</v>
      </c>
      <c r="M215" s="15" t="s">
        <v>168</v>
      </c>
      <c r="N215" s="15" t="s">
        <v>169</v>
      </c>
      <c r="O215" s="15" t="s">
        <v>156</v>
      </c>
      <c r="P215" s="15" t="s">
        <v>1755</v>
      </c>
      <c r="Q215" s="15" t="s">
        <v>1756</v>
      </c>
      <c r="R215" s="16">
        <v>44329</v>
      </c>
      <c r="S215" s="17" t="s">
        <v>243</v>
      </c>
      <c r="T215" s="20">
        <f>HYPERLINK("https://vnm.spiral.com.vn//uploaded/20210513/fdeaa144-9960-4295-b26a-dae95b9b23b7.JPEG","07:18:24")</f>
      </c>
      <c r="U215" s="20">
        <f>HYPERLINK("https://vnm.spiral.com.vn//uploaded/20210513/a22635af-f41c-47fd-a5f5-926eceb90f04.JPEG","17:04:29")</f>
      </c>
      <c r="V215" s="18">
        <v>0.4070023148148148</v>
      </c>
      <c r="W215" s="15" t="s">
        <v>1757</v>
      </c>
      <c r="X215" s="15" t="s">
        <v>1758</v>
      </c>
      <c r="Y215" s="15" t="s">
        <v>35</v>
      </c>
      <c r="Z215" s="19">
        <v>0</v>
      </c>
      <c r="AA215" s="15">
        <v>0</v>
      </c>
      <c r="AB215" s="15" t="s">
        <v>35</v>
      </c>
    </row>
    <row r="216">
      <c r="A216" s="15">
        <v>212</v>
      </c>
      <c r="B216" s="15" t="s">
        <v>343</v>
      </c>
      <c r="C216" s="15" t="s">
        <v>344</v>
      </c>
      <c r="D216" s="15" t="s">
        <v>878</v>
      </c>
      <c r="E216" s="15" t="s">
        <v>35</v>
      </c>
      <c r="F216" s="15" t="s">
        <v>35</v>
      </c>
      <c r="G216" s="15" t="s">
        <v>74</v>
      </c>
      <c r="H216" s="15" t="s">
        <v>1759</v>
      </c>
      <c r="I216" s="15" t="s">
        <v>1760</v>
      </c>
      <c r="J216" s="15" t="s">
        <v>1761</v>
      </c>
      <c r="K216" s="15" t="s">
        <v>584</v>
      </c>
      <c r="L216" s="15" t="s">
        <v>585</v>
      </c>
      <c r="M216" s="15" t="s">
        <v>586</v>
      </c>
      <c r="N216" s="15" t="s">
        <v>587</v>
      </c>
      <c r="O216" s="15" t="s">
        <v>82</v>
      </c>
      <c r="P216" s="15" t="s">
        <v>1762</v>
      </c>
      <c r="Q216" s="15" t="s">
        <v>1763</v>
      </c>
      <c r="R216" s="16">
        <v>44329</v>
      </c>
      <c r="S216" s="17" t="s">
        <v>70</v>
      </c>
      <c r="T216" s="20">
        <f>HYPERLINK("https://vnm.spiral.com.vn//uploaded/20210513/abb61002-e2b8-4b88-b187-e26b751f2a03.JPEG","07:16:16")</f>
      </c>
      <c r="U216" s="20">
        <f>HYPERLINK("https://vnm.spiral.com.vn//uploaded/20210513/27faac76-8a17-4514-981d-fa6b58f77166.JPEG","17:04:27")</f>
      </c>
      <c r="V216" s="18">
        <v>0.40846064814814814</v>
      </c>
      <c r="W216" s="15" t="s">
        <v>1764</v>
      </c>
      <c r="X216" s="15" t="s">
        <v>1765</v>
      </c>
      <c r="Y216" s="15" t="s">
        <v>35</v>
      </c>
      <c r="Z216" s="19">
        <v>0</v>
      </c>
      <c r="AA216" s="15">
        <v>0</v>
      </c>
      <c r="AB216" s="15" t="s">
        <v>35</v>
      </c>
    </row>
    <row r="217">
      <c r="A217" s="15">
        <v>213</v>
      </c>
      <c r="B217" s="15" t="s">
        <v>87</v>
      </c>
      <c r="C217" s="15" t="s">
        <v>88</v>
      </c>
      <c r="D217" s="15" t="s">
        <v>610</v>
      </c>
      <c r="E217" s="15" t="s">
        <v>90</v>
      </c>
      <c r="F217" s="15" t="s">
        <v>35</v>
      </c>
      <c r="G217" s="15" t="s">
        <v>74</v>
      </c>
      <c r="H217" s="15" t="s">
        <v>1766</v>
      </c>
      <c r="I217" s="15" t="s">
        <v>1767</v>
      </c>
      <c r="J217" s="15" t="s">
        <v>1768</v>
      </c>
      <c r="K217" s="15" t="s">
        <v>614</v>
      </c>
      <c r="L217" s="15" t="s">
        <v>615</v>
      </c>
      <c r="M217" s="15" t="s">
        <v>1769</v>
      </c>
      <c r="N217" s="15" t="s">
        <v>1770</v>
      </c>
      <c r="O217" s="15" t="s">
        <v>156</v>
      </c>
      <c r="P217" s="15" t="s">
        <v>1771</v>
      </c>
      <c r="Q217" s="15" t="s">
        <v>1772</v>
      </c>
      <c r="R217" s="16">
        <v>44329</v>
      </c>
      <c r="S217" s="17" t="s">
        <v>70</v>
      </c>
      <c r="T217" s="20">
        <f>HYPERLINK("https://vnm.spiral.com.vn//uploaded/20210513/3D3D2C7B-485C-4F40-81FD-795915D5306C.jpg","07:30:00")</f>
      </c>
      <c r="U217" s="20">
        <f>HYPERLINK("https://vnm.spiral.com.vn//uploaded/20210513/763F32CF-EBD3-4A84-A30C-52C1E89E26E2.jpg","17:04:07")</f>
      </c>
      <c r="V217" s="18">
        <v>0.39869212962962963</v>
      </c>
      <c r="W217" s="15" t="s">
        <v>1773</v>
      </c>
      <c r="X217" s="15" t="s">
        <v>1774</v>
      </c>
      <c r="Y217" s="15" t="s">
        <v>35</v>
      </c>
      <c r="Z217" s="19">
        <v>0</v>
      </c>
      <c r="AA217" s="15">
        <v>0</v>
      </c>
      <c r="AB217" s="15" t="s">
        <v>35</v>
      </c>
    </row>
    <row r="218">
      <c r="A218" s="15">
        <v>214</v>
      </c>
      <c r="B218" s="15" t="s">
        <v>87</v>
      </c>
      <c r="C218" s="15" t="s">
        <v>88</v>
      </c>
      <c r="D218" s="15" t="s">
        <v>610</v>
      </c>
      <c r="E218" s="15" t="s">
        <v>90</v>
      </c>
      <c r="F218" s="15" t="s">
        <v>35</v>
      </c>
      <c r="G218" s="15" t="s">
        <v>74</v>
      </c>
      <c r="H218" s="15" t="s">
        <v>1775</v>
      </c>
      <c r="I218" s="15" t="s">
        <v>1776</v>
      </c>
      <c r="J218" s="15" t="s">
        <v>1777</v>
      </c>
      <c r="K218" s="15" t="s">
        <v>94</v>
      </c>
      <c r="L218" s="15" t="s">
        <v>95</v>
      </c>
      <c r="M218" s="15" t="s">
        <v>614</v>
      </c>
      <c r="N218" s="15" t="s">
        <v>615</v>
      </c>
      <c r="O218" s="15" t="s">
        <v>98</v>
      </c>
      <c r="P218" s="15" t="s">
        <v>1769</v>
      </c>
      <c r="Q218" s="15" t="s">
        <v>1770</v>
      </c>
      <c r="R218" s="16">
        <v>44329</v>
      </c>
      <c r="S218" s="17" t="s">
        <v>70</v>
      </c>
      <c r="T218" s="20">
        <f>HYPERLINK("https://vnm.spiral.com.vn//uploaded/20210513/8BBB85DE-DABA-482C-B5F0-3007EEB3741B.jpg","15:43:05")</f>
      </c>
      <c r="U218" s="20">
        <f>HYPERLINK("https://vnm.spiral.com.vn//uploaded/20210513/0DC00134-AB5D-4674-86A7-B843EAAE125A.jpg","17:04:07")</f>
      </c>
      <c r="V218" s="18">
        <v>0.05627314814814815</v>
      </c>
      <c r="W218" s="15" t="s">
        <v>1778</v>
      </c>
      <c r="X218" s="15" t="s">
        <v>1779</v>
      </c>
      <c r="Y218" s="15" t="s">
        <v>35</v>
      </c>
      <c r="Z218" s="19">
        <v>0</v>
      </c>
      <c r="AA218" s="15">
        <v>0</v>
      </c>
      <c r="AB218" s="15" t="s">
        <v>35</v>
      </c>
    </row>
    <row r="219">
      <c r="A219" s="15">
        <v>215</v>
      </c>
      <c r="B219" s="15" t="s">
        <v>343</v>
      </c>
      <c r="C219" s="15" t="s">
        <v>344</v>
      </c>
      <c r="D219" s="15" t="s">
        <v>357</v>
      </c>
      <c r="E219" s="15" t="s">
        <v>90</v>
      </c>
      <c r="F219" s="15" t="s">
        <v>35</v>
      </c>
      <c r="G219" s="15" t="s">
        <v>74</v>
      </c>
      <c r="H219" s="15" t="s">
        <v>1780</v>
      </c>
      <c r="I219" s="15" t="s">
        <v>1781</v>
      </c>
      <c r="J219" s="15" t="s">
        <v>1782</v>
      </c>
      <c r="K219" s="15" t="s">
        <v>361</v>
      </c>
      <c r="L219" s="15" t="s">
        <v>362</v>
      </c>
      <c r="M219" s="15" t="s">
        <v>917</v>
      </c>
      <c r="N219" s="15" t="s">
        <v>918</v>
      </c>
      <c r="O219" s="15" t="s">
        <v>82</v>
      </c>
      <c r="P219" s="15" t="s">
        <v>1783</v>
      </c>
      <c r="Q219" s="15" t="s">
        <v>1784</v>
      </c>
      <c r="R219" s="16">
        <v>44329</v>
      </c>
      <c r="S219" s="17" t="s">
        <v>70</v>
      </c>
      <c r="T219" s="20">
        <f>HYPERLINK("https://vnm.spiral.com.vn//uploaded/20210513/90f83941-18bc-4f7b-b8e4-17cf979e9f49.JPEG","07:57:11")</f>
      </c>
      <c r="U219" s="20">
        <f>HYPERLINK("https://vnm.spiral.com.vn//uploaded/20210513/e50831e6-95f4-4132-9e91-92dfddf445c1.JPEG","17:04:07")</f>
      </c>
      <c r="V219" s="18">
        <v>0.3798148148148148</v>
      </c>
      <c r="W219" s="15" t="s">
        <v>1785</v>
      </c>
      <c r="X219" s="15" t="s">
        <v>1786</v>
      </c>
      <c r="Y219" s="15" t="s">
        <v>35</v>
      </c>
      <c r="Z219" s="19">
        <v>0</v>
      </c>
      <c r="AA219" s="15">
        <v>0</v>
      </c>
      <c r="AB219" s="15" t="s">
        <v>35</v>
      </c>
    </row>
    <row r="220">
      <c r="A220" s="15">
        <v>216</v>
      </c>
      <c r="B220" s="15" t="s">
        <v>103</v>
      </c>
      <c r="C220" s="15" t="s">
        <v>1078</v>
      </c>
      <c r="D220" s="15" t="s">
        <v>89</v>
      </c>
      <c r="E220" s="15" t="s">
        <v>90</v>
      </c>
      <c r="F220" s="15" t="s">
        <v>35</v>
      </c>
      <c r="G220" s="15" t="s">
        <v>74</v>
      </c>
      <c r="H220" s="15" t="s">
        <v>1787</v>
      </c>
      <c r="I220" s="15" t="s">
        <v>1788</v>
      </c>
      <c r="J220" s="15" t="s">
        <v>1789</v>
      </c>
      <c r="K220" s="15" t="s">
        <v>436</v>
      </c>
      <c r="L220" s="15" t="s">
        <v>437</v>
      </c>
      <c r="M220" s="15" t="s">
        <v>1429</v>
      </c>
      <c r="N220" s="15" t="s">
        <v>1430</v>
      </c>
      <c r="O220" s="15" t="s">
        <v>156</v>
      </c>
      <c r="P220" s="15" t="s">
        <v>1790</v>
      </c>
      <c r="Q220" s="15" t="s">
        <v>1791</v>
      </c>
      <c r="R220" s="16">
        <v>44329</v>
      </c>
      <c r="S220" s="17" t="s">
        <v>256</v>
      </c>
      <c r="T220" s="20">
        <f>HYPERLINK("https://vnm.spiral.com.vn//uploaded/20210513/f346af01-1632-4069-a82b-e2341681de73.JPEG","07:26:05")</f>
      </c>
      <c r="U220" s="20">
        <f>HYPERLINK("https://vnm.spiral.com.vn//uploaded/20210513/5f6934ee-9597-4c08-b923-e04608926f7e.JPEG","17:04:05")</f>
      </c>
      <c r="V220" s="18">
        <v>0.4013888888888889</v>
      </c>
      <c r="W220" s="15" t="s">
        <v>1792</v>
      </c>
      <c r="X220" s="15" t="s">
        <v>1793</v>
      </c>
      <c r="Y220" s="15" t="s">
        <v>35</v>
      </c>
      <c r="Z220" s="19">
        <v>0</v>
      </c>
      <c r="AA220" s="15">
        <v>0</v>
      </c>
      <c r="AB220" s="15" t="s">
        <v>35</v>
      </c>
    </row>
    <row r="221">
      <c r="A221" s="15">
        <v>217</v>
      </c>
      <c r="B221" s="15" t="s">
        <v>246</v>
      </c>
      <c r="C221" s="15" t="s">
        <v>782</v>
      </c>
      <c r="D221" s="15" t="s">
        <v>35</v>
      </c>
      <c r="E221" s="15" t="s">
        <v>35</v>
      </c>
      <c r="F221" s="15" t="s">
        <v>783</v>
      </c>
      <c r="G221" s="15" t="s">
        <v>36</v>
      </c>
      <c r="H221" s="15" t="s">
        <v>1794</v>
      </c>
      <c r="I221" s="15" t="s">
        <v>1795</v>
      </c>
      <c r="J221" s="15" t="s">
        <v>1796</v>
      </c>
      <c r="K221" s="15" t="s">
        <v>40</v>
      </c>
      <c r="L221" s="15" t="s">
        <v>41</v>
      </c>
      <c r="M221" s="15" t="s">
        <v>252</v>
      </c>
      <c r="N221" s="15" t="s">
        <v>253</v>
      </c>
      <c r="O221" s="15" t="s">
        <v>44</v>
      </c>
      <c r="P221" s="15" t="s">
        <v>1797</v>
      </c>
      <c r="Q221" s="15" t="s">
        <v>1798</v>
      </c>
      <c r="R221" s="16">
        <v>44329</v>
      </c>
      <c r="S221" s="17" t="s">
        <v>70</v>
      </c>
      <c r="T221" s="20">
        <f>HYPERLINK("https://vnm.spiral.com.vn//uploaded/20210513/bbdb24da-c6b1-4651-bd63-4faaab659b09.JPEG","07:55:56")</f>
      </c>
      <c r="U221" s="20">
        <f>HYPERLINK("https://vnm.spiral.com.vn//uploaded/20210513/4ae6eca6-d221-45d2-aff5-f24273e4409b.JPEG","17:04:05")</f>
      </c>
      <c r="V221" s="18">
        <v>0.3806597222222222</v>
      </c>
      <c r="W221" s="15" t="s">
        <v>1799</v>
      </c>
      <c r="X221" s="15" t="s">
        <v>1800</v>
      </c>
      <c r="Y221" s="15" t="s">
        <v>35</v>
      </c>
      <c r="Z221" s="19">
        <v>0</v>
      </c>
      <c r="AA221" s="15">
        <v>0</v>
      </c>
      <c r="AB221" s="15" t="s">
        <v>35</v>
      </c>
    </row>
    <row r="222">
      <c r="A222" s="15">
        <v>218</v>
      </c>
      <c r="B222" s="15" t="s">
        <v>87</v>
      </c>
      <c r="C222" s="15" t="s">
        <v>88</v>
      </c>
      <c r="D222" s="15" t="s">
        <v>432</v>
      </c>
      <c r="E222" s="15" t="s">
        <v>116</v>
      </c>
      <c r="F222" s="15" t="s">
        <v>35</v>
      </c>
      <c r="G222" s="15" t="s">
        <v>74</v>
      </c>
      <c r="H222" s="15" t="s">
        <v>1801</v>
      </c>
      <c r="I222" s="15" t="s">
        <v>1802</v>
      </c>
      <c r="J222" s="15" t="s">
        <v>1803</v>
      </c>
      <c r="K222" s="15" t="s">
        <v>625</v>
      </c>
      <c r="L222" s="15" t="s">
        <v>626</v>
      </c>
      <c r="M222" s="15" t="s">
        <v>627</v>
      </c>
      <c r="N222" s="15" t="s">
        <v>628</v>
      </c>
      <c r="O222" s="15" t="s">
        <v>82</v>
      </c>
      <c r="P222" s="15" t="s">
        <v>1804</v>
      </c>
      <c r="Q222" s="15" t="s">
        <v>1805</v>
      </c>
      <c r="R222" s="16">
        <v>44329</v>
      </c>
      <c r="S222" s="17" t="s">
        <v>70</v>
      </c>
      <c r="T222" s="20">
        <f>HYPERLINK("https://vnm.spiral.com.vn//uploaded/20210513/d8ffefbc-813b-442c-a4cb-f8d4b7c2f620.JPEG","16:36:03")</f>
      </c>
      <c r="U222" s="20">
        <f>HYPERLINK("https://vnm.spiral.com.vn//uploaded/20210513/a0d28f51-0b09-4856-b148-c703c7e91041.JPEG","17:04:04")</f>
      </c>
      <c r="V222" s="18">
        <v>0.01945601851851852</v>
      </c>
      <c r="W222" s="15" t="s">
        <v>1806</v>
      </c>
      <c r="X222" s="15" t="s">
        <v>1807</v>
      </c>
      <c r="Y222" s="15" t="s">
        <v>35</v>
      </c>
      <c r="Z222" s="19">
        <v>0</v>
      </c>
      <c r="AA222" s="15">
        <v>0</v>
      </c>
      <c r="AB222" s="15" t="s">
        <v>35</v>
      </c>
    </row>
    <row r="223">
      <c r="A223" s="15">
        <v>219</v>
      </c>
      <c r="B223" s="15" t="s">
        <v>61</v>
      </c>
      <c r="C223" s="15" t="s">
        <v>303</v>
      </c>
      <c r="D223" s="15" t="s">
        <v>35</v>
      </c>
      <c r="E223" s="15" t="s">
        <v>35</v>
      </c>
      <c r="F223" s="15" t="s">
        <v>35</v>
      </c>
      <c r="G223" s="15" t="s">
        <v>36</v>
      </c>
      <c r="H223" s="15" t="s">
        <v>1808</v>
      </c>
      <c r="I223" s="15" t="s">
        <v>1809</v>
      </c>
      <c r="J223" s="15" t="s">
        <v>1810</v>
      </c>
      <c r="K223" s="15" t="s">
        <v>40</v>
      </c>
      <c r="L223" s="15" t="s">
        <v>41</v>
      </c>
      <c r="M223" s="15" t="s">
        <v>205</v>
      </c>
      <c r="N223" s="15" t="s">
        <v>206</v>
      </c>
      <c r="O223" s="15" t="s">
        <v>44</v>
      </c>
      <c r="P223" s="15" t="s">
        <v>1811</v>
      </c>
      <c r="Q223" s="15" t="s">
        <v>1812</v>
      </c>
      <c r="R223" s="16">
        <v>44329</v>
      </c>
      <c r="S223" s="17" t="s">
        <v>70</v>
      </c>
      <c r="T223" s="20">
        <f>HYPERLINK("https://vnm.spiral.com.vn//uploaded/20210513/cf93ed59-9af2-423c-a88f-7de8805ef493.JPEG","08:09:04")</f>
      </c>
      <c r="U223" s="20">
        <f>HYPERLINK("https://vnm.spiral.com.vn//uploaded/20210513/5e6ac94e-843f-49ec-bd6c-59064023856a.JPEG","17:04:01")</f>
      </c>
      <c r="V223" s="18">
        <v>0.37149305555555556</v>
      </c>
      <c r="W223" s="15" t="s">
        <v>1813</v>
      </c>
      <c r="X223" s="15" t="s">
        <v>1814</v>
      </c>
      <c r="Y223" s="15" t="s">
        <v>35</v>
      </c>
      <c r="Z223" s="19">
        <v>0</v>
      </c>
      <c r="AA223" s="15">
        <v>0</v>
      </c>
      <c r="AB223" s="15" t="s">
        <v>35</v>
      </c>
    </row>
    <row r="224">
      <c r="A224" s="15">
        <v>220</v>
      </c>
      <c r="B224" s="15" t="s">
        <v>49</v>
      </c>
      <c r="C224" s="15" t="s">
        <v>468</v>
      </c>
      <c r="D224" s="15" t="s">
        <v>35</v>
      </c>
      <c r="E224" s="15" t="s">
        <v>35</v>
      </c>
      <c r="F224" s="15" t="s">
        <v>469</v>
      </c>
      <c r="G224" s="15" t="s">
        <v>36</v>
      </c>
      <c r="H224" s="15" t="s">
        <v>1815</v>
      </c>
      <c r="I224" s="15" t="s">
        <v>1816</v>
      </c>
      <c r="J224" s="15" t="s">
        <v>1817</v>
      </c>
      <c r="K224" s="15" t="s">
        <v>40</v>
      </c>
      <c r="L224" s="15" t="s">
        <v>41</v>
      </c>
      <c r="M224" s="15" t="s">
        <v>55</v>
      </c>
      <c r="N224" s="15" t="s">
        <v>56</v>
      </c>
      <c r="O224" s="15" t="s">
        <v>44</v>
      </c>
      <c r="P224" s="15" t="s">
        <v>1818</v>
      </c>
      <c r="Q224" s="15" t="s">
        <v>1819</v>
      </c>
      <c r="R224" s="16">
        <v>44329</v>
      </c>
      <c r="S224" s="17" t="s">
        <v>70</v>
      </c>
      <c r="T224" s="20">
        <f>HYPERLINK("https://vnm.spiral.com.vn//uploaded/20210513/0FC20AB4-97A3-46B9-B411-95CFBA64C0BE.jpg","08:12:57")</f>
      </c>
      <c r="U224" s="20">
        <f>HYPERLINK("https://vnm.spiral.com.vn//uploaded/20210513/FC4B8036-5F91-43BE-9324-F8C809490E58.jpg","17:04:00")</f>
      </c>
      <c r="V224" s="18">
        <v>0.36878472222222225</v>
      </c>
      <c r="W224" s="15" t="s">
        <v>1820</v>
      </c>
      <c r="X224" s="15" t="s">
        <v>1821</v>
      </c>
      <c r="Y224" s="15" t="s">
        <v>35</v>
      </c>
      <c r="Z224" s="19">
        <v>0</v>
      </c>
      <c r="AA224" s="15">
        <v>0</v>
      </c>
      <c r="AB224" s="15" t="s">
        <v>35</v>
      </c>
    </row>
    <row r="225">
      <c r="A225" s="15">
        <v>221</v>
      </c>
      <c r="B225" s="15" t="s">
        <v>103</v>
      </c>
      <c r="C225" s="15" t="s">
        <v>1078</v>
      </c>
      <c r="D225" s="15" t="s">
        <v>135</v>
      </c>
      <c r="E225" s="15" t="s">
        <v>116</v>
      </c>
      <c r="F225" s="15" t="s">
        <v>35</v>
      </c>
      <c r="G225" s="15" t="s">
        <v>74</v>
      </c>
      <c r="H225" s="15" t="s">
        <v>1822</v>
      </c>
      <c r="I225" s="15" t="s">
        <v>1823</v>
      </c>
      <c r="J225" s="15" t="s">
        <v>1824</v>
      </c>
      <c r="K225" s="15" t="s">
        <v>436</v>
      </c>
      <c r="L225" s="15" t="s">
        <v>437</v>
      </c>
      <c r="M225" s="15" t="s">
        <v>1429</v>
      </c>
      <c r="N225" s="15" t="s">
        <v>1430</v>
      </c>
      <c r="O225" s="15" t="s">
        <v>82</v>
      </c>
      <c r="P225" s="15" t="s">
        <v>1825</v>
      </c>
      <c r="Q225" s="15" t="s">
        <v>144</v>
      </c>
      <c r="R225" s="16">
        <v>44329</v>
      </c>
      <c r="S225" s="17" t="s">
        <v>70</v>
      </c>
      <c r="T225" s="20">
        <f>HYPERLINK("https://vnm.spiral.com.vn//uploaded/20210513/de03329e-2f51-4beb-8928-a1d28fca76fa.JPEG","15:44:57")</f>
      </c>
      <c r="U225" s="20">
        <f>HYPERLINK("https://vnm.spiral.com.vn//uploaded/20210513/32730fc8-056b-4c26-8195-6cfcc9c2b298.JPEG","17:03:55")</f>
      </c>
      <c r="V225" s="18">
        <v>0.05483796296296296</v>
      </c>
      <c r="W225" s="15" t="s">
        <v>1826</v>
      </c>
      <c r="X225" s="15" t="s">
        <v>1827</v>
      </c>
      <c r="Y225" s="15" t="s">
        <v>35</v>
      </c>
      <c r="Z225" s="19">
        <v>0</v>
      </c>
      <c r="AA225" s="15">
        <v>0</v>
      </c>
      <c r="AB225" s="15" t="s">
        <v>35</v>
      </c>
    </row>
    <row r="226">
      <c r="A226" s="15">
        <v>222</v>
      </c>
      <c r="B226" s="15" t="s">
        <v>87</v>
      </c>
      <c r="C226" s="15" t="s">
        <v>88</v>
      </c>
      <c r="D226" s="15" t="s">
        <v>89</v>
      </c>
      <c r="E226" s="15" t="s">
        <v>90</v>
      </c>
      <c r="F226" s="15" t="s">
        <v>35</v>
      </c>
      <c r="G226" s="15" t="s">
        <v>74</v>
      </c>
      <c r="H226" s="15" t="s">
        <v>1828</v>
      </c>
      <c r="I226" s="15" t="s">
        <v>1829</v>
      </c>
      <c r="J226" s="15" t="s">
        <v>1830</v>
      </c>
      <c r="K226" s="15" t="s">
        <v>96</v>
      </c>
      <c r="L226" s="15" t="s">
        <v>97</v>
      </c>
      <c r="M226" s="15" t="s">
        <v>1831</v>
      </c>
      <c r="N226" s="15" t="s">
        <v>1832</v>
      </c>
      <c r="O226" s="15" t="s">
        <v>156</v>
      </c>
      <c r="P226" s="15" t="s">
        <v>1833</v>
      </c>
      <c r="Q226" s="15" t="s">
        <v>1834</v>
      </c>
      <c r="R226" s="16">
        <v>44329</v>
      </c>
      <c r="S226" s="17" t="s">
        <v>1835</v>
      </c>
      <c r="T226" s="20">
        <f>HYPERLINK("https://vnm.spiral.com.vn//uploaded/20210513/ADC616B1-CB48-4453-85C6-82F72B45C078.jpg","07:58:44")</f>
      </c>
      <c r="U226" s="20">
        <f>HYPERLINK("https://vnm.spiral.com.vn//uploaded/20210513/2A23EB03-16AE-47F1-B6AF-F1220FCF343F.jpg","17:03:51")</f>
      </c>
      <c r="V226" s="18">
        <v>0.37855324074074076</v>
      </c>
      <c r="W226" s="15" t="s">
        <v>1836</v>
      </c>
      <c r="X226" s="15" t="s">
        <v>1837</v>
      </c>
      <c r="Y226" s="15" t="s">
        <v>35</v>
      </c>
      <c r="Z226" s="19">
        <v>0</v>
      </c>
      <c r="AA226" s="15">
        <v>0</v>
      </c>
      <c r="AB226" s="15" t="s">
        <v>35</v>
      </c>
    </row>
    <row r="227">
      <c r="A227" s="15">
        <v>223</v>
      </c>
      <c r="B227" s="15" t="s">
        <v>343</v>
      </c>
      <c r="C227" s="15" t="s">
        <v>344</v>
      </c>
      <c r="D227" s="15" t="s">
        <v>357</v>
      </c>
      <c r="E227" s="15" t="s">
        <v>90</v>
      </c>
      <c r="F227" s="15" t="s">
        <v>35</v>
      </c>
      <c r="G227" s="15" t="s">
        <v>74</v>
      </c>
      <c r="H227" s="15" t="s">
        <v>1838</v>
      </c>
      <c r="I227" s="15" t="s">
        <v>1839</v>
      </c>
      <c r="J227" s="15" t="s">
        <v>1840</v>
      </c>
      <c r="K227" s="15" t="s">
        <v>915</v>
      </c>
      <c r="L227" s="15" t="s">
        <v>916</v>
      </c>
      <c r="M227" s="15" t="s">
        <v>361</v>
      </c>
      <c r="N227" s="15" t="s">
        <v>362</v>
      </c>
      <c r="O227" s="15" t="s">
        <v>98</v>
      </c>
      <c r="P227" s="15" t="s">
        <v>363</v>
      </c>
      <c r="Q227" s="15" t="s">
        <v>364</v>
      </c>
      <c r="R227" s="16">
        <v>44329</v>
      </c>
      <c r="S227" s="17" t="s">
        <v>70</v>
      </c>
      <c r="T227" s="20">
        <f>HYPERLINK("https://vnm.spiral.com.vn//uploaded/20210513/D514A53F-DC95-405F-A07E-2277F39D33F5.jpg","16:07:06")</f>
      </c>
      <c r="U227" s="20">
        <f>HYPERLINK("https://vnm.spiral.com.vn//uploaded/20210513/A00E5BA6-FC24-4C4C-ADD4-AAD489196B2A.jpg","17:03:51")</f>
      </c>
      <c r="V227" s="18">
        <v>0.03940972222222222</v>
      </c>
      <c r="W227" s="15" t="s">
        <v>1841</v>
      </c>
      <c r="X227" s="15" t="s">
        <v>1842</v>
      </c>
      <c r="Y227" s="15" t="s">
        <v>35</v>
      </c>
      <c r="Z227" s="19">
        <v>0</v>
      </c>
      <c r="AA227" s="15">
        <v>0</v>
      </c>
      <c r="AB227" s="15" t="s">
        <v>35</v>
      </c>
    </row>
    <row r="228">
      <c r="A228" s="15">
        <v>224</v>
      </c>
      <c r="B228" s="15" t="s">
        <v>87</v>
      </c>
      <c r="C228" s="15" t="s">
        <v>88</v>
      </c>
      <c r="D228" s="15" t="s">
        <v>610</v>
      </c>
      <c r="E228" s="15" t="s">
        <v>90</v>
      </c>
      <c r="F228" s="15" t="s">
        <v>35</v>
      </c>
      <c r="G228" s="15" t="s">
        <v>74</v>
      </c>
      <c r="H228" s="15" t="s">
        <v>1843</v>
      </c>
      <c r="I228" s="15" t="s">
        <v>1844</v>
      </c>
      <c r="J228" s="15" t="s">
        <v>1845</v>
      </c>
      <c r="K228" s="15" t="s">
        <v>614</v>
      </c>
      <c r="L228" s="15" t="s">
        <v>615</v>
      </c>
      <c r="M228" s="15" t="s">
        <v>616</v>
      </c>
      <c r="N228" s="15" t="s">
        <v>617</v>
      </c>
      <c r="O228" s="15" t="s">
        <v>82</v>
      </c>
      <c r="P228" s="15" t="s">
        <v>1846</v>
      </c>
      <c r="Q228" s="15" t="s">
        <v>1847</v>
      </c>
      <c r="R228" s="16">
        <v>44329</v>
      </c>
      <c r="S228" s="17" t="s">
        <v>70</v>
      </c>
      <c r="T228" s="20">
        <f>HYPERLINK("https://vnm.spiral.com.vn//uploaded/20210513/799b8814-ef1b-499b-af00-671755223f76.JPEG","16:33:38")</f>
      </c>
      <c r="U228" s="20">
        <f>HYPERLINK("https://vnm.spiral.com.vn//uploaded/20210513/7148b6c7-ca1d-4341-abb8-549d689ac2d2.JPEG","17:03:50")</f>
      </c>
      <c r="V228" s="18">
        <v>0.020972222222222222</v>
      </c>
      <c r="W228" s="15" t="s">
        <v>1848</v>
      </c>
      <c r="X228" s="15" t="s">
        <v>1849</v>
      </c>
      <c r="Y228" s="15" t="s">
        <v>35</v>
      </c>
      <c r="Z228" s="19">
        <v>0</v>
      </c>
      <c r="AA228" s="15">
        <v>0</v>
      </c>
      <c r="AB228" s="15" t="s">
        <v>35</v>
      </c>
    </row>
    <row r="229">
      <c r="A229" s="15">
        <v>225</v>
      </c>
      <c r="B229" s="15" t="s">
        <v>49</v>
      </c>
      <c r="C229" s="15" t="s">
        <v>162</v>
      </c>
      <c r="D229" s="15" t="s">
        <v>35</v>
      </c>
      <c r="E229" s="15" t="s">
        <v>35</v>
      </c>
      <c r="F229" s="15" t="s">
        <v>1850</v>
      </c>
      <c r="G229" s="15" t="s">
        <v>36</v>
      </c>
      <c r="H229" s="15" t="s">
        <v>1851</v>
      </c>
      <c r="I229" s="15" t="s">
        <v>1852</v>
      </c>
      <c r="J229" s="15" t="s">
        <v>1853</v>
      </c>
      <c r="K229" s="15" t="s">
        <v>40</v>
      </c>
      <c r="L229" s="15" t="s">
        <v>41</v>
      </c>
      <c r="M229" s="15" t="s">
        <v>55</v>
      </c>
      <c r="N229" s="15" t="s">
        <v>56</v>
      </c>
      <c r="O229" s="15" t="s">
        <v>44</v>
      </c>
      <c r="P229" s="15" t="s">
        <v>1854</v>
      </c>
      <c r="Q229" s="15" t="s">
        <v>1855</v>
      </c>
      <c r="R229" s="16">
        <v>44329</v>
      </c>
      <c r="S229" s="17" t="s">
        <v>475</v>
      </c>
      <c r="T229" s="20">
        <f>HYPERLINK("https://vnm.spiral.com.vn//uploaded/20210513/05eff9dc-b33e-4e55-ae69-fa606b7d5007.JPEG","08:00:36")</f>
      </c>
      <c r="U229" s="20">
        <f>HYPERLINK("https://vnm.spiral.com.vn//uploaded/20210513/d22bd724-e9bb-4260-833e-374149f5b167.JPEG","17:03:48")</f>
      </c>
      <c r="V229" s="18">
        <v>0.37722222222222224</v>
      </c>
      <c r="W229" s="15" t="s">
        <v>1856</v>
      </c>
      <c r="X229" s="15" t="s">
        <v>1857</v>
      </c>
      <c r="Y229" s="15" t="s">
        <v>35</v>
      </c>
      <c r="Z229" s="19">
        <v>0</v>
      </c>
      <c r="AA229" s="15">
        <v>0</v>
      </c>
      <c r="AB229" s="15" t="s">
        <v>35</v>
      </c>
    </row>
    <row r="230">
      <c r="A230" s="15">
        <v>226</v>
      </c>
      <c r="B230" s="15" t="s">
        <v>343</v>
      </c>
      <c r="C230" s="15" t="s">
        <v>344</v>
      </c>
      <c r="D230" s="15" t="s">
        <v>432</v>
      </c>
      <c r="E230" s="15" t="s">
        <v>35</v>
      </c>
      <c r="F230" s="15" t="s">
        <v>35</v>
      </c>
      <c r="G230" s="15" t="s">
        <v>74</v>
      </c>
      <c r="H230" s="15" t="s">
        <v>1858</v>
      </c>
      <c r="I230" s="15" t="s">
        <v>1859</v>
      </c>
      <c r="J230" s="15" t="s">
        <v>1860</v>
      </c>
      <c r="K230" s="15" t="s">
        <v>1861</v>
      </c>
      <c r="L230" s="15" t="s">
        <v>1862</v>
      </c>
      <c r="M230" s="15" t="s">
        <v>1863</v>
      </c>
      <c r="N230" s="15" t="s">
        <v>1864</v>
      </c>
      <c r="O230" s="15" t="s">
        <v>82</v>
      </c>
      <c r="P230" s="15" t="s">
        <v>1865</v>
      </c>
      <c r="Q230" s="15" t="s">
        <v>1866</v>
      </c>
      <c r="R230" s="16">
        <v>44329</v>
      </c>
      <c r="S230" s="17" t="s">
        <v>70</v>
      </c>
      <c r="T230" s="20">
        <f>HYPERLINK("https://vnm.spiral.com.vn//uploaded/20210513/CD7424B4-5F3E-4E51-A0A8-5B52630E4EF5.jpg","16:44:02")</f>
      </c>
      <c r="U230" s="20">
        <f>HYPERLINK("https://vnm.spiral.com.vn//uploaded/20210513/4728BFDF-5CD9-49AD-B6F0-FB54EADCC1B5.jpg","17:03:35")</f>
      </c>
      <c r="V230" s="18">
        <v>0.01357638888888889</v>
      </c>
      <c r="W230" s="15" t="s">
        <v>1867</v>
      </c>
      <c r="X230" s="15" t="s">
        <v>1868</v>
      </c>
      <c r="Y230" s="15" t="s">
        <v>35</v>
      </c>
      <c r="Z230" s="19">
        <v>0</v>
      </c>
      <c r="AA230" s="15">
        <v>0</v>
      </c>
      <c r="AB230" s="15" t="s">
        <v>35</v>
      </c>
    </row>
    <row r="231">
      <c r="A231" s="15">
        <v>227</v>
      </c>
      <c r="B231" s="15" t="s">
        <v>33</v>
      </c>
      <c r="C231" s="15" t="s">
        <v>492</v>
      </c>
      <c r="D231" s="15" t="s">
        <v>536</v>
      </c>
      <c r="E231" s="15" t="s">
        <v>116</v>
      </c>
      <c r="F231" s="15" t="s">
        <v>35</v>
      </c>
      <c r="G231" s="15" t="s">
        <v>74</v>
      </c>
      <c r="H231" s="15" t="s">
        <v>1869</v>
      </c>
      <c r="I231" s="15" t="s">
        <v>1870</v>
      </c>
      <c r="J231" s="15" t="s">
        <v>1871</v>
      </c>
      <c r="K231" s="15" t="s">
        <v>540</v>
      </c>
      <c r="L231" s="15" t="s">
        <v>541</v>
      </c>
      <c r="M231" s="15" t="s">
        <v>542</v>
      </c>
      <c r="N231" s="15" t="s">
        <v>543</v>
      </c>
      <c r="O231" s="15" t="s">
        <v>82</v>
      </c>
      <c r="P231" s="15" t="s">
        <v>1872</v>
      </c>
      <c r="Q231" s="15" t="s">
        <v>1873</v>
      </c>
      <c r="R231" s="16">
        <v>44329</v>
      </c>
      <c r="S231" s="17" t="s">
        <v>70</v>
      </c>
      <c r="T231" s="20">
        <f>HYPERLINK("https://vnm.spiral.com.vn//uploaded/20210513/41dc9574-4abf-476c-a9a1-a474d114f0b2.JPEG","07:51:57")</f>
      </c>
      <c r="U231" s="20">
        <f>HYPERLINK("https://vnm.spiral.com.vn//uploaded/20210513/6b3e6ef6-c499-4d10-b513-4d657859061a.JPEG","17:03:34")</f>
      </c>
      <c r="V231" s="18">
        <v>0.38306712962962963</v>
      </c>
      <c r="W231" s="15" t="s">
        <v>1874</v>
      </c>
      <c r="X231" s="15" t="s">
        <v>1875</v>
      </c>
      <c r="Y231" s="15" t="s">
        <v>35</v>
      </c>
      <c r="Z231" s="19">
        <v>0</v>
      </c>
      <c r="AA231" s="15">
        <v>0</v>
      </c>
      <c r="AB231" s="15" t="s">
        <v>35</v>
      </c>
    </row>
    <row r="232">
      <c r="A232" s="15">
        <v>228</v>
      </c>
      <c r="B232" s="15" t="s">
        <v>343</v>
      </c>
      <c r="C232" s="15" t="s">
        <v>344</v>
      </c>
      <c r="D232" s="15" t="s">
        <v>357</v>
      </c>
      <c r="E232" s="15" t="s">
        <v>90</v>
      </c>
      <c r="F232" s="15" t="s">
        <v>35</v>
      </c>
      <c r="G232" s="15" t="s">
        <v>74</v>
      </c>
      <c r="H232" s="15" t="s">
        <v>1876</v>
      </c>
      <c r="I232" s="15" t="s">
        <v>1877</v>
      </c>
      <c r="J232" s="15" t="s">
        <v>1878</v>
      </c>
      <c r="K232" s="15" t="s">
        <v>361</v>
      </c>
      <c r="L232" s="15" t="s">
        <v>362</v>
      </c>
      <c r="M232" s="15" t="s">
        <v>363</v>
      </c>
      <c r="N232" s="15" t="s">
        <v>364</v>
      </c>
      <c r="O232" s="15" t="s">
        <v>156</v>
      </c>
      <c r="P232" s="15" t="s">
        <v>1879</v>
      </c>
      <c r="Q232" s="15" t="s">
        <v>1880</v>
      </c>
      <c r="R232" s="16">
        <v>44329</v>
      </c>
      <c r="S232" s="17" t="s">
        <v>70</v>
      </c>
      <c r="T232" s="20">
        <f>HYPERLINK("https://vnm.spiral.com.vn//uploaded/20210513/b1a4ebf2-911c-4f3d-9db3-3b044ff6b3d8.JPEG","07:55:40")</f>
      </c>
      <c r="U232" s="20">
        <f>HYPERLINK("https://vnm.spiral.com.vn//uploaded/20210513/a93bbded-bf8e-4fb3-80d7-6305cfd595d2.JPEG","17:03:33")</f>
      </c>
      <c r="V232" s="18">
        <v>0.38047453703703704</v>
      </c>
      <c r="W232" s="15" t="s">
        <v>1881</v>
      </c>
      <c r="X232" s="15" t="s">
        <v>1882</v>
      </c>
      <c r="Y232" s="15" t="s">
        <v>35</v>
      </c>
      <c r="Z232" s="19">
        <v>0</v>
      </c>
      <c r="AA232" s="15">
        <v>0</v>
      </c>
      <c r="AB232" s="15" t="s">
        <v>35</v>
      </c>
    </row>
    <row r="233">
      <c r="A233" s="15">
        <v>229</v>
      </c>
      <c r="B233" s="15" t="s">
        <v>103</v>
      </c>
      <c r="C233" s="15" t="s">
        <v>186</v>
      </c>
      <c r="D233" s="15" t="s">
        <v>432</v>
      </c>
      <c r="E233" s="15" t="s">
        <v>116</v>
      </c>
      <c r="F233" s="15" t="s">
        <v>35</v>
      </c>
      <c r="G233" s="15" t="s">
        <v>74</v>
      </c>
      <c r="H233" s="15" t="s">
        <v>1883</v>
      </c>
      <c r="I233" s="15" t="s">
        <v>1884</v>
      </c>
      <c r="J233" s="15" t="s">
        <v>1885</v>
      </c>
      <c r="K233" s="15" t="s">
        <v>436</v>
      </c>
      <c r="L233" s="15" t="s">
        <v>437</v>
      </c>
      <c r="M233" s="15" t="s">
        <v>438</v>
      </c>
      <c r="N233" s="15" t="s">
        <v>439</v>
      </c>
      <c r="O233" s="15" t="s">
        <v>82</v>
      </c>
      <c r="P233" s="15" t="s">
        <v>1886</v>
      </c>
      <c r="Q233" s="15" t="s">
        <v>1887</v>
      </c>
      <c r="R233" s="16">
        <v>44329</v>
      </c>
      <c r="S233" s="17" t="s">
        <v>70</v>
      </c>
      <c r="T233" s="20">
        <f>HYPERLINK("https://vnm.spiral.com.vn//uploaded/20210513/25ebe52d-5558-41a1-af43-444989449ec1.JPEG","16:27:48")</f>
      </c>
      <c r="U233" s="20">
        <f>HYPERLINK("https://vnm.spiral.com.vn//uploaded/20210513/36992383-f20a-47c1-a9c1-38831ffa69f4.JPEG","17:03:31")</f>
      </c>
      <c r="V233" s="18">
        <v>0.02480324074074074</v>
      </c>
      <c r="W233" s="15" t="s">
        <v>1888</v>
      </c>
      <c r="X233" s="15" t="s">
        <v>1889</v>
      </c>
      <c r="Y233" s="15" t="s">
        <v>35</v>
      </c>
      <c r="Z233" s="19">
        <v>0</v>
      </c>
      <c r="AA233" s="15">
        <v>0</v>
      </c>
      <c r="AB233" s="15" t="s">
        <v>35</v>
      </c>
    </row>
    <row r="234">
      <c r="A234" s="15">
        <v>230</v>
      </c>
      <c r="B234" s="15" t="s">
        <v>87</v>
      </c>
      <c r="C234" s="15" t="s">
        <v>88</v>
      </c>
      <c r="D234" s="15" t="s">
        <v>35</v>
      </c>
      <c r="E234" s="15" t="s">
        <v>35</v>
      </c>
      <c r="F234" s="15" t="s">
        <v>35</v>
      </c>
      <c r="G234" s="15" t="s">
        <v>74</v>
      </c>
      <c r="H234" s="15" t="s">
        <v>1890</v>
      </c>
      <c r="I234" s="15" t="s">
        <v>1891</v>
      </c>
      <c r="J234" s="15" t="s">
        <v>1892</v>
      </c>
      <c r="K234" s="15" t="s">
        <v>888</v>
      </c>
      <c r="L234" s="15" t="s">
        <v>889</v>
      </c>
      <c r="M234" s="15" t="s">
        <v>924</v>
      </c>
      <c r="N234" s="15" t="s">
        <v>925</v>
      </c>
      <c r="O234" s="15" t="s">
        <v>82</v>
      </c>
      <c r="P234" s="15" t="s">
        <v>1893</v>
      </c>
      <c r="Q234" s="15" t="s">
        <v>1894</v>
      </c>
      <c r="R234" s="16">
        <v>44329</v>
      </c>
      <c r="S234" s="17" t="s">
        <v>70</v>
      </c>
      <c r="T234" s="20">
        <f>HYPERLINK("https://vnm.spiral.com.vn//uploaded/20210513/5F1290DF-D8D8-40AE-85E3-21A890E44907.jpg","16:14:48")</f>
      </c>
      <c r="U234" s="20">
        <f>HYPERLINK("https://vnm.spiral.com.vn//uploaded/20210513/106D5112-8AF2-4F29-B7FE-4F4164BFF4A7.jpg","17:03:29")</f>
      </c>
      <c r="V234" s="18">
        <v>0.03380787037037037</v>
      </c>
      <c r="W234" s="15" t="s">
        <v>1895</v>
      </c>
      <c r="X234" s="15" t="s">
        <v>1896</v>
      </c>
      <c r="Y234" s="15" t="s">
        <v>35</v>
      </c>
      <c r="Z234" s="19">
        <v>0</v>
      </c>
      <c r="AA234" s="15">
        <v>0</v>
      </c>
      <c r="AB234" s="15" t="s">
        <v>35</v>
      </c>
    </row>
    <row r="235">
      <c r="A235" s="15">
        <v>231</v>
      </c>
      <c r="B235" s="15" t="s">
        <v>343</v>
      </c>
      <c r="C235" s="15" t="s">
        <v>344</v>
      </c>
      <c r="D235" s="15" t="s">
        <v>1897</v>
      </c>
      <c r="E235" s="15" t="s">
        <v>90</v>
      </c>
      <c r="F235" s="15" t="s">
        <v>35</v>
      </c>
      <c r="G235" s="15" t="s">
        <v>74</v>
      </c>
      <c r="H235" s="15" t="s">
        <v>1898</v>
      </c>
      <c r="I235" s="15" t="s">
        <v>1899</v>
      </c>
      <c r="J235" s="15" t="s">
        <v>1900</v>
      </c>
      <c r="K235" s="15" t="s">
        <v>915</v>
      </c>
      <c r="L235" s="15" t="s">
        <v>916</v>
      </c>
      <c r="M235" s="15" t="s">
        <v>349</v>
      </c>
      <c r="N235" s="15" t="s">
        <v>350</v>
      </c>
      <c r="O235" s="15" t="s">
        <v>98</v>
      </c>
      <c r="P235" s="15" t="s">
        <v>1524</v>
      </c>
      <c r="Q235" s="15" t="s">
        <v>429</v>
      </c>
      <c r="R235" s="16">
        <v>44329</v>
      </c>
      <c r="S235" s="17" t="s">
        <v>70</v>
      </c>
      <c r="T235" s="20">
        <f>HYPERLINK("https://vnm.spiral.com.vn//uploaded/20210513/354C8A81-97A2-41A8-AF50-F73F58BFD526.jpg","08:13:20")</f>
      </c>
      <c r="U235" s="20">
        <f>HYPERLINK("https://vnm.spiral.com.vn//uploaded/20210513/02EEA015-B8D8-409D-964F-BDAB3CA296D8.jpg","17:03:25")</f>
      </c>
      <c r="V235" s="18">
        <v>0.36811342592592594</v>
      </c>
      <c r="W235" s="15" t="s">
        <v>1901</v>
      </c>
      <c r="X235" s="15" t="s">
        <v>1902</v>
      </c>
      <c r="Y235" s="15" t="s">
        <v>35</v>
      </c>
      <c r="Z235" s="19">
        <v>0</v>
      </c>
      <c r="AA235" s="15">
        <v>0</v>
      </c>
      <c r="AB235" s="15" t="s">
        <v>35</v>
      </c>
    </row>
    <row r="236">
      <c r="A236" s="15">
        <v>232</v>
      </c>
      <c r="B236" s="15" t="s">
        <v>87</v>
      </c>
      <c r="C236" s="15" t="s">
        <v>88</v>
      </c>
      <c r="D236" s="15" t="s">
        <v>35</v>
      </c>
      <c r="E236" s="15" t="s">
        <v>35</v>
      </c>
      <c r="F236" s="15" t="s">
        <v>35</v>
      </c>
      <c r="G236" s="15" t="s">
        <v>74</v>
      </c>
      <c r="H236" s="15" t="s">
        <v>1903</v>
      </c>
      <c r="I236" s="15" t="s">
        <v>1904</v>
      </c>
      <c r="J236" s="15" t="s">
        <v>1905</v>
      </c>
      <c r="K236" s="15" t="s">
        <v>888</v>
      </c>
      <c r="L236" s="15" t="s">
        <v>889</v>
      </c>
      <c r="M236" s="15" t="s">
        <v>924</v>
      </c>
      <c r="N236" s="15" t="s">
        <v>925</v>
      </c>
      <c r="O236" s="15" t="s">
        <v>82</v>
      </c>
      <c r="P236" s="15" t="s">
        <v>1906</v>
      </c>
      <c r="Q236" s="15" t="s">
        <v>1907</v>
      </c>
      <c r="R236" s="16">
        <v>44329</v>
      </c>
      <c r="S236" s="17" t="s">
        <v>70</v>
      </c>
      <c r="T236" s="20">
        <f>HYPERLINK("https://vnm.spiral.com.vn//uploaded/20210513/02aa0128-767b-4a29-a25e-1c01652a037d.JPEG","16:11:12")</f>
      </c>
      <c r="U236" s="20">
        <f>HYPERLINK("https://vnm.spiral.com.vn//uploaded/20210513/96167c34-0df0-4d67-a870-3a2d6fe75a55.JPEG","17:03:22")</f>
      </c>
      <c r="V236" s="18">
        <v>0.03622685185185185</v>
      </c>
      <c r="W236" s="15" t="s">
        <v>1908</v>
      </c>
      <c r="X236" s="15" t="s">
        <v>1909</v>
      </c>
      <c r="Y236" s="15" t="s">
        <v>35</v>
      </c>
      <c r="Z236" s="19">
        <v>0</v>
      </c>
      <c r="AA236" s="15">
        <v>0</v>
      </c>
      <c r="AB236" s="15" t="s">
        <v>35</v>
      </c>
    </row>
    <row r="237">
      <c r="A237" s="15">
        <v>233</v>
      </c>
      <c r="B237" s="15" t="s">
        <v>87</v>
      </c>
      <c r="C237" s="15" t="s">
        <v>88</v>
      </c>
      <c r="D237" s="15" t="s">
        <v>1910</v>
      </c>
      <c r="E237" s="15" t="s">
        <v>1910</v>
      </c>
      <c r="F237" s="15" t="s">
        <v>35</v>
      </c>
      <c r="G237" s="15" t="s">
        <v>74</v>
      </c>
      <c r="H237" s="15" t="s">
        <v>1911</v>
      </c>
      <c r="I237" s="15" t="s">
        <v>1912</v>
      </c>
      <c r="J237" s="15" t="s">
        <v>1913</v>
      </c>
      <c r="K237" s="15" t="s">
        <v>888</v>
      </c>
      <c r="L237" s="15" t="s">
        <v>889</v>
      </c>
      <c r="M237" s="15" t="s">
        <v>890</v>
      </c>
      <c r="N237" s="15" t="s">
        <v>891</v>
      </c>
      <c r="O237" s="15" t="s">
        <v>82</v>
      </c>
      <c r="P237" s="15" t="s">
        <v>1914</v>
      </c>
      <c r="Q237" s="15" t="s">
        <v>1915</v>
      </c>
      <c r="R237" s="16">
        <v>44329</v>
      </c>
      <c r="S237" s="17" t="s">
        <v>70</v>
      </c>
      <c r="T237" s="20">
        <f>HYPERLINK("https://vnm.spiral.com.vn//uploaded/20210513/0081C0A6-5AFE-4C8A-BC72-17976763CDCF.jpg","16:17:25")</f>
      </c>
      <c r="U237" s="20">
        <f>HYPERLINK("https://vnm.spiral.com.vn//uploaded/20210513/A67DF9B4-49BF-4FDD-AF12-2FA3EBBBAAAA.jpg","17:03:21")</f>
      </c>
      <c r="V237" s="18">
        <v>0.03189814814814815</v>
      </c>
      <c r="W237" s="15" t="s">
        <v>1916</v>
      </c>
      <c r="X237" s="15" t="s">
        <v>1916</v>
      </c>
      <c r="Y237" s="15" t="s">
        <v>35</v>
      </c>
      <c r="Z237" s="19">
        <v>0</v>
      </c>
      <c r="AA237" s="15">
        <v>0</v>
      </c>
      <c r="AB237" s="15" t="s">
        <v>35</v>
      </c>
    </row>
    <row r="238">
      <c r="A238" s="15">
        <v>234</v>
      </c>
      <c r="B238" s="15" t="s">
        <v>87</v>
      </c>
      <c r="C238" s="15" t="s">
        <v>88</v>
      </c>
      <c r="D238" s="15" t="s">
        <v>115</v>
      </c>
      <c r="E238" s="15" t="s">
        <v>116</v>
      </c>
      <c r="F238" s="15" t="s">
        <v>35</v>
      </c>
      <c r="G238" s="15" t="s">
        <v>74</v>
      </c>
      <c r="H238" s="15" t="s">
        <v>1917</v>
      </c>
      <c r="I238" s="15" t="s">
        <v>1918</v>
      </c>
      <c r="J238" s="15" t="s">
        <v>1919</v>
      </c>
      <c r="K238" s="15" t="s">
        <v>120</v>
      </c>
      <c r="L238" s="15" t="s">
        <v>121</v>
      </c>
      <c r="M238" s="15" t="s">
        <v>122</v>
      </c>
      <c r="N238" s="15" t="s">
        <v>123</v>
      </c>
      <c r="O238" s="15" t="s">
        <v>82</v>
      </c>
      <c r="P238" s="15" t="s">
        <v>1920</v>
      </c>
      <c r="Q238" s="15" t="s">
        <v>1921</v>
      </c>
      <c r="R238" s="16">
        <v>44329</v>
      </c>
      <c r="S238" s="17" t="s">
        <v>70</v>
      </c>
      <c r="T238" s="20">
        <f>HYPERLINK("https://vnm.spiral.com.vn//uploaded/20210513/3fd01395-264f-463f-96bf-31719b24eb35.JPEG","16:07:30")</f>
      </c>
      <c r="U238" s="20">
        <f>HYPERLINK("https://vnm.spiral.com.vn//uploaded/20210513/99d79466-3826-4a8b-b1ad-2fe0cd8c667e.JPEG","17:03:15")</f>
      </c>
      <c r="V238" s="18">
        <v>0.03871527777777778</v>
      </c>
      <c r="W238" s="15" t="s">
        <v>1922</v>
      </c>
      <c r="X238" s="15" t="s">
        <v>1923</v>
      </c>
      <c r="Y238" s="15" t="s">
        <v>35</v>
      </c>
      <c r="Z238" s="19">
        <v>0</v>
      </c>
      <c r="AA238" s="15">
        <v>0</v>
      </c>
      <c r="AB238" s="15" t="s">
        <v>35</v>
      </c>
    </row>
    <row r="239">
      <c r="A239" s="15">
        <v>235</v>
      </c>
      <c r="B239" s="15" t="s">
        <v>33</v>
      </c>
      <c r="C239" s="15" t="s">
        <v>492</v>
      </c>
      <c r="D239" s="15" t="s">
        <v>536</v>
      </c>
      <c r="E239" s="15" t="s">
        <v>116</v>
      </c>
      <c r="F239" s="15" t="s">
        <v>35</v>
      </c>
      <c r="G239" s="15" t="s">
        <v>74</v>
      </c>
      <c r="H239" s="15" t="s">
        <v>1924</v>
      </c>
      <c r="I239" s="15" t="s">
        <v>1925</v>
      </c>
      <c r="J239" s="15" t="s">
        <v>1926</v>
      </c>
      <c r="K239" s="15" t="s">
        <v>540</v>
      </c>
      <c r="L239" s="15" t="s">
        <v>541</v>
      </c>
      <c r="M239" s="15" t="s">
        <v>542</v>
      </c>
      <c r="N239" s="15" t="s">
        <v>543</v>
      </c>
      <c r="O239" s="15" t="s">
        <v>82</v>
      </c>
      <c r="P239" s="15" t="s">
        <v>1927</v>
      </c>
      <c r="Q239" s="15" t="s">
        <v>1928</v>
      </c>
      <c r="R239" s="16">
        <v>44329</v>
      </c>
      <c r="S239" s="17" t="s">
        <v>70</v>
      </c>
      <c r="T239" s="20">
        <f>HYPERLINK("https://vnm.spiral.com.vn//uploaded/20210513/c5d82bcf-a578-4fd5-b776-cb42f1c3cbdb.JPEG","11:14:54")</f>
      </c>
      <c r="U239" s="20">
        <f>HYPERLINK("https://vnm.spiral.com.vn//uploaded/20210513/32fe105b-5099-4445-84c0-dcff5ff67810.JPEG","17:03:13")</f>
      </c>
      <c r="V239" s="18">
        <v>0.24188657407407407</v>
      </c>
      <c r="W239" s="15" t="s">
        <v>1929</v>
      </c>
      <c r="X239" s="15" t="s">
        <v>1930</v>
      </c>
      <c r="Y239" s="15" t="s">
        <v>35</v>
      </c>
      <c r="Z239" s="19">
        <v>0</v>
      </c>
      <c r="AA239" s="15">
        <v>0</v>
      </c>
      <c r="AB239" s="15" t="s">
        <v>35</v>
      </c>
    </row>
    <row r="240">
      <c r="A240" s="15">
        <v>236</v>
      </c>
      <c r="B240" s="15" t="s">
        <v>246</v>
      </c>
      <c r="C240" s="15" t="s">
        <v>276</v>
      </c>
      <c r="D240" s="15" t="s">
        <v>89</v>
      </c>
      <c r="E240" s="15" t="s">
        <v>90</v>
      </c>
      <c r="F240" s="15" t="s">
        <v>35</v>
      </c>
      <c r="G240" s="15" t="s">
        <v>74</v>
      </c>
      <c r="H240" s="15" t="s">
        <v>277</v>
      </c>
      <c r="I240" s="15" t="s">
        <v>278</v>
      </c>
      <c r="J240" s="15" t="s">
        <v>279</v>
      </c>
      <c r="K240" s="15" t="s">
        <v>166</v>
      </c>
      <c r="L240" s="15" t="s">
        <v>167</v>
      </c>
      <c r="M240" s="15" t="s">
        <v>263</v>
      </c>
      <c r="N240" s="15" t="s">
        <v>264</v>
      </c>
      <c r="O240" s="15" t="s">
        <v>98</v>
      </c>
      <c r="P240" s="15" t="s">
        <v>280</v>
      </c>
      <c r="Q240" s="15" t="s">
        <v>281</v>
      </c>
      <c r="R240" s="16">
        <v>44329</v>
      </c>
      <c r="S240" s="17" t="s">
        <v>70</v>
      </c>
      <c r="T240" s="20">
        <f>HYPERLINK("https://vnm.spiral.com.vn//uploaded/20210513/29eaa875-13f3-4544-b68f-402a56bd9620.JPEG","16:08:27")</f>
      </c>
      <c r="U240" s="20">
        <f>HYPERLINK("https://vnm.spiral.com.vn//uploaded/20210513/1aca935d-62a1-450f-926c-af01bb70a16f.JPEG","17:03:08")</f>
      </c>
      <c r="V240" s="18">
        <v>0.037974537037037036</v>
      </c>
      <c r="W240" s="15" t="s">
        <v>1931</v>
      </c>
      <c r="X240" s="15" t="s">
        <v>1932</v>
      </c>
      <c r="Y240" s="15" t="s">
        <v>35</v>
      </c>
      <c r="Z240" s="19">
        <v>0</v>
      </c>
      <c r="AA240" s="15">
        <v>0</v>
      </c>
      <c r="AB240" s="15" t="s">
        <v>35</v>
      </c>
    </row>
    <row r="241">
      <c r="A241" s="15">
        <v>237</v>
      </c>
      <c r="B241" s="15" t="s">
        <v>87</v>
      </c>
      <c r="C241" s="15" t="s">
        <v>88</v>
      </c>
      <c r="D241" s="15" t="s">
        <v>89</v>
      </c>
      <c r="E241" s="15" t="s">
        <v>90</v>
      </c>
      <c r="F241" s="15" t="s">
        <v>35</v>
      </c>
      <c r="G241" s="15" t="s">
        <v>74</v>
      </c>
      <c r="H241" s="15" t="s">
        <v>1933</v>
      </c>
      <c r="I241" s="15" t="s">
        <v>1934</v>
      </c>
      <c r="J241" s="15" t="s">
        <v>1935</v>
      </c>
      <c r="K241" s="15" t="s">
        <v>96</v>
      </c>
      <c r="L241" s="15" t="s">
        <v>97</v>
      </c>
      <c r="M241" s="15" t="s">
        <v>802</v>
      </c>
      <c r="N241" s="15" t="s">
        <v>803</v>
      </c>
      <c r="O241" s="15" t="s">
        <v>156</v>
      </c>
      <c r="P241" s="15" t="s">
        <v>1936</v>
      </c>
      <c r="Q241" s="15" t="s">
        <v>1937</v>
      </c>
      <c r="R241" s="16">
        <v>44329</v>
      </c>
      <c r="S241" s="17" t="s">
        <v>70</v>
      </c>
      <c r="T241" s="20">
        <f>HYPERLINK("https://vnm.spiral.com.vn//uploaded/20210513/774C9981-D267-44FE-B4A8-879207B46064.jpg","08:01:32")</f>
      </c>
      <c r="U241" s="20">
        <f>HYPERLINK("https://vnm.spiral.com.vn//uploaded/20210513/DD6FC2F7-FE04-4187-A1FA-7F88BBE8670D.jpg","17:03:03")</f>
      </c>
      <c r="V241" s="18">
        <v>0.37605324074074076</v>
      </c>
      <c r="W241" s="15" t="s">
        <v>1938</v>
      </c>
      <c r="X241" s="15" t="s">
        <v>1939</v>
      </c>
      <c r="Y241" s="15" t="s">
        <v>35</v>
      </c>
      <c r="Z241" s="19">
        <v>0</v>
      </c>
      <c r="AA241" s="15">
        <v>0</v>
      </c>
      <c r="AB241" s="15" t="s">
        <v>35</v>
      </c>
    </row>
    <row r="242">
      <c r="A242" s="15">
        <v>238</v>
      </c>
      <c r="B242" s="15" t="s">
        <v>343</v>
      </c>
      <c r="C242" s="15" t="s">
        <v>344</v>
      </c>
      <c r="D242" s="15" t="s">
        <v>357</v>
      </c>
      <c r="E242" s="15" t="s">
        <v>90</v>
      </c>
      <c r="F242" s="15" t="s">
        <v>35</v>
      </c>
      <c r="G242" s="15" t="s">
        <v>74</v>
      </c>
      <c r="H242" s="15" t="s">
        <v>1940</v>
      </c>
      <c r="I242" s="15" t="s">
        <v>1941</v>
      </c>
      <c r="J242" s="15" t="s">
        <v>1942</v>
      </c>
      <c r="K242" s="15" t="s">
        <v>361</v>
      </c>
      <c r="L242" s="15" t="s">
        <v>362</v>
      </c>
      <c r="M242" s="15" t="s">
        <v>917</v>
      </c>
      <c r="N242" s="15" t="s">
        <v>918</v>
      </c>
      <c r="O242" s="15" t="s">
        <v>82</v>
      </c>
      <c r="P242" s="15" t="s">
        <v>1943</v>
      </c>
      <c r="Q242" s="15" t="s">
        <v>1944</v>
      </c>
      <c r="R242" s="16">
        <v>44329</v>
      </c>
      <c r="S242" s="17" t="s">
        <v>70</v>
      </c>
      <c r="T242" s="20">
        <f>HYPERLINK("https://vnm.spiral.com.vn//uploaded/20210513/42c5021c-4633-4176-946d-c99b4c4dd5df.JPEG","07:53:31")</f>
      </c>
      <c r="U242" s="20">
        <f>HYPERLINK("https://vnm.spiral.com.vn//uploaded/20210513/18b7fe24-03e7-4fa5-999e-ff88189eb545.JPEG","17:02:59")</f>
      </c>
      <c r="V242" s="18">
        <v>0.38157407407407407</v>
      </c>
      <c r="W242" s="15" t="s">
        <v>1945</v>
      </c>
      <c r="X242" s="15" t="s">
        <v>1946</v>
      </c>
      <c r="Y242" s="15" t="s">
        <v>35</v>
      </c>
      <c r="Z242" s="19">
        <v>0</v>
      </c>
      <c r="AA242" s="15">
        <v>0</v>
      </c>
      <c r="AB242" s="15" t="s">
        <v>35</v>
      </c>
    </row>
    <row r="243">
      <c r="A243" s="15">
        <v>239</v>
      </c>
      <c r="B243" s="15" t="s">
        <v>61</v>
      </c>
      <c r="C243" s="15" t="s">
        <v>303</v>
      </c>
      <c r="D243" s="15" t="s">
        <v>35</v>
      </c>
      <c r="E243" s="15" t="s">
        <v>35</v>
      </c>
      <c r="F243" s="15" t="s">
        <v>1947</v>
      </c>
      <c r="G243" s="15" t="s">
        <v>36</v>
      </c>
      <c r="H243" s="15" t="s">
        <v>1948</v>
      </c>
      <c r="I243" s="15" t="s">
        <v>1949</v>
      </c>
      <c r="J243" s="15" t="s">
        <v>1950</v>
      </c>
      <c r="K243" s="15" t="s">
        <v>40</v>
      </c>
      <c r="L243" s="15" t="s">
        <v>41</v>
      </c>
      <c r="M243" s="15" t="s">
        <v>205</v>
      </c>
      <c r="N243" s="15" t="s">
        <v>206</v>
      </c>
      <c r="O243" s="15" t="s">
        <v>44</v>
      </c>
      <c r="P243" s="15" t="s">
        <v>1951</v>
      </c>
      <c r="Q243" s="15" t="s">
        <v>1952</v>
      </c>
      <c r="R243" s="16">
        <v>44329</v>
      </c>
      <c r="S243" s="17" t="s">
        <v>1199</v>
      </c>
      <c r="T243" s="20">
        <f>HYPERLINK("https://vnm.spiral.com.vn//uploaded/20210513/1eed1495-66f6-494e-822b-310ada1a0822.JPEG","17:02:58")</f>
      </c>
      <c r="U243" s="18"/>
      <c r="V243" s="18" t="s">
        <v>35</v>
      </c>
      <c r="W243" s="15" t="s">
        <v>1953</v>
      </c>
      <c r="X243" s="15" t="s">
        <v>35</v>
      </c>
      <c r="Y243" s="15" t="s">
        <v>35</v>
      </c>
      <c r="Z243" s="19">
        <v>0</v>
      </c>
      <c r="AA243" s="15">
        <v>0</v>
      </c>
      <c r="AB243" s="15" t="s">
        <v>35</v>
      </c>
    </row>
    <row r="244">
      <c r="A244" s="15">
        <v>240</v>
      </c>
      <c r="B244" s="15" t="s">
        <v>343</v>
      </c>
      <c r="C244" s="15" t="s">
        <v>344</v>
      </c>
      <c r="D244" s="15" t="s">
        <v>35</v>
      </c>
      <c r="E244" s="15" t="s">
        <v>35</v>
      </c>
      <c r="F244" s="15" t="s">
        <v>1954</v>
      </c>
      <c r="G244" s="15" t="s">
        <v>36</v>
      </c>
      <c r="H244" s="15" t="s">
        <v>1955</v>
      </c>
      <c r="I244" s="15" t="s">
        <v>1956</v>
      </c>
      <c r="J244" s="15" t="s">
        <v>1957</v>
      </c>
      <c r="K244" s="15" t="s">
        <v>40</v>
      </c>
      <c r="L244" s="15" t="s">
        <v>41</v>
      </c>
      <c r="M244" s="15" t="s">
        <v>409</v>
      </c>
      <c r="N244" s="15" t="s">
        <v>410</v>
      </c>
      <c r="O244" s="15" t="s">
        <v>44</v>
      </c>
      <c r="P244" s="15" t="s">
        <v>1958</v>
      </c>
      <c r="Q244" s="15" t="s">
        <v>1959</v>
      </c>
      <c r="R244" s="16">
        <v>44329</v>
      </c>
      <c r="S244" s="17" t="s">
        <v>70</v>
      </c>
      <c r="T244" s="20">
        <f>HYPERLINK("https://vnm.spiral.com.vn//uploaded/20210513/ed883748-daf7-4135-91d7-a074978cbc94.JPEG","08:00:16")</f>
      </c>
      <c r="U244" s="20">
        <f>HYPERLINK("https://vnm.spiral.com.vn//uploaded/20210513/42841a6a-ffad-42b6-949f-6e7774544932.JPEG","17:02:55")</f>
      </c>
      <c r="V244" s="18">
        <v>0.3768402777777778</v>
      </c>
      <c r="W244" s="15" t="s">
        <v>1960</v>
      </c>
      <c r="X244" s="15" t="s">
        <v>1961</v>
      </c>
      <c r="Y244" s="15" t="s">
        <v>35</v>
      </c>
      <c r="Z244" s="19">
        <v>0</v>
      </c>
      <c r="AA244" s="15">
        <v>0</v>
      </c>
      <c r="AB244" s="15" t="s">
        <v>35</v>
      </c>
    </row>
    <row r="245">
      <c r="A245" s="15">
        <v>241</v>
      </c>
      <c r="B245" s="15" t="s">
        <v>87</v>
      </c>
      <c r="C245" s="15" t="s">
        <v>88</v>
      </c>
      <c r="D245" s="15" t="s">
        <v>148</v>
      </c>
      <c r="E245" s="15" t="s">
        <v>90</v>
      </c>
      <c r="F245" s="15" t="s">
        <v>35</v>
      </c>
      <c r="G245" s="15" t="s">
        <v>74</v>
      </c>
      <c r="H245" s="15" t="s">
        <v>1962</v>
      </c>
      <c r="I245" s="15" t="s">
        <v>1963</v>
      </c>
      <c r="J245" s="15" t="s">
        <v>1964</v>
      </c>
      <c r="K245" s="15" t="s">
        <v>94</v>
      </c>
      <c r="L245" s="15" t="s">
        <v>95</v>
      </c>
      <c r="M245" s="15" t="s">
        <v>1204</v>
      </c>
      <c r="N245" s="15" t="s">
        <v>1205</v>
      </c>
      <c r="O245" s="15" t="s">
        <v>98</v>
      </c>
      <c r="P245" s="15" t="s">
        <v>1965</v>
      </c>
      <c r="Q245" s="15" t="s">
        <v>1966</v>
      </c>
      <c r="R245" s="16">
        <v>44329</v>
      </c>
      <c r="S245" s="17" t="s">
        <v>35</v>
      </c>
      <c r="T245" s="20">
        <f>HYPERLINK("https://vnm.spiral.com.vn//uploaded/20210513/98b49e02-6403-4e3a-9fbf-e386d3898746.jpg","16:32:21")</f>
      </c>
      <c r="U245" s="20">
        <f>HYPERLINK("https://vnm.spiral.com.vn//uploaded/20210513/820da407-fedc-4685-a765-6b42182b87f9.jpg","17:02:52")</f>
      </c>
      <c r="V245" s="18">
        <v>0.02119212962962963</v>
      </c>
      <c r="W245" s="15" t="s">
        <v>1967</v>
      </c>
      <c r="X245" s="15" t="s">
        <v>1968</v>
      </c>
      <c r="Y245" s="15" t="s">
        <v>35</v>
      </c>
      <c r="Z245" s="19">
        <v>0</v>
      </c>
      <c r="AA245" s="15">
        <v>0</v>
      </c>
      <c r="AB245" s="15" t="s">
        <v>35</v>
      </c>
    </row>
    <row r="246">
      <c r="A246" s="15">
        <v>242</v>
      </c>
      <c r="B246" s="15" t="s">
        <v>49</v>
      </c>
      <c r="C246" s="15" t="s">
        <v>162</v>
      </c>
      <c r="D246" s="15" t="s">
        <v>35</v>
      </c>
      <c r="E246" s="15" t="s">
        <v>35</v>
      </c>
      <c r="F246" s="15" t="s">
        <v>1969</v>
      </c>
      <c r="G246" s="15" t="s">
        <v>36</v>
      </c>
      <c r="H246" s="15" t="s">
        <v>1970</v>
      </c>
      <c r="I246" s="15" t="s">
        <v>1971</v>
      </c>
      <c r="J246" s="15" t="s">
        <v>1972</v>
      </c>
      <c r="K246" s="15" t="s">
        <v>40</v>
      </c>
      <c r="L246" s="15" t="s">
        <v>41</v>
      </c>
      <c r="M246" s="15" t="s">
        <v>55</v>
      </c>
      <c r="N246" s="15" t="s">
        <v>56</v>
      </c>
      <c r="O246" s="15" t="s">
        <v>44</v>
      </c>
      <c r="P246" s="15" t="s">
        <v>1973</v>
      </c>
      <c r="Q246" s="15" t="s">
        <v>1974</v>
      </c>
      <c r="R246" s="16">
        <v>44329</v>
      </c>
      <c r="S246" s="17" t="s">
        <v>59</v>
      </c>
      <c r="T246" s="20">
        <f>HYPERLINK("https://vnm.spiral.com.vn//uploaded/20210513/58E8E9EF-7C0A-4EC6-B92C-EB1391D2685F.jpg","12:56:09")</f>
      </c>
      <c r="U246" s="20">
        <f>HYPERLINK("https://vnm.spiral.com.vn//uploaded/20210513/8239FA9D-B55B-4DDD-8103-1A9613D58EBA.jpg","17:02:50")</f>
      </c>
      <c r="V246" s="18">
        <v>0.17130787037037037</v>
      </c>
      <c r="W246" s="15" t="s">
        <v>1975</v>
      </c>
      <c r="X246" s="15" t="s">
        <v>1976</v>
      </c>
      <c r="Y246" s="15" t="s">
        <v>35</v>
      </c>
      <c r="Z246" s="19">
        <v>0</v>
      </c>
      <c r="AA246" s="15">
        <v>0</v>
      </c>
      <c r="AB246" s="15" t="s">
        <v>35</v>
      </c>
    </row>
    <row r="247">
      <c r="A247" s="15">
        <v>243</v>
      </c>
      <c r="B247" s="15" t="s">
        <v>87</v>
      </c>
      <c r="C247" s="15" t="s">
        <v>88</v>
      </c>
      <c r="D247" s="15" t="s">
        <v>135</v>
      </c>
      <c r="E247" s="15" t="s">
        <v>116</v>
      </c>
      <c r="F247" s="15" t="s">
        <v>35</v>
      </c>
      <c r="G247" s="15" t="s">
        <v>74</v>
      </c>
      <c r="H247" s="15" t="s">
        <v>1977</v>
      </c>
      <c r="I247" s="15" t="s">
        <v>1978</v>
      </c>
      <c r="J247" s="15" t="s">
        <v>1979</v>
      </c>
      <c r="K247" s="15" t="s">
        <v>390</v>
      </c>
      <c r="L247" s="15" t="s">
        <v>391</v>
      </c>
      <c r="M247" s="15" t="s">
        <v>392</v>
      </c>
      <c r="N247" s="15" t="s">
        <v>393</v>
      </c>
      <c r="O247" s="15" t="s">
        <v>82</v>
      </c>
      <c r="P247" s="15" t="s">
        <v>1980</v>
      </c>
      <c r="Q247" s="15" t="s">
        <v>1981</v>
      </c>
      <c r="R247" s="16">
        <v>44329</v>
      </c>
      <c r="S247" s="17" t="s">
        <v>70</v>
      </c>
      <c r="T247" s="20">
        <f>HYPERLINK("https://vnm.spiral.com.vn//uploaded/20210513/c450f5fd-12f7-4d4a-a1a6-c124d1965479.JPEG","16:29:21")</f>
      </c>
      <c r="U247" s="20">
        <f>HYPERLINK("https://vnm.spiral.com.vn//uploaded/20210513/6dbe349b-306e-4acf-9aed-fe478a469dd5.JPEG","17:02:43")</f>
      </c>
      <c r="V247" s="18">
        <v>0.023171296296296297</v>
      </c>
      <c r="W247" s="15" t="s">
        <v>1982</v>
      </c>
      <c r="X247" s="15" t="s">
        <v>1983</v>
      </c>
      <c r="Y247" s="15" t="s">
        <v>35</v>
      </c>
      <c r="Z247" s="19">
        <v>0</v>
      </c>
      <c r="AA247" s="15">
        <v>0</v>
      </c>
      <c r="AB247" s="15" t="s">
        <v>35</v>
      </c>
    </row>
    <row r="248">
      <c r="A248" s="15">
        <v>244</v>
      </c>
      <c r="B248" s="15" t="s">
        <v>87</v>
      </c>
      <c r="C248" s="15" t="s">
        <v>88</v>
      </c>
      <c r="D248" s="15" t="s">
        <v>1910</v>
      </c>
      <c r="E248" s="15" t="s">
        <v>1910</v>
      </c>
      <c r="F248" s="15" t="s">
        <v>35</v>
      </c>
      <c r="G248" s="15" t="s">
        <v>74</v>
      </c>
      <c r="H248" s="15" t="s">
        <v>1984</v>
      </c>
      <c r="I248" s="15" t="s">
        <v>1985</v>
      </c>
      <c r="J248" s="15" t="s">
        <v>1986</v>
      </c>
      <c r="K248" s="15" t="s">
        <v>888</v>
      </c>
      <c r="L248" s="15" t="s">
        <v>889</v>
      </c>
      <c r="M248" s="15" t="s">
        <v>924</v>
      </c>
      <c r="N248" s="15" t="s">
        <v>925</v>
      </c>
      <c r="O248" s="15" t="s">
        <v>82</v>
      </c>
      <c r="P248" s="15" t="s">
        <v>1987</v>
      </c>
      <c r="Q248" s="15" t="s">
        <v>1988</v>
      </c>
      <c r="R248" s="16">
        <v>44329</v>
      </c>
      <c r="S248" s="17" t="s">
        <v>70</v>
      </c>
      <c r="T248" s="20">
        <f>HYPERLINK("https://vnm.spiral.com.vn//uploaded/20210513/a0b45b5d-fa19-4e8d-8ccc-f021044ee265.JPEG","16:01:35")</f>
      </c>
      <c r="U248" s="20">
        <f>HYPERLINK("https://vnm.spiral.com.vn//uploaded/20210513/625df5d2-4f54-4faa-a84a-078940e7b42b.JPEG","17:02:43")</f>
      </c>
      <c r="V248" s="18">
        <v>0.0424537037037037</v>
      </c>
      <c r="W248" s="15" t="s">
        <v>1989</v>
      </c>
      <c r="X248" s="15" t="s">
        <v>1990</v>
      </c>
      <c r="Y248" s="15" t="s">
        <v>35</v>
      </c>
      <c r="Z248" s="19">
        <v>0</v>
      </c>
      <c r="AA248" s="15">
        <v>0</v>
      </c>
      <c r="AB248" s="15" t="s">
        <v>35</v>
      </c>
    </row>
    <row r="249">
      <c r="A249" s="15">
        <v>245</v>
      </c>
      <c r="B249" s="15" t="s">
        <v>87</v>
      </c>
      <c r="C249" s="15" t="s">
        <v>88</v>
      </c>
      <c r="D249" s="15" t="s">
        <v>35</v>
      </c>
      <c r="E249" s="15" t="s">
        <v>35</v>
      </c>
      <c r="F249" s="15" t="s">
        <v>35</v>
      </c>
      <c r="G249" s="15" t="s">
        <v>35</v>
      </c>
      <c r="H249" s="15" t="s">
        <v>1991</v>
      </c>
      <c r="I249" s="15" t="s">
        <v>1992</v>
      </c>
      <c r="J249" s="15" t="s">
        <v>1993</v>
      </c>
      <c r="K249" s="15" t="s">
        <v>40</v>
      </c>
      <c r="L249" s="15" t="s">
        <v>41</v>
      </c>
      <c r="M249" s="15" t="s">
        <v>1195</v>
      </c>
      <c r="N249" s="15" t="s">
        <v>1196</v>
      </c>
      <c r="O249" s="15" t="s">
        <v>44</v>
      </c>
      <c r="P249" s="15" t="s">
        <v>1994</v>
      </c>
      <c r="Q249" s="15" t="s">
        <v>1995</v>
      </c>
      <c r="R249" s="16">
        <v>44329</v>
      </c>
      <c r="S249" s="17" t="s">
        <v>59</v>
      </c>
      <c r="T249" s="20">
        <f>HYPERLINK("https://vnm.spiral.com.vn//uploaded/20210513/a82e0d1c-f042-4c30-b28a-9c69bb02cb87.JPEG","13:22:35")</f>
      </c>
      <c r="U249" s="20">
        <f>HYPERLINK("https://vnm.spiral.com.vn//uploaded/20210513/141935fc-8926-4804-9af4-b06528a5a127.JPEG","17:02:43")</f>
      </c>
      <c r="V249" s="18">
        <v>0.15287037037037038</v>
      </c>
      <c r="W249" s="15" t="s">
        <v>1996</v>
      </c>
      <c r="X249" s="15" t="s">
        <v>1997</v>
      </c>
      <c r="Y249" s="15" t="s">
        <v>35</v>
      </c>
      <c r="Z249" s="19">
        <v>0</v>
      </c>
      <c r="AA249" s="15">
        <v>0</v>
      </c>
      <c r="AB249" s="15" t="s">
        <v>35</v>
      </c>
    </row>
    <row r="250">
      <c r="A250" s="15">
        <v>246</v>
      </c>
      <c r="B250" s="15" t="s">
        <v>87</v>
      </c>
      <c r="C250" s="15" t="s">
        <v>88</v>
      </c>
      <c r="D250" s="15" t="s">
        <v>35</v>
      </c>
      <c r="E250" s="15" t="s">
        <v>35</v>
      </c>
      <c r="F250" s="15" t="s">
        <v>35</v>
      </c>
      <c r="G250" s="15" t="s">
        <v>36</v>
      </c>
      <c r="H250" s="15" t="s">
        <v>1998</v>
      </c>
      <c r="I250" s="15" t="s">
        <v>1999</v>
      </c>
      <c r="J250" s="15" t="s">
        <v>2000</v>
      </c>
      <c r="K250" s="15" t="s">
        <v>40</v>
      </c>
      <c r="L250" s="15" t="s">
        <v>41</v>
      </c>
      <c r="M250" s="15" t="s">
        <v>289</v>
      </c>
      <c r="N250" s="15" t="s">
        <v>290</v>
      </c>
      <c r="O250" s="15" t="s">
        <v>44</v>
      </c>
      <c r="P250" s="15" t="s">
        <v>2001</v>
      </c>
      <c r="Q250" s="15" t="s">
        <v>2002</v>
      </c>
      <c r="R250" s="16">
        <v>44329</v>
      </c>
      <c r="S250" s="17" t="s">
        <v>2003</v>
      </c>
      <c r="T250" s="20">
        <f>HYPERLINK("https://vnm.spiral.com.vn//uploaded/20210513/DA623BE8-CD7E-4E7C-8EB9-7DA52CFF6F3A.jpg","17:02:41")</f>
      </c>
      <c r="U250" s="18"/>
      <c r="V250" s="18" t="s">
        <v>35</v>
      </c>
      <c r="W250" s="15" t="s">
        <v>2004</v>
      </c>
      <c r="X250" s="15" t="s">
        <v>35</v>
      </c>
      <c r="Y250" s="15" t="s">
        <v>35</v>
      </c>
      <c r="Z250" s="19">
        <v>0</v>
      </c>
      <c r="AA250" s="15">
        <v>0</v>
      </c>
      <c r="AB250" s="15" t="s">
        <v>35</v>
      </c>
    </row>
    <row r="251">
      <c r="A251" s="15">
        <v>247</v>
      </c>
      <c r="B251" s="15" t="s">
        <v>246</v>
      </c>
      <c r="C251" s="15" t="s">
        <v>2005</v>
      </c>
      <c r="D251" s="15" t="s">
        <v>357</v>
      </c>
      <c r="E251" s="15" t="s">
        <v>90</v>
      </c>
      <c r="F251" s="15" t="s">
        <v>35</v>
      </c>
      <c r="G251" s="15" t="s">
        <v>74</v>
      </c>
      <c r="H251" s="15" t="s">
        <v>2006</v>
      </c>
      <c r="I251" s="15" t="s">
        <v>2007</v>
      </c>
      <c r="J251" s="15" t="s">
        <v>2008</v>
      </c>
      <c r="K251" s="15" t="s">
        <v>263</v>
      </c>
      <c r="L251" s="15" t="s">
        <v>264</v>
      </c>
      <c r="M251" s="15" t="s">
        <v>2009</v>
      </c>
      <c r="N251" s="15" t="s">
        <v>2010</v>
      </c>
      <c r="O251" s="15" t="s">
        <v>156</v>
      </c>
      <c r="P251" s="15" t="s">
        <v>2011</v>
      </c>
      <c r="Q251" s="15" t="s">
        <v>2012</v>
      </c>
      <c r="R251" s="16">
        <v>44329</v>
      </c>
      <c r="S251" s="17" t="s">
        <v>1199</v>
      </c>
      <c r="T251" s="20">
        <f>HYPERLINK("https://vnm.spiral.com.vn//uploaded/20210513/8E429BAD-5EB1-4240-8958-74632BA9C91D.jpg","17:02:40")</f>
      </c>
      <c r="U251" s="18"/>
      <c r="V251" s="18" t="s">
        <v>35</v>
      </c>
      <c r="W251" s="15" t="s">
        <v>2013</v>
      </c>
      <c r="X251" s="15" t="s">
        <v>35</v>
      </c>
      <c r="Y251" s="15" t="s">
        <v>35</v>
      </c>
      <c r="Z251" s="19">
        <v>0</v>
      </c>
      <c r="AA251" s="15">
        <v>0</v>
      </c>
      <c r="AB251" s="15" t="s">
        <v>35</v>
      </c>
    </row>
    <row r="252">
      <c r="A252" s="15">
        <v>248</v>
      </c>
      <c r="B252" s="15" t="s">
        <v>87</v>
      </c>
      <c r="C252" s="15" t="s">
        <v>88</v>
      </c>
      <c r="D252" s="15" t="s">
        <v>135</v>
      </c>
      <c r="E252" s="15" t="s">
        <v>116</v>
      </c>
      <c r="F252" s="15" t="s">
        <v>35</v>
      </c>
      <c r="G252" s="15" t="s">
        <v>74</v>
      </c>
      <c r="H252" s="15" t="s">
        <v>2014</v>
      </c>
      <c r="I252" s="15" t="s">
        <v>2015</v>
      </c>
      <c r="J252" s="15" t="s">
        <v>2016</v>
      </c>
      <c r="K252" s="15" t="s">
        <v>139</v>
      </c>
      <c r="L252" s="15" t="s">
        <v>140</v>
      </c>
      <c r="M252" s="15" t="s">
        <v>530</v>
      </c>
      <c r="N252" s="15" t="s">
        <v>531</v>
      </c>
      <c r="O252" s="15" t="s">
        <v>82</v>
      </c>
      <c r="P252" s="15" t="s">
        <v>2017</v>
      </c>
      <c r="Q252" s="15" t="s">
        <v>2018</v>
      </c>
      <c r="R252" s="16">
        <v>44329</v>
      </c>
      <c r="S252" s="17" t="s">
        <v>70</v>
      </c>
      <c r="T252" s="20">
        <f>HYPERLINK("https://vnm.spiral.com.vn//uploaded/20210513/E0D203EB-A88D-4DD4-8EC6-81CE3BE89E72.jpg","16:12:02")</f>
      </c>
      <c r="U252" s="20">
        <f>HYPERLINK("https://vnm.spiral.com.vn//uploaded/20210513/3A8E231F-AABF-412B-8F3C-80295C2FCE98.jpg","17:02:38")</f>
      </c>
      <c r="V252" s="18">
        <v>0.035138888888888886</v>
      </c>
      <c r="W252" s="15" t="s">
        <v>2019</v>
      </c>
      <c r="X252" s="15" t="s">
        <v>2020</v>
      </c>
      <c r="Y252" s="15" t="s">
        <v>35</v>
      </c>
      <c r="Z252" s="19">
        <v>0</v>
      </c>
      <c r="AA252" s="15">
        <v>0</v>
      </c>
      <c r="AB252" s="15" t="s">
        <v>35</v>
      </c>
    </row>
    <row r="253">
      <c r="A253" s="15">
        <v>249</v>
      </c>
      <c r="B253" s="15" t="s">
        <v>87</v>
      </c>
      <c r="C253" s="15" t="s">
        <v>88</v>
      </c>
      <c r="D253" s="15" t="s">
        <v>357</v>
      </c>
      <c r="E253" s="15" t="s">
        <v>90</v>
      </c>
      <c r="F253" s="15" t="s">
        <v>35</v>
      </c>
      <c r="G253" s="15" t="s">
        <v>74</v>
      </c>
      <c r="H253" s="15" t="s">
        <v>2021</v>
      </c>
      <c r="I253" s="15" t="s">
        <v>2022</v>
      </c>
      <c r="J253" s="15" t="s">
        <v>2023</v>
      </c>
      <c r="K253" s="15" t="s">
        <v>1570</v>
      </c>
      <c r="L253" s="15" t="s">
        <v>1571</v>
      </c>
      <c r="M253" s="15" t="s">
        <v>2024</v>
      </c>
      <c r="N253" s="15" t="s">
        <v>2025</v>
      </c>
      <c r="O253" s="15" t="s">
        <v>82</v>
      </c>
      <c r="P253" s="15" t="s">
        <v>2026</v>
      </c>
      <c r="Q253" s="15" t="s">
        <v>2027</v>
      </c>
      <c r="R253" s="16">
        <v>44329</v>
      </c>
      <c r="S253" s="17" t="s">
        <v>70</v>
      </c>
      <c r="T253" s="20">
        <f>HYPERLINK("https://vnm.spiral.com.vn//uploaded/20210513/4ebf10c6-221d-4353-86e9-1709d57aeb2c.JPEG","16:44:30")</f>
      </c>
      <c r="U253" s="20">
        <f>HYPERLINK("https://vnm.spiral.com.vn//uploaded/20210513/f7d2e4e5-a63a-4d6d-b04b-a152094484f5.JPEG","17:02:36")</f>
      </c>
      <c r="V253" s="18">
        <v>0.012569444444444444</v>
      </c>
      <c r="W253" s="15" t="s">
        <v>2028</v>
      </c>
      <c r="X253" s="15" t="s">
        <v>2028</v>
      </c>
      <c r="Y253" s="15" t="s">
        <v>35</v>
      </c>
      <c r="Z253" s="19">
        <v>0</v>
      </c>
      <c r="AA253" s="15">
        <v>0</v>
      </c>
      <c r="AB253" s="15" t="s">
        <v>35</v>
      </c>
    </row>
    <row r="254">
      <c r="A254" s="15">
        <v>250</v>
      </c>
      <c r="B254" s="15" t="s">
        <v>61</v>
      </c>
      <c r="C254" s="15" t="s">
        <v>303</v>
      </c>
      <c r="D254" s="15" t="s">
        <v>379</v>
      </c>
      <c r="E254" s="15" t="s">
        <v>35</v>
      </c>
      <c r="F254" s="15" t="s">
        <v>35</v>
      </c>
      <c r="G254" s="15" t="s">
        <v>74</v>
      </c>
      <c r="H254" s="15" t="s">
        <v>2029</v>
      </c>
      <c r="I254" s="15" t="s">
        <v>2030</v>
      </c>
      <c r="J254" s="15" t="s">
        <v>2031</v>
      </c>
      <c r="K254" s="15" t="s">
        <v>152</v>
      </c>
      <c r="L254" s="15" t="s">
        <v>153</v>
      </c>
      <c r="M254" s="15" t="s">
        <v>309</v>
      </c>
      <c r="N254" s="15" t="s">
        <v>310</v>
      </c>
      <c r="O254" s="15" t="s">
        <v>98</v>
      </c>
      <c r="P254" s="15" t="s">
        <v>311</v>
      </c>
      <c r="Q254" s="15" t="s">
        <v>312</v>
      </c>
      <c r="R254" s="16">
        <v>44329</v>
      </c>
      <c r="S254" s="17" t="s">
        <v>35</v>
      </c>
      <c r="T254" s="20">
        <f>HYPERLINK("https://vnm.spiral.com.vn//uploaded/20210513/871823BC-208A-4139-B838-7CC1886536DF.jpg","13:59:29")</f>
      </c>
      <c r="U254" s="20">
        <f>HYPERLINK("https://vnm.spiral.com.vn//uploaded/20210513/429DB4DF-3272-4328-A0C7-14D980B2C2CE.jpg","17:02:34")</f>
      </c>
      <c r="V254" s="18">
        <v>0.12714120370370371</v>
      </c>
      <c r="W254" s="15" t="s">
        <v>2032</v>
      </c>
      <c r="X254" s="15" t="s">
        <v>2033</v>
      </c>
      <c r="Y254" s="15" t="s">
        <v>35</v>
      </c>
      <c r="Z254" s="19">
        <v>0</v>
      </c>
      <c r="AA254" s="15">
        <v>0</v>
      </c>
      <c r="AB254" s="15" t="s">
        <v>35</v>
      </c>
    </row>
    <row r="255">
      <c r="A255" s="15">
        <v>251</v>
      </c>
      <c r="B255" s="15" t="s">
        <v>87</v>
      </c>
      <c r="C255" s="15" t="s">
        <v>88</v>
      </c>
      <c r="D255" s="15" t="s">
        <v>135</v>
      </c>
      <c r="E255" s="15" t="s">
        <v>116</v>
      </c>
      <c r="F255" s="15" t="s">
        <v>35</v>
      </c>
      <c r="G255" s="15" t="s">
        <v>74</v>
      </c>
      <c r="H255" s="15" t="s">
        <v>2034</v>
      </c>
      <c r="I255" s="15" t="s">
        <v>2035</v>
      </c>
      <c r="J255" s="15" t="s">
        <v>2036</v>
      </c>
      <c r="K255" s="15" t="s">
        <v>390</v>
      </c>
      <c r="L255" s="15" t="s">
        <v>391</v>
      </c>
      <c r="M255" s="15" t="s">
        <v>392</v>
      </c>
      <c r="N255" s="15" t="s">
        <v>393</v>
      </c>
      <c r="O255" s="15" t="s">
        <v>82</v>
      </c>
      <c r="P255" s="15" t="s">
        <v>1497</v>
      </c>
      <c r="Q255" s="15" t="s">
        <v>1498</v>
      </c>
      <c r="R255" s="16">
        <v>44329</v>
      </c>
      <c r="S255" s="17" t="s">
        <v>70</v>
      </c>
      <c r="T255" s="20">
        <f>HYPERLINK("https://vnm.spiral.com.vn//uploaded/20210513/09cf6bce-3a53-4781-994c-8f0303002b78.JPEG","16:12:16")</f>
      </c>
      <c r="U255" s="20">
        <f>HYPERLINK("https://vnm.spiral.com.vn//uploaded/20210513/cfb123d0-2a1b-4fde-b7d3-5aafcd9cdd9d.JPEG","17:02:29")</f>
      </c>
      <c r="V255" s="18">
        <v>0.03487268518518519</v>
      </c>
      <c r="W255" s="15" t="s">
        <v>2037</v>
      </c>
      <c r="X255" s="15" t="s">
        <v>2038</v>
      </c>
      <c r="Y255" s="15" t="s">
        <v>35</v>
      </c>
      <c r="Z255" s="19">
        <v>0</v>
      </c>
      <c r="AA255" s="15">
        <v>0</v>
      </c>
      <c r="AB255" s="15" t="s">
        <v>35</v>
      </c>
    </row>
    <row r="256">
      <c r="A256" s="15">
        <v>252</v>
      </c>
      <c r="B256" s="15" t="s">
        <v>343</v>
      </c>
      <c r="C256" s="15" t="s">
        <v>344</v>
      </c>
      <c r="D256" s="15" t="s">
        <v>304</v>
      </c>
      <c r="E256" s="15" t="s">
        <v>35</v>
      </c>
      <c r="F256" s="15" t="s">
        <v>35</v>
      </c>
      <c r="G256" s="15" t="s">
        <v>74</v>
      </c>
      <c r="H256" s="15" t="s">
        <v>2039</v>
      </c>
      <c r="I256" s="15" t="s">
        <v>2040</v>
      </c>
      <c r="J256" s="15" t="s">
        <v>2041</v>
      </c>
      <c r="K256" s="15" t="s">
        <v>915</v>
      </c>
      <c r="L256" s="15" t="s">
        <v>916</v>
      </c>
      <c r="M256" s="15" t="s">
        <v>897</v>
      </c>
      <c r="N256" s="15" t="s">
        <v>898</v>
      </c>
      <c r="O256" s="15" t="s">
        <v>98</v>
      </c>
      <c r="P256" s="15" t="s">
        <v>899</v>
      </c>
      <c r="Q256" s="15" t="s">
        <v>900</v>
      </c>
      <c r="R256" s="16">
        <v>44329</v>
      </c>
      <c r="S256" s="17" t="s">
        <v>35</v>
      </c>
      <c r="T256" s="20">
        <f>HYPERLINK("https://vnm.spiral.com.vn//uploaded/20210513/fa32afa0-cbb0-438f-b70d-2d1eecdc8744.JPEG","08:04:06")</f>
      </c>
      <c r="U256" s="20">
        <f>HYPERLINK("https://vnm.spiral.com.vn//uploaded/20210513/89a07c92-f8d5-4417-9e44-04ef4b003ab6.JPEG","17:02:27")</f>
      </c>
      <c r="V256" s="18">
        <v>0.37385416666666665</v>
      </c>
      <c r="W256" s="15" t="s">
        <v>2042</v>
      </c>
      <c r="X256" s="15" t="s">
        <v>2043</v>
      </c>
      <c r="Y256" s="15" t="s">
        <v>35</v>
      </c>
      <c r="Z256" s="19">
        <v>0</v>
      </c>
      <c r="AA256" s="15">
        <v>0</v>
      </c>
      <c r="AB256" s="15" t="s">
        <v>35</v>
      </c>
    </row>
    <row r="257">
      <c r="A257" s="15">
        <v>253</v>
      </c>
      <c r="B257" s="15" t="s">
        <v>87</v>
      </c>
      <c r="C257" s="15" t="s">
        <v>88</v>
      </c>
      <c r="D257" s="15" t="s">
        <v>357</v>
      </c>
      <c r="E257" s="15" t="s">
        <v>90</v>
      </c>
      <c r="F257" s="15" t="s">
        <v>35</v>
      </c>
      <c r="G257" s="15" t="s">
        <v>74</v>
      </c>
      <c r="H257" s="15" t="s">
        <v>2044</v>
      </c>
      <c r="I257" s="15" t="s">
        <v>2045</v>
      </c>
      <c r="J257" s="15" t="s">
        <v>2046</v>
      </c>
      <c r="K257" s="15" t="s">
        <v>94</v>
      </c>
      <c r="L257" s="15" t="s">
        <v>95</v>
      </c>
      <c r="M257" s="15" t="s">
        <v>1570</v>
      </c>
      <c r="N257" s="15" t="s">
        <v>1571</v>
      </c>
      <c r="O257" s="15" t="s">
        <v>98</v>
      </c>
      <c r="P257" s="15" t="s">
        <v>2024</v>
      </c>
      <c r="Q257" s="15" t="s">
        <v>2025</v>
      </c>
      <c r="R257" s="16">
        <v>44329</v>
      </c>
      <c r="S257" s="17" t="s">
        <v>70</v>
      </c>
      <c r="T257" s="20">
        <f>HYPERLINK("https://vnm.spiral.com.vn//uploaded/20210513/011fc2f6-d8ab-4132-beb8-b97738aea90f.JPEG","16:26:51")</f>
      </c>
      <c r="U257" s="20">
        <f>HYPERLINK("https://vnm.spiral.com.vn//uploaded/20210513/77e42da0-1cb9-48da-afd6-6e4995507aff.JPEG","17:02:24")</f>
      </c>
      <c r="V257" s="18">
        <v>0.0246875</v>
      </c>
      <c r="W257" s="15" t="s">
        <v>2047</v>
      </c>
      <c r="X257" s="15" t="s">
        <v>2048</v>
      </c>
      <c r="Y257" s="15" t="s">
        <v>35</v>
      </c>
      <c r="Z257" s="19">
        <v>0</v>
      </c>
      <c r="AA257" s="15">
        <v>0</v>
      </c>
      <c r="AB257" s="15" t="s">
        <v>35</v>
      </c>
    </row>
    <row r="258">
      <c r="A258" s="15">
        <v>254</v>
      </c>
      <c r="B258" s="15" t="s">
        <v>87</v>
      </c>
      <c r="C258" s="15" t="s">
        <v>88</v>
      </c>
      <c r="D258" s="15" t="s">
        <v>35</v>
      </c>
      <c r="E258" s="15" t="s">
        <v>35</v>
      </c>
      <c r="F258" s="15" t="s">
        <v>35</v>
      </c>
      <c r="G258" s="15" t="s">
        <v>74</v>
      </c>
      <c r="H258" s="15" t="s">
        <v>2049</v>
      </c>
      <c r="I258" s="15" t="s">
        <v>2050</v>
      </c>
      <c r="J258" s="15" t="s">
        <v>2051</v>
      </c>
      <c r="K258" s="15" t="s">
        <v>190</v>
      </c>
      <c r="L258" s="15" t="s">
        <v>191</v>
      </c>
      <c r="M258" s="15" t="s">
        <v>888</v>
      </c>
      <c r="N258" s="15" t="s">
        <v>889</v>
      </c>
      <c r="O258" s="15" t="s">
        <v>98</v>
      </c>
      <c r="P258" s="15" t="s">
        <v>1666</v>
      </c>
      <c r="Q258" s="15" t="s">
        <v>1667</v>
      </c>
      <c r="R258" s="16">
        <v>44329</v>
      </c>
      <c r="S258" s="17" t="s">
        <v>35</v>
      </c>
      <c r="T258" s="20">
        <f>HYPERLINK("https://vnm.spiral.com.vn//uploaded/20210513/c4966f96-f9bb-4c5a-bdb1-e24b37abd849.JPEG","16:32:38")</f>
      </c>
      <c r="U258" s="20">
        <f>HYPERLINK("https://vnm.spiral.com.vn//uploaded/20210513/0c180f84-7804-42ed-bdd8-98555baf64c7.JPEG","17:02:24")</f>
      </c>
      <c r="V258" s="18">
        <v>0.020671296296296295</v>
      </c>
      <c r="W258" s="15" t="s">
        <v>2052</v>
      </c>
      <c r="X258" s="15" t="s">
        <v>2053</v>
      </c>
      <c r="Y258" s="15" t="s">
        <v>35</v>
      </c>
      <c r="Z258" s="19">
        <v>0</v>
      </c>
      <c r="AA258" s="15">
        <v>0</v>
      </c>
      <c r="AB258" s="15" t="s">
        <v>35</v>
      </c>
    </row>
    <row r="259">
      <c r="A259" s="15">
        <v>255</v>
      </c>
      <c r="B259" s="15" t="s">
        <v>61</v>
      </c>
      <c r="C259" s="15" t="s">
        <v>442</v>
      </c>
      <c r="D259" s="15" t="s">
        <v>35</v>
      </c>
      <c r="E259" s="15" t="s">
        <v>35</v>
      </c>
      <c r="F259" s="15" t="s">
        <v>35</v>
      </c>
      <c r="G259" s="15" t="s">
        <v>36</v>
      </c>
      <c r="H259" s="15" t="s">
        <v>2054</v>
      </c>
      <c r="I259" s="15" t="s">
        <v>2055</v>
      </c>
      <c r="J259" s="15" t="s">
        <v>2056</v>
      </c>
      <c r="K259" s="15" t="s">
        <v>40</v>
      </c>
      <c r="L259" s="15" t="s">
        <v>41</v>
      </c>
      <c r="M259" s="15" t="s">
        <v>205</v>
      </c>
      <c r="N259" s="15" t="s">
        <v>206</v>
      </c>
      <c r="O259" s="15" t="s">
        <v>44</v>
      </c>
      <c r="P259" s="15" t="s">
        <v>2057</v>
      </c>
      <c r="Q259" s="15" t="s">
        <v>2058</v>
      </c>
      <c r="R259" s="16">
        <v>44329</v>
      </c>
      <c r="S259" s="17" t="s">
        <v>1199</v>
      </c>
      <c r="T259" s="20">
        <f>HYPERLINK("https://vnm.spiral.com.vn//uploaded/20210513/232a8da4-a7d9-4e27-b0c6-87ae55267a4e.JPEG","17:02:23")</f>
      </c>
      <c r="U259" s="18"/>
      <c r="V259" s="18" t="s">
        <v>35</v>
      </c>
      <c r="W259" s="15" t="s">
        <v>2059</v>
      </c>
      <c r="X259" s="15" t="s">
        <v>35</v>
      </c>
      <c r="Y259" s="15" t="s">
        <v>35</v>
      </c>
      <c r="Z259" s="19">
        <v>0</v>
      </c>
      <c r="AA259" s="15">
        <v>0</v>
      </c>
      <c r="AB259" s="15" t="s">
        <v>35</v>
      </c>
    </row>
    <row r="260">
      <c r="A260" s="15">
        <v>256</v>
      </c>
      <c r="B260" s="15" t="s">
        <v>61</v>
      </c>
      <c r="C260" s="15" t="s">
        <v>303</v>
      </c>
      <c r="D260" s="15" t="s">
        <v>135</v>
      </c>
      <c r="E260" s="15" t="s">
        <v>116</v>
      </c>
      <c r="F260" s="15" t="s">
        <v>35</v>
      </c>
      <c r="G260" s="15" t="s">
        <v>74</v>
      </c>
      <c r="H260" s="15" t="s">
        <v>2060</v>
      </c>
      <c r="I260" s="15" t="s">
        <v>2061</v>
      </c>
      <c r="J260" s="15" t="s">
        <v>2062</v>
      </c>
      <c r="K260" s="15" t="s">
        <v>232</v>
      </c>
      <c r="L260" s="15" t="s">
        <v>233</v>
      </c>
      <c r="M260" s="15" t="s">
        <v>503</v>
      </c>
      <c r="N260" s="15" t="s">
        <v>504</v>
      </c>
      <c r="O260" s="15" t="s">
        <v>82</v>
      </c>
      <c r="P260" s="15" t="s">
        <v>2063</v>
      </c>
      <c r="Q260" s="15" t="s">
        <v>2064</v>
      </c>
      <c r="R260" s="16">
        <v>44329</v>
      </c>
      <c r="S260" s="17" t="s">
        <v>70</v>
      </c>
      <c r="T260" s="20">
        <f>HYPERLINK("https://vnm.spiral.com.vn//uploaded/20210513/4B2AA28F-8B38-4456-8BF3-A5D79BFC1814.jpg","16:23:01")</f>
      </c>
      <c r="U260" s="20">
        <f>HYPERLINK("https://vnm.spiral.com.vn//uploaded/20210513/C36E0337-5014-452D-9451-EE8EB1F0C6DA.jpg","17:02:22")</f>
      </c>
      <c r="V260" s="18">
        <v>0.02732638888888889</v>
      </c>
      <c r="W260" s="15" t="s">
        <v>2065</v>
      </c>
      <c r="X260" s="15" t="s">
        <v>2066</v>
      </c>
      <c r="Y260" s="15" t="s">
        <v>35</v>
      </c>
      <c r="Z260" s="19">
        <v>0</v>
      </c>
      <c r="AA260" s="15">
        <v>0</v>
      </c>
      <c r="AB260" s="15" t="s">
        <v>35</v>
      </c>
    </row>
    <row r="261">
      <c r="A261" s="15">
        <v>257</v>
      </c>
      <c r="B261" s="15" t="s">
        <v>246</v>
      </c>
      <c r="C261" s="15" t="s">
        <v>259</v>
      </c>
      <c r="D261" s="15" t="s">
        <v>89</v>
      </c>
      <c r="E261" s="15" t="s">
        <v>90</v>
      </c>
      <c r="F261" s="15" t="s">
        <v>35</v>
      </c>
      <c r="G261" s="15" t="s">
        <v>74</v>
      </c>
      <c r="H261" s="15" t="s">
        <v>260</v>
      </c>
      <c r="I261" s="15" t="s">
        <v>261</v>
      </c>
      <c r="J261" s="15" t="s">
        <v>262</v>
      </c>
      <c r="K261" s="15" t="s">
        <v>166</v>
      </c>
      <c r="L261" s="15" t="s">
        <v>167</v>
      </c>
      <c r="M261" s="15" t="s">
        <v>263</v>
      </c>
      <c r="N261" s="15" t="s">
        <v>264</v>
      </c>
      <c r="O261" s="15" t="s">
        <v>98</v>
      </c>
      <c r="P261" s="15" t="s">
        <v>339</v>
      </c>
      <c r="Q261" s="15" t="s">
        <v>340</v>
      </c>
      <c r="R261" s="16">
        <v>44329</v>
      </c>
      <c r="S261" s="17" t="s">
        <v>35</v>
      </c>
      <c r="T261" s="20">
        <f>HYPERLINK("https://vnm.spiral.com.vn//uploaded/20210513/a3e99149-c259-42bc-8a08-82d20826595d.JPEG","15:28:18")</f>
      </c>
      <c r="U261" s="20">
        <f>HYPERLINK("https://vnm.spiral.com.vn//uploaded/20210513/e49edd9d-ea66-4d84-a131-e7c5353aa6a8.JPEG","17:02:16")</f>
      </c>
      <c r="V261" s="18">
        <v>0.06525462962962963</v>
      </c>
      <c r="W261" s="15" t="s">
        <v>2067</v>
      </c>
      <c r="X261" s="15" t="s">
        <v>2068</v>
      </c>
      <c r="Y261" s="15" t="s">
        <v>35</v>
      </c>
      <c r="Z261" s="19">
        <v>0</v>
      </c>
      <c r="AA261" s="15">
        <v>0</v>
      </c>
      <c r="AB261" s="15" t="s">
        <v>35</v>
      </c>
    </row>
    <row r="262">
      <c r="A262" s="15">
        <v>258</v>
      </c>
      <c r="B262" s="15" t="s">
        <v>343</v>
      </c>
      <c r="C262" s="15" t="s">
        <v>2069</v>
      </c>
      <c r="D262" s="15" t="s">
        <v>35</v>
      </c>
      <c r="E262" s="15" t="s">
        <v>35</v>
      </c>
      <c r="F262" s="15" t="s">
        <v>35</v>
      </c>
      <c r="G262" s="15" t="s">
        <v>36</v>
      </c>
      <c r="H262" s="15" t="s">
        <v>2070</v>
      </c>
      <c r="I262" s="15" t="s">
        <v>2071</v>
      </c>
      <c r="J262" s="15" t="s">
        <v>2072</v>
      </c>
      <c r="K262" s="15" t="s">
        <v>40</v>
      </c>
      <c r="L262" s="15" t="s">
        <v>41</v>
      </c>
      <c r="M262" s="15" t="s">
        <v>595</v>
      </c>
      <c r="N262" s="15" t="s">
        <v>596</v>
      </c>
      <c r="O262" s="15" t="s">
        <v>44</v>
      </c>
      <c r="P262" s="15" t="s">
        <v>2073</v>
      </c>
      <c r="Q262" s="15" t="s">
        <v>2074</v>
      </c>
      <c r="R262" s="16">
        <v>44329</v>
      </c>
      <c r="S262" s="17" t="s">
        <v>70</v>
      </c>
      <c r="T262" s="20">
        <f>HYPERLINK("https://vnm.spiral.com.vn//uploaded/20210513/34db92f2-4739-4f22-9aeb-dbdf951721bb.JPEG","08:00:34")</f>
      </c>
      <c r="U262" s="20">
        <f>HYPERLINK("https://vnm.spiral.com.vn//uploaded/20210513/8d1faf01-c61d-4274-baf3-38bb02757350.JPEG","17:02:16")</f>
      </c>
      <c r="V262" s="18">
        <v>0.3761805555555556</v>
      </c>
      <c r="W262" s="15" t="s">
        <v>2075</v>
      </c>
      <c r="X262" s="15" t="s">
        <v>2076</v>
      </c>
      <c r="Y262" s="15" t="s">
        <v>35</v>
      </c>
      <c r="Z262" s="19">
        <v>0</v>
      </c>
      <c r="AA262" s="15">
        <v>0</v>
      </c>
      <c r="AB262" s="15" t="s">
        <v>35</v>
      </c>
    </row>
    <row r="263">
      <c r="A263" s="15">
        <v>259</v>
      </c>
      <c r="B263" s="15" t="s">
        <v>87</v>
      </c>
      <c r="C263" s="15" t="s">
        <v>88</v>
      </c>
      <c r="D263" s="15" t="s">
        <v>35</v>
      </c>
      <c r="E263" s="15" t="s">
        <v>35</v>
      </c>
      <c r="F263" s="15" t="s">
        <v>2077</v>
      </c>
      <c r="G263" s="15" t="s">
        <v>36</v>
      </c>
      <c r="H263" s="15" t="s">
        <v>2078</v>
      </c>
      <c r="I263" s="15" t="s">
        <v>2079</v>
      </c>
      <c r="J263" s="15" t="s">
        <v>2080</v>
      </c>
      <c r="K263" s="15" t="s">
        <v>40</v>
      </c>
      <c r="L263" s="15" t="s">
        <v>41</v>
      </c>
      <c r="M263" s="15" t="s">
        <v>289</v>
      </c>
      <c r="N263" s="15" t="s">
        <v>290</v>
      </c>
      <c r="O263" s="15" t="s">
        <v>44</v>
      </c>
      <c r="P263" s="15" t="s">
        <v>2081</v>
      </c>
      <c r="Q263" s="15" t="s">
        <v>2082</v>
      </c>
      <c r="R263" s="16">
        <v>44329</v>
      </c>
      <c r="S263" s="17" t="s">
        <v>1199</v>
      </c>
      <c r="T263" s="20">
        <f>HYPERLINK("https://vnm.spiral.com.vn//uploaded/20210513/64AC870E-A5DA-4284-B110-974ED2D079CF.jpg","17:02:15")</f>
      </c>
      <c r="U263" s="18"/>
      <c r="V263" s="18" t="s">
        <v>35</v>
      </c>
      <c r="W263" s="15" t="s">
        <v>2083</v>
      </c>
      <c r="X263" s="15" t="s">
        <v>35</v>
      </c>
      <c r="Y263" s="15" t="s">
        <v>35</v>
      </c>
      <c r="Z263" s="19">
        <v>0</v>
      </c>
      <c r="AA263" s="15">
        <v>0</v>
      </c>
      <c r="AB263" s="15" t="s">
        <v>35</v>
      </c>
    </row>
    <row r="264">
      <c r="A264" s="15">
        <v>260</v>
      </c>
      <c r="B264" s="15" t="s">
        <v>246</v>
      </c>
      <c r="C264" s="15" t="s">
        <v>782</v>
      </c>
      <c r="D264" s="15" t="s">
        <v>148</v>
      </c>
      <c r="E264" s="15" t="s">
        <v>90</v>
      </c>
      <c r="F264" s="15" t="s">
        <v>35</v>
      </c>
      <c r="G264" s="15" t="s">
        <v>74</v>
      </c>
      <c r="H264" s="15" t="s">
        <v>2084</v>
      </c>
      <c r="I264" s="15" t="s">
        <v>2085</v>
      </c>
      <c r="J264" s="15" t="s">
        <v>2086</v>
      </c>
      <c r="K264" s="15" t="s">
        <v>263</v>
      </c>
      <c r="L264" s="15" t="s">
        <v>264</v>
      </c>
      <c r="M264" s="15" t="s">
        <v>280</v>
      </c>
      <c r="N264" s="15" t="s">
        <v>281</v>
      </c>
      <c r="O264" s="15" t="s">
        <v>156</v>
      </c>
      <c r="P264" s="15" t="s">
        <v>2087</v>
      </c>
      <c r="Q264" s="15" t="s">
        <v>283</v>
      </c>
      <c r="R264" s="16">
        <v>44329</v>
      </c>
      <c r="S264" s="17" t="s">
        <v>2088</v>
      </c>
      <c r="T264" s="20">
        <f>HYPERLINK("https://vnm.spiral.com.vn//uploaded/20210513/807fe654-d636-4d1e-8ab2-900508f7a642.JPEG","13:31:17")</f>
      </c>
      <c r="U264" s="20">
        <f>HYPERLINK("https://vnm.spiral.com.vn//uploaded/20210513/42c4c938-2e5e-470c-a78f-070667f9ed29.JPEG","17:02:15")</f>
      </c>
      <c r="V264" s="18">
        <v>0.14650462962962962</v>
      </c>
      <c r="W264" s="15" t="s">
        <v>2089</v>
      </c>
      <c r="X264" s="15" t="s">
        <v>2090</v>
      </c>
      <c r="Y264" s="15" t="s">
        <v>35</v>
      </c>
      <c r="Z264" s="19">
        <v>0</v>
      </c>
      <c r="AA264" s="15">
        <v>0</v>
      </c>
      <c r="AB264" s="15" t="s">
        <v>35</v>
      </c>
    </row>
    <row r="265">
      <c r="A265" s="15">
        <v>261</v>
      </c>
      <c r="B265" s="15" t="s">
        <v>87</v>
      </c>
      <c r="C265" s="15" t="s">
        <v>88</v>
      </c>
      <c r="D265" s="15" t="s">
        <v>35</v>
      </c>
      <c r="E265" s="15" t="s">
        <v>35</v>
      </c>
      <c r="F265" s="15" t="s">
        <v>35</v>
      </c>
      <c r="G265" s="15" t="s">
        <v>74</v>
      </c>
      <c r="H265" s="15" t="s">
        <v>2091</v>
      </c>
      <c r="I265" s="15" t="s">
        <v>2092</v>
      </c>
      <c r="J265" s="15" t="s">
        <v>2093</v>
      </c>
      <c r="K265" s="15" t="s">
        <v>888</v>
      </c>
      <c r="L265" s="15" t="s">
        <v>889</v>
      </c>
      <c r="M265" s="15" t="s">
        <v>890</v>
      </c>
      <c r="N265" s="15" t="s">
        <v>891</v>
      </c>
      <c r="O265" s="15" t="s">
        <v>82</v>
      </c>
      <c r="P265" s="15" t="s">
        <v>2094</v>
      </c>
      <c r="Q265" s="15" t="s">
        <v>2095</v>
      </c>
      <c r="R265" s="16">
        <v>44329</v>
      </c>
      <c r="S265" s="17" t="s">
        <v>70</v>
      </c>
      <c r="T265" s="20">
        <f>HYPERLINK("https://vnm.spiral.com.vn//uploaded/20210513/536A03DF-BA52-449D-B511-98DD358343D7.jpg","16:43:50")</f>
      </c>
      <c r="U265" s="20">
        <f>HYPERLINK("https://vnm.spiral.com.vn//uploaded/20210513/BB1E1149-D484-40DB-AF09-44CA37CF8DE5.jpg","17:02:13")</f>
      </c>
      <c r="V265" s="18">
        <v>0.012766203703703703</v>
      </c>
      <c r="W265" s="15" t="s">
        <v>2096</v>
      </c>
      <c r="X265" s="15" t="s">
        <v>2097</v>
      </c>
      <c r="Y265" s="15" t="s">
        <v>35</v>
      </c>
      <c r="Z265" s="19">
        <v>0</v>
      </c>
      <c r="AA265" s="15">
        <v>0</v>
      </c>
      <c r="AB265" s="15" t="s">
        <v>35</v>
      </c>
    </row>
    <row r="266">
      <c r="A266" s="15">
        <v>262</v>
      </c>
      <c r="B266" s="15" t="s">
        <v>61</v>
      </c>
      <c r="C266" s="15" t="s">
        <v>712</v>
      </c>
      <c r="D266" s="15" t="s">
        <v>35</v>
      </c>
      <c r="E266" s="15" t="s">
        <v>35</v>
      </c>
      <c r="F266" s="15" t="s">
        <v>35</v>
      </c>
      <c r="G266" s="15" t="s">
        <v>36</v>
      </c>
      <c r="H266" s="15" t="s">
        <v>2098</v>
      </c>
      <c r="I266" s="15" t="s">
        <v>2099</v>
      </c>
      <c r="J266" s="15" t="s">
        <v>2100</v>
      </c>
      <c r="K266" s="15" t="s">
        <v>40</v>
      </c>
      <c r="L266" s="15" t="s">
        <v>41</v>
      </c>
      <c r="M266" s="15" t="s">
        <v>205</v>
      </c>
      <c r="N266" s="15" t="s">
        <v>206</v>
      </c>
      <c r="O266" s="15" t="s">
        <v>44</v>
      </c>
      <c r="P266" s="15" t="s">
        <v>2101</v>
      </c>
      <c r="Q266" s="15" t="s">
        <v>2102</v>
      </c>
      <c r="R266" s="16">
        <v>44329</v>
      </c>
      <c r="S266" s="17" t="s">
        <v>577</v>
      </c>
      <c r="T266" s="20">
        <f>HYPERLINK("https://vnm.spiral.com.vn//uploaded/20210513/51d6fb64-b815-4087-9a2a-b092bd041273.JPEG","08:28:10")</f>
      </c>
      <c r="U266" s="20">
        <f>HYPERLINK("https://vnm.spiral.com.vn//uploaded/20210513/90a57531-2099-424a-b17a-6b5bde5b57da.JPEG","17:02:12")</f>
      </c>
      <c r="V266" s="18">
        <v>0.3569675925925926</v>
      </c>
      <c r="W266" s="15" t="s">
        <v>2103</v>
      </c>
      <c r="X266" s="15" t="s">
        <v>2104</v>
      </c>
      <c r="Y266" s="15" t="s">
        <v>35</v>
      </c>
      <c r="Z266" s="19">
        <v>0</v>
      </c>
      <c r="AA266" s="15">
        <v>0</v>
      </c>
      <c r="AB266" s="15" t="s">
        <v>35</v>
      </c>
    </row>
    <row r="267">
      <c r="A267" s="15">
        <v>263</v>
      </c>
      <c r="B267" s="15" t="s">
        <v>87</v>
      </c>
      <c r="C267" s="15" t="s">
        <v>88</v>
      </c>
      <c r="D267" s="15" t="s">
        <v>135</v>
      </c>
      <c r="E267" s="15" t="s">
        <v>116</v>
      </c>
      <c r="F267" s="15" t="s">
        <v>35</v>
      </c>
      <c r="G267" s="15" t="s">
        <v>74</v>
      </c>
      <c r="H267" s="15" t="s">
        <v>2105</v>
      </c>
      <c r="I267" s="15" t="s">
        <v>2106</v>
      </c>
      <c r="J267" s="15" t="s">
        <v>2107</v>
      </c>
      <c r="K267" s="15" t="s">
        <v>139</v>
      </c>
      <c r="L267" s="15" t="s">
        <v>140</v>
      </c>
      <c r="M267" s="15" t="s">
        <v>530</v>
      </c>
      <c r="N267" s="15" t="s">
        <v>531</v>
      </c>
      <c r="O267" s="15" t="s">
        <v>82</v>
      </c>
      <c r="P267" s="15" t="s">
        <v>2108</v>
      </c>
      <c r="Q267" s="15" t="s">
        <v>2109</v>
      </c>
      <c r="R267" s="16">
        <v>44329</v>
      </c>
      <c r="S267" s="17" t="s">
        <v>70</v>
      </c>
      <c r="T267" s="20">
        <f>HYPERLINK("https://vnm.spiral.com.vn//uploaded/20210513/85c1f5d8-92ec-4736-a657-32400d47944a.JPEG","15:44:08")</f>
      </c>
      <c r="U267" s="20">
        <f>HYPERLINK("https://vnm.spiral.com.vn//uploaded/20210513/a586f36d-695a-4e9b-adfd-bfcb2e65a636.JPEG","17:02:11")</f>
      </c>
      <c r="V267" s="18">
        <v>0.05420138888888889</v>
      </c>
      <c r="W267" s="15" t="s">
        <v>2110</v>
      </c>
      <c r="X267" s="15" t="s">
        <v>2111</v>
      </c>
      <c r="Y267" s="15" t="s">
        <v>35</v>
      </c>
      <c r="Z267" s="19">
        <v>0</v>
      </c>
      <c r="AA267" s="15">
        <v>0</v>
      </c>
      <c r="AB267" s="15" t="s">
        <v>35</v>
      </c>
    </row>
    <row r="268">
      <c r="A268" s="15">
        <v>264</v>
      </c>
      <c r="B268" s="15" t="s">
        <v>87</v>
      </c>
      <c r="C268" s="15" t="s">
        <v>88</v>
      </c>
      <c r="D268" s="15" t="s">
        <v>89</v>
      </c>
      <c r="E268" s="15" t="s">
        <v>90</v>
      </c>
      <c r="F268" s="15" t="s">
        <v>35</v>
      </c>
      <c r="G268" s="15" t="s">
        <v>74</v>
      </c>
      <c r="H268" s="15" t="s">
        <v>799</v>
      </c>
      <c r="I268" s="15" t="s">
        <v>800</v>
      </c>
      <c r="J268" s="15" t="s">
        <v>801</v>
      </c>
      <c r="K268" s="15" t="s">
        <v>96</v>
      </c>
      <c r="L268" s="15" t="s">
        <v>97</v>
      </c>
      <c r="M268" s="15" t="s">
        <v>802</v>
      </c>
      <c r="N268" s="15" t="s">
        <v>803</v>
      </c>
      <c r="O268" s="15" t="s">
        <v>156</v>
      </c>
      <c r="P268" s="15" t="s">
        <v>2112</v>
      </c>
      <c r="Q268" s="15" t="s">
        <v>2113</v>
      </c>
      <c r="R268" s="16">
        <v>44329</v>
      </c>
      <c r="S268" s="17" t="s">
        <v>70</v>
      </c>
      <c r="T268" s="20">
        <f>HYPERLINK("https://vnm.spiral.com.vn//uploaded/20210513/94b9be79-51a4-44aa-b5f1-cb111cde6ce5.JPEG","07:40:57")</f>
      </c>
      <c r="U268" s="20">
        <f>HYPERLINK("https://vnm.spiral.com.vn//uploaded/20210513/21b99f56-2c57-4bb1-9530-684d7a1492d8.JPEG","17:02:11")</f>
      </c>
      <c r="V268" s="18">
        <v>0.3897453703703704</v>
      </c>
      <c r="W268" s="15" t="s">
        <v>2114</v>
      </c>
      <c r="X268" s="15" t="s">
        <v>2115</v>
      </c>
      <c r="Y268" s="15" t="s">
        <v>35</v>
      </c>
      <c r="Z268" s="19">
        <v>0</v>
      </c>
      <c r="AA268" s="15">
        <v>0</v>
      </c>
      <c r="AB268" s="15" t="s">
        <v>35</v>
      </c>
    </row>
    <row r="269">
      <c r="A269" s="15">
        <v>265</v>
      </c>
      <c r="B269" s="15" t="s">
        <v>103</v>
      </c>
      <c r="C269" s="15" t="s">
        <v>2116</v>
      </c>
      <c r="D269" s="15" t="s">
        <v>89</v>
      </c>
      <c r="E269" s="15" t="s">
        <v>90</v>
      </c>
      <c r="F269" s="15" t="s">
        <v>35</v>
      </c>
      <c r="G269" s="15" t="s">
        <v>74</v>
      </c>
      <c r="H269" s="15" t="s">
        <v>2117</v>
      </c>
      <c r="I269" s="15" t="s">
        <v>2118</v>
      </c>
      <c r="J269" s="15" t="s">
        <v>2119</v>
      </c>
      <c r="K269" s="15" t="s">
        <v>178</v>
      </c>
      <c r="L269" s="15" t="s">
        <v>179</v>
      </c>
      <c r="M269" s="15" t="s">
        <v>2120</v>
      </c>
      <c r="N269" s="15" t="s">
        <v>2121</v>
      </c>
      <c r="O269" s="15" t="s">
        <v>82</v>
      </c>
      <c r="P269" s="15" t="s">
        <v>2122</v>
      </c>
      <c r="Q269" s="15" t="s">
        <v>2123</v>
      </c>
      <c r="R269" s="16">
        <v>44329</v>
      </c>
      <c r="S269" s="17" t="s">
        <v>70</v>
      </c>
      <c r="T269" s="20">
        <f>HYPERLINK("https://vnm.spiral.com.vn//uploaded/20210513/78a98602-ff9b-48b3-b88f-9af2f0ca3c84.JPEG","07:58:53")</f>
      </c>
      <c r="U269" s="20">
        <f>HYPERLINK("https://vnm.spiral.com.vn//uploaded/20210513/6d356973-b96c-4db5-ae38-ffd7b4fc7b2f.JPEG","17:02:09")</f>
      </c>
      <c r="V269" s="18">
        <v>0.3772685185185185</v>
      </c>
      <c r="W269" s="15" t="s">
        <v>2124</v>
      </c>
      <c r="X269" s="15" t="s">
        <v>2125</v>
      </c>
      <c r="Y269" s="15" t="s">
        <v>35</v>
      </c>
      <c r="Z269" s="19">
        <v>0</v>
      </c>
      <c r="AA269" s="15">
        <v>0</v>
      </c>
      <c r="AB269" s="15" t="s">
        <v>35</v>
      </c>
    </row>
    <row r="270">
      <c r="A270" s="15">
        <v>266</v>
      </c>
      <c r="B270" s="15" t="s">
        <v>61</v>
      </c>
      <c r="C270" s="15" t="s">
        <v>303</v>
      </c>
      <c r="D270" s="15" t="s">
        <v>89</v>
      </c>
      <c r="E270" s="15" t="s">
        <v>90</v>
      </c>
      <c r="F270" s="15" t="s">
        <v>35</v>
      </c>
      <c r="G270" s="15" t="s">
        <v>74</v>
      </c>
      <c r="H270" s="15" t="s">
        <v>2126</v>
      </c>
      <c r="I270" s="15" t="s">
        <v>2127</v>
      </c>
      <c r="J270" s="15" t="s">
        <v>2128</v>
      </c>
      <c r="K270" s="15" t="s">
        <v>232</v>
      </c>
      <c r="L270" s="15" t="s">
        <v>233</v>
      </c>
      <c r="M270" s="15" t="s">
        <v>503</v>
      </c>
      <c r="N270" s="15" t="s">
        <v>504</v>
      </c>
      <c r="O270" s="15" t="s">
        <v>156</v>
      </c>
      <c r="P270" s="15" t="s">
        <v>2129</v>
      </c>
      <c r="Q270" s="15" t="s">
        <v>2130</v>
      </c>
      <c r="R270" s="16">
        <v>44329</v>
      </c>
      <c r="S270" s="17" t="s">
        <v>2131</v>
      </c>
      <c r="T270" s="20">
        <f>HYPERLINK("https://vnm.spiral.com.vn//uploaded/20210513/14262842-E0CD-47CF-BD20-08D2D280E382.jpg","17:02:09")</f>
      </c>
      <c r="U270" s="18"/>
      <c r="V270" s="18" t="s">
        <v>35</v>
      </c>
      <c r="W270" s="15" t="s">
        <v>2132</v>
      </c>
      <c r="X270" s="15" t="s">
        <v>35</v>
      </c>
      <c r="Y270" s="15" t="s">
        <v>35</v>
      </c>
      <c r="Z270" s="19">
        <v>0</v>
      </c>
      <c r="AA270" s="15">
        <v>0</v>
      </c>
      <c r="AB270" s="15" t="s">
        <v>35</v>
      </c>
    </row>
    <row r="271">
      <c r="A271" s="15">
        <v>267</v>
      </c>
      <c r="B271" s="15" t="s">
        <v>87</v>
      </c>
      <c r="C271" s="15" t="s">
        <v>88</v>
      </c>
      <c r="D271" s="15" t="s">
        <v>304</v>
      </c>
      <c r="E271" s="15" t="s">
        <v>305</v>
      </c>
      <c r="F271" s="15" t="s">
        <v>35</v>
      </c>
      <c r="G271" s="15" t="s">
        <v>74</v>
      </c>
      <c r="H271" s="15" t="s">
        <v>745</v>
      </c>
      <c r="I271" s="15" t="s">
        <v>746</v>
      </c>
      <c r="J271" s="15" t="s">
        <v>747</v>
      </c>
      <c r="K271" s="15" t="s">
        <v>94</v>
      </c>
      <c r="L271" s="15" t="s">
        <v>95</v>
      </c>
      <c r="M271" s="15" t="s">
        <v>748</v>
      </c>
      <c r="N271" s="15" t="s">
        <v>749</v>
      </c>
      <c r="O271" s="15" t="s">
        <v>98</v>
      </c>
      <c r="P271" s="15" t="s">
        <v>750</v>
      </c>
      <c r="Q271" s="15" t="s">
        <v>751</v>
      </c>
      <c r="R271" s="16">
        <v>44329</v>
      </c>
      <c r="S271" s="17" t="s">
        <v>70</v>
      </c>
      <c r="T271" s="20">
        <f>HYPERLINK("https://vnm.spiral.com.vn//uploaded/20210513/F12EB643-DAEA-45C4-9D7B-75A03FA33BD4.jpg","13:35:02")</f>
      </c>
      <c r="U271" s="20">
        <f>HYPERLINK("https://vnm.spiral.com.vn//uploaded/20210513/5CF1D10E-B26C-43EA-BE4D-3C5EF559A191.jpg","17:02:06")</f>
      </c>
      <c r="V271" s="18">
        <v>0.14379629629629628</v>
      </c>
      <c r="W271" s="15" t="s">
        <v>2133</v>
      </c>
      <c r="X271" s="15" t="s">
        <v>2134</v>
      </c>
      <c r="Y271" s="15" t="s">
        <v>35</v>
      </c>
      <c r="Z271" s="19">
        <v>0</v>
      </c>
      <c r="AA271" s="15">
        <v>0</v>
      </c>
      <c r="AB271" s="15" t="s">
        <v>35</v>
      </c>
    </row>
    <row r="272">
      <c r="A272" s="15">
        <v>268</v>
      </c>
      <c r="B272" s="15" t="s">
        <v>343</v>
      </c>
      <c r="C272" s="15" t="s">
        <v>2135</v>
      </c>
      <c r="D272" s="15" t="s">
        <v>432</v>
      </c>
      <c r="E272" s="15" t="s">
        <v>116</v>
      </c>
      <c r="F272" s="15" t="s">
        <v>35</v>
      </c>
      <c r="G272" s="15" t="s">
        <v>74</v>
      </c>
      <c r="H272" s="15" t="s">
        <v>2136</v>
      </c>
      <c r="I272" s="15" t="s">
        <v>2137</v>
      </c>
      <c r="J272" s="15" t="s">
        <v>2138</v>
      </c>
      <c r="K272" s="15" t="s">
        <v>1168</v>
      </c>
      <c r="L272" s="15" t="s">
        <v>1169</v>
      </c>
      <c r="M272" s="15" t="s">
        <v>1170</v>
      </c>
      <c r="N272" s="15" t="s">
        <v>1171</v>
      </c>
      <c r="O272" s="15" t="s">
        <v>82</v>
      </c>
      <c r="P272" s="15" t="s">
        <v>2139</v>
      </c>
      <c r="Q272" s="15" t="s">
        <v>2140</v>
      </c>
      <c r="R272" s="16">
        <v>44329</v>
      </c>
      <c r="S272" s="17" t="s">
        <v>70</v>
      </c>
      <c r="T272" s="20">
        <f>HYPERLINK("https://vnm.spiral.com.vn//uploaded/20210513/42B2C252-BA96-40AE-BB4B-A4FBEDCE0A22.jpg","16:29:57")</f>
      </c>
      <c r="U272" s="20">
        <f>HYPERLINK("https://vnm.spiral.com.vn//uploaded/20210513/9C103A1D-8B76-4BAA-8ED6-13FCD4B518AB.jpg","17:02:05")</f>
      </c>
      <c r="V272" s="18">
        <v>0.022314814814814815</v>
      </c>
      <c r="W272" s="15" t="s">
        <v>2141</v>
      </c>
      <c r="X272" s="15" t="s">
        <v>2142</v>
      </c>
      <c r="Y272" s="15" t="s">
        <v>35</v>
      </c>
      <c r="Z272" s="19">
        <v>0</v>
      </c>
      <c r="AA272" s="15">
        <v>0</v>
      </c>
      <c r="AB272" s="15" t="s">
        <v>35</v>
      </c>
    </row>
    <row r="273">
      <c r="A273" s="15">
        <v>269</v>
      </c>
      <c r="B273" s="15" t="s">
        <v>246</v>
      </c>
      <c r="C273" s="15" t="s">
        <v>2005</v>
      </c>
      <c r="D273" s="15" t="s">
        <v>89</v>
      </c>
      <c r="E273" s="15" t="s">
        <v>90</v>
      </c>
      <c r="F273" s="15" t="s">
        <v>35</v>
      </c>
      <c r="G273" s="15" t="s">
        <v>74</v>
      </c>
      <c r="H273" s="15" t="s">
        <v>2143</v>
      </c>
      <c r="I273" s="15" t="s">
        <v>2144</v>
      </c>
      <c r="J273" s="15" t="s">
        <v>2145</v>
      </c>
      <c r="K273" s="15" t="s">
        <v>263</v>
      </c>
      <c r="L273" s="15" t="s">
        <v>264</v>
      </c>
      <c r="M273" s="15" t="s">
        <v>2009</v>
      </c>
      <c r="N273" s="15" t="s">
        <v>2010</v>
      </c>
      <c r="O273" s="15" t="s">
        <v>156</v>
      </c>
      <c r="P273" s="15" t="s">
        <v>2146</v>
      </c>
      <c r="Q273" s="15" t="s">
        <v>2147</v>
      </c>
      <c r="R273" s="16">
        <v>44329</v>
      </c>
      <c r="S273" s="17" t="s">
        <v>112</v>
      </c>
      <c r="T273" s="20">
        <f>HYPERLINK("https://vnm.spiral.com.vn//uploaded/20210513/E8C32D1C-8BAC-40D8-BE25-9EFCA2FA920F.jpg","13:55:51")</f>
      </c>
      <c r="U273" s="20">
        <f>HYPERLINK("https://vnm.spiral.com.vn//uploaded/20210513/D3D3303E-C2BE-48B2-BC34-A487DD367E87.jpg","17:02:04")</f>
      </c>
      <c r="V273" s="18">
        <v>0.12931712962962963</v>
      </c>
      <c r="W273" s="15" t="s">
        <v>2148</v>
      </c>
      <c r="X273" s="15" t="s">
        <v>2149</v>
      </c>
      <c r="Y273" s="15" t="s">
        <v>35</v>
      </c>
      <c r="Z273" s="19">
        <v>0</v>
      </c>
      <c r="AA273" s="15">
        <v>0</v>
      </c>
      <c r="AB273" s="15" t="s">
        <v>35</v>
      </c>
    </row>
    <row r="274">
      <c r="A274" s="15">
        <v>270</v>
      </c>
      <c r="B274" s="15" t="s">
        <v>87</v>
      </c>
      <c r="C274" s="15" t="s">
        <v>88</v>
      </c>
      <c r="D274" s="15" t="s">
        <v>115</v>
      </c>
      <c r="E274" s="15" t="s">
        <v>116</v>
      </c>
      <c r="F274" s="15" t="s">
        <v>35</v>
      </c>
      <c r="G274" s="15" t="s">
        <v>74</v>
      </c>
      <c r="H274" s="15" t="s">
        <v>2150</v>
      </c>
      <c r="I274" s="15" t="s">
        <v>2151</v>
      </c>
      <c r="J274" s="15" t="s">
        <v>2152</v>
      </c>
      <c r="K274" s="15" t="s">
        <v>94</v>
      </c>
      <c r="L274" s="15" t="s">
        <v>95</v>
      </c>
      <c r="M274" s="15" t="s">
        <v>120</v>
      </c>
      <c r="N274" s="15" t="s">
        <v>121</v>
      </c>
      <c r="O274" s="15" t="s">
        <v>98</v>
      </c>
      <c r="P274" s="15" t="s">
        <v>122</v>
      </c>
      <c r="Q274" s="15" t="s">
        <v>123</v>
      </c>
      <c r="R274" s="16">
        <v>44329</v>
      </c>
      <c r="S274" s="17" t="s">
        <v>70</v>
      </c>
      <c r="T274" s="20">
        <f>HYPERLINK("https://vnm.spiral.com.vn//uploaded/20210513/087bbec9-d725-4ded-905a-a4a839e7e2e3.jpg","16:38:17")</f>
      </c>
      <c r="U274" s="20">
        <f>HYPERLINK("https://vnm.spiral.com.vn//uploaded/20210513/651f76ee-490f-4d37-8e94-a5fd28efd873.jpg","17:02:03")</f>
      </c>
      <c r="V274" s="18">
        <v>0.01650462962962963</v>
      </c>
      <c r="W274" s="15" t="s">
        <v>2153</v>
      </c>
      <c r="X274" s="15" t="s">
        <v>2154</v>
      </c>
      <c r="Y274" s="15" t="s">
        <v>35</v>
      </c>
      <c r="Z274" s="19">
        <v>0</v>
      </c>
      <c r="AA274" s="15">
        <v>0</v>
      </c>
      <c r="AB274" s="15" t="s">
        <v>35</v>
      </c>
    </row>
    <row r="275">
      <c r="A275" s="15">
        <v>271</v>
      </c>
      <c r="B275" s="15" t="s">
        <v>87</v>
      </c>
      <c r="C275" s="15" t="s">
        <v>88</v>
      </c>
      <c r="D275" s="15" t="s">
        <v>135</v>
      </c>
      <c r="E275" s="15" t="s">
        <v>116</v>
      </c>
      <c r="F275" s="15" t="s">
        <v>35</v>
      </c>
      <c r="G275" s="15" t="s">
        <v>74</v>
      </c>
      <c r="H275" s="15" t="s">
        <v>2155</v>
      </c>
      <c r="I275" s="15" t="s">
        <v>2156</v>
      </c>
      <c r="J275" s="15" t="s">
        <v>2157</v>
      </c>
      <c r="K275" s="15" t="s">
        <v>139</v>
      </c>
      <c r="L275" s="15" t="s">
        <v>140</v>
      </c>
      <c r="M275" s="15" t="s">
        <v>530</v>
      </c>
      <c r="N275" s="15" t="s">
        <v>531</v>
      </c>
      <c r="O275" s="15" t="s">
        <v>82</v>
      </c>
      <c r="P275" s="15" t="s">
        <v>2158</v>
      </c>
      <c r="Q275" s="15" t="s">
        <v>2159</v>
      </c>
      <c r="R275" s="16">
        <v>44329</v>
      </c>
      <c r="S275" s="17" t="s">
        <v>70</v>
      </c>
      <c r="T275" s="20">
        <f>HYPERLINK("https://vnm.spiral.com.vn//uploaded/20210513/1d75e24e-46fc-45e8-bfe1-76a862bb92f4.JPEG","15:44:42")</f>
      </c>
      <c r="U275" s="20">
        <f>HYPERLINK("https://vnm.spiral.com.vn//uploaded/20210513/97443ecc-6089-4bbc-81be-c25d261272c8.JPEG","17:02:01")</f>
      </c>
      <c r="V275" s="18">
        <v>0.05369212962962963</v>
      </c>
      <c r="W275" s="15" t="s">
        <v>2160</v>
      </c>
      <c r="X275" s="15" t="s">
        <v>2161</v>
      </c>
      <c r="Y275" s="15" t="s">
        <v>35</v>
      </c>
      <c r="Z275" s="19">
        <v>0</v>
      </c>
      <c r="AA275" s="15">
        <v>0</v>
      </c>
      <c r="AB275" s="15" t="s">
        <v>35</v>
      </c>
    </row>
    <row r="276">
      <c r="A276" s="15">
        <v>272</v>
      </c>
      <c r="B276" s="15" t="s">
        <v>87</v>
      </c>
      <c r="C276" s="15" t="s">
        <v>88</v>
      </c>
      <c r="D276" s="15" t="s">
        <v>357</v>
      </c>
      <c r="E276" s="15" t="s">
        <v>90</v>
      </c>
      <c r="F276" s="15" t="s">
        <v>35</v>
      </c>
      <c r="G276" s="15" t="s">
        <v>74</v>
      </c>
      <c r="H276" s="15" t="s">
        <v>2162</v>
      </c>
      <c r="I276" s="15" t="s">
        <v>2163</v>
      </c>
      <c r="J276" s="15" t="s">
        <v>2164</v>
      </c>
      <c r="K276" s="15" t="s">
        <v>94</v>
      </c>
      <c r="L276" s="15" t="s">
        <v>95</v>
      </c>
      <c r="M276" s="15" t="s">
        <v>1554</v>
      </c>
      <c r="N276" s="15" t="s">
        <v>1555</v>
      </c>
      <c r="O276" s="15" t="s">
        <v>82</v>
      </c>
      <c r="P276" s="15" t="s">
        <v>2165</v>
      </c>
      <c r="Q276" s="15" t="s">
        <v>2166</v>
      </c>
      <c r="R276" s="16">
        <v>44329</v>
      </c>
      <c r="S276" s="17" t="s">
        <v>70</v>
      </c>
      <c r="T276" s="20">
        <f>HYPERLINK("https://vnm.spiral.com.vn//uploaded/20210513/F99852C8-D79C-4C74-88AB-C41A8E0A863B.jpg","07:57:18")</f>
      </c>
      <c r="U276" s="20">
        <f>HYPERLINK("https://vnm.spiral.com.vn//uploaded/20210513/ED3153A6-DA71-4A12-A5F2-39676CA9A88F.jpg","17:01:49")</f>
      </c>
      <c r="V276" s="18">
        <v>0.3781365740740741</v>
      </c>
      <c r="W276" s="15" t="s">
        <v>2167</v>
      </c>
      <c r="X276" s="15" t="s">
        <v>2168</v>
      </c>
      <c r="Y276" s="15" t="s">
        <v>35</v>
      </c>
      <c r="Z276" s="19">
        <v>0</v>
      </c>
      <c r="AA276" s="15">
        <v>0</v>
      </c>
      <c r="AB276" s="15" t="s">
        <v>35</v>
      </c>
    </row>
    <row r="277">
      <c r="A277" s="15">
        <v>273</v>
      </c>
      <c r="B277" s="15" t="s">
        <v>87</v>
      </c>
      <c r="C277" s="15" t="s">
        <v>88</v>
      </c>
      <c r="D277" s="15" t="s">
        <v>357</v>
      </c>
      <c r="E277" s="15" t="s">
        <v>90</v>
      </c>
      <c r="F277" s="15" t="s">
        <v>35</v>
      </c>
      <c r="G277" s="15" t="s">
        <v>74</v>
      </c>
      <c r="H277" s="15" t="s">
        <v>2169</v>
      </c>
      <c r="I277" s="15" t="s">
        <v>2170</v>
      </c>
      <c r="J277" s="15" t="s">
        <v>2171</v>
      </c>
      <c r="K277" s="15" t="s">
        <v>1570</v>
      </c>
      <c r="L277" s="15" t="s">
        <v>1571</v>
      </c>
      <c r="M277" s="15" t="s">
        <v>2024</v>
      </c>
      <c r="N277" s="15" t="s">
        <v>2025</v>
      </c>
      <c r="O277" s="15" t="s">
        <v>82</v>
      </c>
      <c r="P277" s="15" t="s">
        <v>2172</v>
      </c>
      <c r="Q277" s="15" t="s">
        <v>2173</v>
      </c>
      <c r="R277" s="16">
        <v>44329</v>
      </c>
      <c r="S277" s="17" t="s">
        <v>70</v>
      </c>
      <c r="T277" s="20">
        <f>HYPERLINK("https://vnm.spiral.com.vn//uploaded/20210513/29c76241-1fb2-4480-b786-ea8c783a98b5.JPEG","16:44:34")</f>
      </c>
      <c r="U277" s="20">
        <f>HYPERLINK("https://vnm.spiral.com.vn//uploaded/20210513/424ad246-e8bb-455f-9613-cc199ed74a52.JPEG","17:01:47")</f>
      </c>
      <c r="V277" s="18">
        <v>0.011956018518518519</v>
      </c>
      <c r="W277" s="15" t="s">
        <v>2174</v>
      </c>
      <c r="X277" s="15" t="s">
        <v>2175</v>
      </c>
      <c r="Y277" s="15" t="s">
        <v>35</v>
      </c>
      <c r="Z277" s="19">
        <v>0</v>
      </c>
      <c r="AA277" s="15">
        <v>0</v>
      </c>
      <c r="AB277" s="15" t="s">
        <v>35</v>
      </c>
    </row>
    <row r="278">
      <c r="A278" s="15">
        <v>274</v>
      </c>
      <c r="B278" s="15" t="s">
        <v>343</v>
      </c>
      <c r="C278" s="15" t="s">
        <v>344</v>
      </c>
      <c r="D278" s="15" t="s">
        <v>536</v>
      </c>
      <c r="E278" s="15" t="s">
        <v>116</v>
      </c>
      <c r="F278" s="15" t="s">
        <v>35</v>
      </c>
      <c r="G278" s="15" t="s">
        <v>74</v>
      </c>
      <c r="H278" s="15" t="s">
        <v>2176</v>
      </c>
      <c r="I278" s="15" t="s">
        <v>2177</v>
      </c>
      <c r="J278" s="15" t="s">
        <v>2178</v>
      </c>
      <c r="K278" s="15" t="s">
        <v>997</v>
      </c>
      <c r="L278" s="15" t="s">
        <v>998</v>
      </c>
      <c r="M278" s="15" t="s">
        <v>1325</v>
      </c>
      <c r="N278" s="15" t="s">
        <v>1326</v>
      </c>
      <c r="O278" s="15" t="s">
        <v>82</v>
      </c>
      <c r="P278" s="15" t="s">
        <v>2179</v>
      </c>
      <c r="Q278" s="15" t="s">
        <v>2180</v>
      </c>
      <c r="R278" s="16">
        <v>44329</v>
      </c>
      <c r="S278" s="17" t="s">
        <v>70</v>
      </c>
      <c r="T278" s="20">
        <f>HYPERLINK("https://vnm.spiral.com.vn//uploaded/20210513/9a3ac810-888e-46db-903e-e8fd5c823ce5.JPEG","07:54:59")</f>
      </c>
      <c r="U278" s="20">
        <f>HYPERLINK("https://vnm.spiral.com.vn//uploaded/20210513/08e0ce18-3ece-45b1-812e-0a5acbf27dcc.JPEG","17:01:41")</f>
      </c>
      <c r="V278" s="18">
        <v>0.3796527777777778</v>
      </c>
      <c r="W278" s="15" t="s">
        <v>2181</v>
      </c>
      <c r="X278" s="15" t="s">
        <v>2182</v>
      </c>
      <c r="Y278" s="15" t="s">
        <v>35</v>
      </c>
      <c r="Z278" s="19">
        <v>0</v>
      </c>
      <c r="AA278" s="15">
        <v>0</v>
      </c>
      <c r="AB278" s="15" t="s">
        <v>35</v>
      </c>
    </row>
    <row r="279">
      <c r="A279" s="15">
        <v>275</v>
      </c>
      <c r="B279" s="15" t="s">
        <v>103</v>
      </c>
      <c r="C279" s="15" t="s">
        <v>2116</v>
      </c>
      <c r="D279" s="15" t="s">
        <v>135</v>
      </c>
      <c r="E279" s="15" t="s">
        <v>116</v>
      </c>
      <c r="F279" s="15" t="s">
        <v>35</v>
      </c>
      <c r="G279" s="15" t="s">
        <v>74</v>
      </c>
      <c r="H279" s="15" t="s">
        <v>2183</v>
      </c>
      <c r="I279" s="15" t="s">
        <v>2184</v>
      </c>
      <c r="J279" s="15" t="s">
        <v>2185</v>
      </c>
      <c r="K279" s="15" t="s">
        <v>178</v>
      </c>
      <c r="L279" s="15" t="s">
        <v>179</v>
      </c>
      <c r="M279" s="15" t="s">
        <v>2120</v>
      </c>
      <c r="N279" s="15" t="s">
        <v>2121</v>
      </c>
      <c r="O279" s="15" t="s">
        <v>82</v>
      </c>
      <c r="P279" s="15" t="s">
        <v>2186</v>
      </c>
      <c r="Q279" s="15" t="s">
        <v>2187</v>
      </c>
      <c r="R279" s="16">
        <v>44329</v>
      </c>
      <c r="S279" s="17" t="s">
        <v>70</v>
      </c>
      <c r="T279" s="20">
        <f>HYPERLINK("https://vnm.spiral.com.vn//uploaded/20210513/ff5d0783-96dc-4e71-a798-65d4deac1c9e.JPEG","15:52:13")</f>
      </c>
      <c r="U279" s="20">
        <f>HYPERLINK("https://vnm.spiral.com.vn//uploaded/20210513/b5c7346b-1b04-4ec3-80d4-c7b9813e350f.JPEG","17:01:39")</f>
      </c>
      <c r="V279" s="18">
        <v>0.04821759259259259</v>
      </c>
      <c r="W279" s="15" t="s">
        <v>2188</v>
      </c>
      <c r="X279" s="15" t="s">
        <v>2189</v>
      </c>
      <c r="Y279" s="15" t="s">
        <v>35</v>
      </c>
      <c r="Z279" s="19">
        <v>0</v>
      </c>
      <c r="AA279" s="15">
        <v>0</v>
      </c>
      <c r="AB279" s="15" t="s">
        <v>35</v>
      </c>
    </row>
    <row r="280">
      <c r="A280" s="15">
        <v>276</v>
      </c>
      <c r="B280" s="15" t="s">
        <v>87</v>
      </c>
      <c r="C280" s="15" t="s">
        <v>88</v>
      </c>
      <c r="D280" s="15" t="s">
        <v>115</v>
      </c>
      <c r="E280" s="15" t="s">
        <v>116</v>
      </c>
      <c r="F280" s="15" t="s">
        <v>35</v>
      </c>
      <c r="G280" s="15" t="s">
        <v>74</v>
      </c>
      <c r="H280" s="15" t="s">
        <v>2190</v>
      </c>
      <c r="I280" s="15" t="s">
        <v>2191</v>
      </c>
      <c r="J280" s="15" t="s">
        <v>2192</v>
      </c>
      <c r="K280" s="15" t="s">
        <v>120</v>
      </c>
      <c r="L280" s="15" t="s">
        <v>121</v>
      </c>
      <c r="M280" s="15" t="s">
        <v>1073</v>
      </c>
      <c r="N280" s="15" t="s">
        <v>1074</v>
      </c>
      <c r="O280" s="15" t="s">
        <v>82</v>
      </c>
      <c r="P280" s="15" t="s">
        <v>2193</v>
      </c>
      <c r="Q280" s="15" t="s">
        <v>2194</v>
      </c>
      <c r="R280" s="16">
        <v>44329</v>
      </c>
      <c r="S280" s="17" t="s">
        <v>70</v>
      </c>
      <c r="T280" s="20">
        <f>HYPERLINK("https://vnm.spiral.com.vn//uploaded/20210513/4a66547a-4adc-4b58-bd5a-91f76b2273ff.JPEG","15:54:10")</f>
      </c>
      <c r="U280" s="20">
        <f>HYPERLINK("https://vnm.spiral.com.vn//uploaded/20210513/ce065144-eae0-4cd6-8940-5da974b6dcc3.JPEG","17:01:38")</f>
      </c>
      <c r="V280" s="18">
        <v>0.04685185185185185</v>
      </c>
      <c r="W280" s="15" t="s">
        <v>2195</v>
      </c>
      <c r="X280" s="15" t="s">
        <v>2196</v>
      </c>
      <c r="Y280" s="15" t="s">
        <v>35</v>
      </c>
      <c r="Z280" s="19">
        <v>0</v>
      </c>
      <c r="AA280" s="15">
        <v>0</v>
      </c>
      <c r="AB280" s="15" t="s">
        <v>35</v>
      </c>
    </row>
    <row r="281">
      <c r="A281" s="15">
        <v>277</v>
      </c>
      <c r="B281" s="15" t="s">
        <v>343</v>
      </c>
      <c r="C281" s="15" t="s">
        <v>1150</v>
      </c>
      <c r="D281" s="15" t="s">
        <v>89</v>
      </c>
      <c r="E281" s="15" t="s">
        <v>90</v>
      </c>
      <c r="F281" s="15" t="s">
        <v>35</v>
      </c>
      <c r="G281" s="15" t="s">
        <v>74</v>
      </c>
      <c r="H281" s="15" t="s">
        <v>1151</v>
      </c>
      <c r="I281" s="15" t="s">
        <v>1152</v>
      </c>
      <c r="J281" s="15" t="s">
        <v>1153</v>
      </c>
      <c r="K281" s="15" t="s">
        <v>512</v>
      </c>
      <c r="L281" s="15" t="s">
        <v>513</v>
      </c>
      <c r="M281" s="15" t="s">
        <v>1154</v>
      </c>
      <c r="N281" s="15" t="s">
        <v>1155</v>
      </c>
      <c r="O281" s="15" t="s">
        <v>82</v>
      </c>
      <c r="P281" s="15" t="s">
        <v>2197</v>
      </c>
      <c r="Q281" s="15" t="s">
        <v>2198</v>
      </c>
      <c r="R281" s="16">
        <v>44329</v>
      </c>
      <c r="S281" s="17" t="s">
        <v>70</v>
      </c>
      <c r="T281" s="20">
        <f>HYPERLINK("https://vnm.spiral.com.vn//uploaded/20210513/77AF2B62-6878-41E2-BE9F-802E5F1269F9.jpg","07:56:38")</f>
      </c>
      <c r="U281" s="20">
        <f>HYPERLINK("https://vnm.spiral.com.vn//uploaded/20210513/3546B5F0-C692-4156-8447-8DB7ADE24066.jpg","17:01:35")</f>
      </c>
      <c r="V281" s="18">
        <v>0.3784375</v>
      </c>
      <c r="W281" s="15" t="s">
        <v>2199</v>
      </c>
      <c r="X281" s="15" t="s">
        <v>2200</v>
      </c>
      <c r="Y281" s="15" t="s">
        <v>35</v>
      </c>
      <c r="Z281" s="19">
        <v>0</v>
      </c>
      <c r="AA281" s="15">
        <v>0</v>
      </c>
      <c r="AB281" s="15" t="s">
        <v>35</v>
      </c>
    </row>
    <row r="282">
      <c r="A282" s="15">
        <v>278</v>
      </c>
      <c r="B282" s="15" t="s">
        <v>87</v>
      </c>
      <c r="C282" s="15" t="s">
        <v>88</v>
      </c>
      <c r="D282" s="15" t="s">
        <v>135</v>
      </c>
      <c r="E282" s="15" t="s">
        <v>116</v>
      </c>
      <c r="F282" s="15" t="s">
        <v>35</v>
      </c>
      <c r="G282" s="15" t="s">
        <v>74</v>
      </c>
      <c r="H282" s="15" t="s">
        <v>2201</v>
      </c>
      <c r="I282" s="15" t="s">
        <v>2202</v>
      </c>
      <c r="J282" s="15" t="s">
        <v>2203</v>
      </c>
      <c r="K282" s="15" t="s">
        <v>94</v>
      </c>
      <c r="L282" s="15" t="s">
        <v>95</v>
      </c>
      <c r="M282" s="15" t="s">
        <v>390</v>
      </c>
      <c r="N282" s="15" t="s">
        <v>391</v>
      </c>
      <c r="O282" s="15" t="s">
        <v>98</v>
      </c>
      <c r="P282" s="15" t="s">
        <v>392</v>
      </c>
      <c r="Q282" s="15" t="s">
        <v>393</v>
      </c>
      <c r="R282" s="16">
        <v>44329</v>
      </c>
      <c r="S282" s="17" t="s">
        <v>35</v>
      </c>
      <c r="T282" s="20">
        <f>HYPERLINK("https://vnm.spiral.com.vn//uploaded/20210513/4c73879c-b59c-46ac-9ffe-c4fe791ab71f.jpg","16:32:52")</f>
      </c>
      <c r="U282" s="20">
        <f>HYPERLINK("https://vnm.spiral.com.vn//uploaded/20210513/f841eb48-c5d8-461b-820a-9f872ed494a1.jpg","17:01:31")</f>
      </c>
      <c r="V282" s="18">
        <v>0.019895833333333335</v>
      </c>
      <c r="W282" s="15" t="s">
        <v>2204</v>
      </c>
      <c r="X282" s="15" t="s">
        <v>2205</v>
      </c>
      <c r="Y282" s="15" t="s">
        <v>35</v>
      </c>
      <c r="Z282" s="19">
        <v>0</v>
      </c>
      <c r="AA282" s="15">
        <v>0</v>
      </c>
      <c r="AB282" s="15" t="s">
        <v>35</v>
      </c>
    </row>
    <row r="283">
      <c r="A283" s="15">
        <v>279</v>
      </c>
      <c r="B283" s="15" t="s">
        <v>87</v>
      </c>
      <c r="C283" s="15" t="s">
        <v>88</v>
      </c>
      <c r="D283" s="15" t="s">
        <v>432</v>
      </c>
      <c r="E283" s="15" t="s">
        <v>116</v>
      </c>
      <c r="F283" s="15" t="s">
        <v>35</v>
      </c>
      <c r="G283" s="15" t="s">
        <v>74</v>
      </c>
      <c r="H283" s="15" t="s">
        <v>2206</v>
      </c>
      <c r="I283" s="15" t="s">
        <v>2207</v>
      </c>
      <c r="J283" s="15" t="s">
        <v>2208</v>
      </c>
      <c r="K283" s="15" t="s">
        <v>625</v>
      </c>
      <c r="L283" s="15" t="s">
        <v>626</v>
      </c>
      <c r="M283" s="15" t="s">
        <v>1022</v>
      </c>
      <c r="N283" s="15" t="s">
        <v>1023</v>
      </c>
      <c r="O283" s="15" t="s">
        <v>82</v>
      </c>
      <c r="P283" s="15" t="s">
        <v>2209</v>
      </c>
      <c r="Q283" s="15" t="s">
        <v>2210</v>
      </c>
      <c r="R283" s="16">
        <v>44329</v>
      </c>
      <c r="S283" s="17" t="s">
        <v>70</v>
      </c>
      <c r="T283" s="20">
        <f>HYPERLINK("https://vnm.spiral.com.vn//uploaded/20210513/627113b7-0d88-44c7-8215-9083906ddac5.jpg","15:59:17")</f>
      </c>
      <c r="U283" s="20">
        <f>HYPERLINK("https://vnm.spiral.com.vn//uploaded/20210513/4952cc7c-64ab-4df6-9196-031eb5d1f65b.jpg","17:01:30")</f>
      </c>
      <c r="V283" s="18">
        <v>0.04320601851851852</v>
      </c>
      <c r="W283" s="15" t="s">
        <v>2211</v>
      </c>
      <c r="X283" s="15" t="s">
        <v>2212</v>
      </c>
      <c r="Y283" s="15" t="s">
        <v>35</v>
      </c>
      <c r="Z283" s="19">
        <v>0</v>
      </c>
      <c r="AA283" s="15">
        <v>0</v>
      </c>
      <c r="AB283" s="15" t="s">
        <v>35</v>
      </c>
    </row>
    <row r="284">
      <c r="A284" s="15">
        <v>280</v>
      </c>
      <c r="B284" s="15" t="s">
        <v>246</v>
      </c>
      <c r="C284" s="15" t="s">
        <v>259</v>
      </c>
      <c r="D284" s="15" t="s">
        <v>432</v>
      </c>
      <c r="E284" s="15" t="s">
        <v>116</v>
      </c>
      <c r="F284" s="15" t="s">
        <v>35</v>
      </c>
      <c r="G284" s="15" t="s">
        <v>74</v>
      </c>
      <c r="H284" s="15" t="s">
        <v>2213</v>
      </c>
      <c r="I284" s="15" t="s">
        <v>2214</v>
      </c>
      <c r="J284" s="15" t="s">
        <v>2215</v>
      </c>
      <c r="K284" s="15" t="s">
        <v>166</v>
      </c>
      <c r="L284" s="15" t="s">
        <v>167</v>
      </c>
      <c r="M284" s="15" t="s">
        <v>263</v>
      </c>
      <c r="N284" s="15" t="s">
        <v>264</v>
      </c>
      <c r="O284" s="15" t="s">
        <v>82</v>
      </c>
      <c r="P284" s="15" t="s">
        <v>2216</v>
      </c>
      <c r="Q284" s="15" t="s">
        <v>2217</v>
      </c>
      <c r="R284" s="16">
        <v>44329</v>
      </c>
      <c r="S284" s="17" t="s">
        <v>70</v>
      </c>
      <c r="T284" s="20">
        <f>HYPERLINK("https://vnm.spiral.com.vn//uploaded/20210513/01837a91-a69a-4f00-a343-126579a0126d.JPEG","17:01:29")</f>
      </c>
      <c r="U284" s="18"/>
      <c r="V284" s="18" t="s">
        <v>35</v>
      </c>
      <c r="W284" s="15" t="s">
        <v>2218</v>
      </c>
      <c r="X284" s="15" t="s">
        <v>35</v>
      </c>
      <c r="Y284" s="15" t="s">
        <v>35</v>
      </c>
      <c r="Z284" s="19">
        <v>0</v>
      </c>
      <c r="AA284" s="15">
        <v>0</v>
      </c>
      <c r="AB284" s="15" t="s">
        <v>35</v>
      </c>
    </row>
    <row r="285">
      <c r="A285" s="15">
        <v>281</v>
      </c>
      <c r="B285" s="15" t="s">
        <v>87</v>
      </c>
      <c r="C285" s="15" t="s">
        <v>88</v>
      </c>
      <c r="D285" s="15" t="s">
        <v>89</v>
      </c>
      <c r="E285" s="15" t="s">
        <v>90</v>
      </c>
      <c r="F285" s="15" t="s">
        <v>35</v>
      </c>
      <c r="G285" s="15" t="s">
        <v>74</v>
      </c>
      <c r="H285" s="15" t="s">
        <v>1637</v>
      </c>
      <c r="I285" s="15" t="s">
        <v>1638</v>
      </c>
      <c r="J285" s="15" t="s">
        <v>1639</v>
      </c>
      <c r="K285" s="15" t="s">
        <v>96</v>
      </c>
      <c r="L285" s="15" t="s">
        <v>97</v>
      </c>
      <c r="M285" s="15" t="s">
        <v>1640</v>
      </c>
      <c r="N285" s="15" t="s">
        <v>1641</v>
      </c>
      <c r="O285" s="15" t="s">
        <v>156</v>
      </c>
      <c r="P285" s="15" t="s">
        <v>2219</v>
      </c>
      <c r="Q285" s="15" t="s">
        <v>2220</v>
      </c>
      <c r="R285" s="16">
        <v>44329</v>
      </c>
      <c r="S285" s="17" t="s">
        <v>70</v>
      </c>
      <c r="T285" s="20">
        <f>HYPERLINK("https://vnm.spiral.com.vn//uploaded/20210513/C354B1BB-E5AB-4F16-9DCA-72C08828053C.jpg","07:54:02")</f>
      </c>
      <c r="U285" s="20">
        <f>HYPERLINK("https://vnm.spiral.com.vn//uploaded/20210513/ABF1737D-B35B-43DA-8A8D-321132980C6F.jpg","17:01:28")</f>
      </c>
      <c r="V285" s="18">
        <v>0.38016203703703705</v>
      </c>
      <c r="W285" s="15" t="s">
        <v>2221</v>
      </c>
      <c r="X285" s="15" t="s">
        <v>2222</v>
      </c>
      <c r="Y285" s="15" t="s">
        <v>35</v>
      </c>
      <c r="Z285" s="19">
        <v>0</v>
      </c>
      <c r="AA285" s="15">
        <v>0</v>
      </c>
      <c r="AB285" s="15" t="s">
        <v>35</v>
      </c>
    </row>
    <row r="286">
      <c r="A286" s="15">
        <v>282</v>
      </c>
      <c r="B286" s="15" t="s">
        <v>343</v>
      </c>
      <c r="C286" s="15" t="s">
        <v>344</v>
      </c>
      <c r="D286" s="15" t="s">
        <v>357</v>
      </c>
      <c r="E286" s="15" t="s">
        <v>90</v>
      </c>
      <c r="F286" s="15" t="s">
        <v>35</v>
      </c>
      <c r="G286" s="15" t="s">
        <v>74</v>
      </c>
      <c r="H286" s="15" t="s">
        <v>912</v>
      </c>
      <c r="I286" s="15" t="s">
        <v>913</v>
      </c>
      <c r="J286" s="15" t="s">
        <v>914</v>
      </c>
      <c r="K286" s="15" t="s">
        <v>361</v>
      </c>
      <c r="L286" s="15" t="s">
        <v>362</v>
      </c>
      <c r="M286" s="15" t="s">
        <v>917</v>
      </c>
      <c r="N286" s="15" t="s">
        <v>918</v>
      </c>
      <c r="O286" s="15" t="s">
        <v>156</v>
      </c>
      <c r="P286" s="15" t="s">
        <v>2223</v>
      </c>
      <c r="Q286" s="15" t="s">
        <v>2224</v>
      </c>
      <c r="R286" s="16">
        <v>44329</v>
      </c>
      <c r="S286" s="17" t="s">
        <v>70</v>
      </c>
      <c r="T286" s="20">
        <f>HYPERLINK("https://vnm.spiral.com.vn//uploaded/20210513/7A7E917A-548A-449F-BEF4-3C315F0924B9.jpg","07:43:51")</f>
      </c>
      <c r="U286" s="20">
        <f>HYPERLINK("https://vnm.spiral.com.vn//uploaded/20210513/5907686F-25AF-4FB5-ABE2-F02A7C8B4D0C.jpg","17:01:28")</f>
      </c>
      <c r="V286" s="18">
        <v>0.3872337962962963</v>
      </c>
      <c r="W286" s="15" t="s">
        <v>2225</v>
      </c>
      <c r="X286" s="15" t="s">
        <v>2226</v>
      </c>
      <c r="Y286" s="15" t="s">
        <v>35</v>
      </c>
      <c r="Z286" s="19">
        <v>0</v>
      </c>
      <c r="AA286" s="15">
        <v>0</v>
      </c>
      <c r="AB286" s="15" t="s">
        <v>35</v>
      </c>
    </row>
    <row r="287">
      <c r="A287" s="15">
        <v>283</v>
      </c>
      <c r="B287" s="15" t="s">
        <v>343</v>
      </c>
      <c r="C287" s="15" t="s">
        <v>344</v>
      </c>
      <c r="D287" s="15" t="s">
        <v>304</v>
      </c>
      <c r="E287" s="15" t="s">
        <v>35</v>
      </c>
      <c r="F287" s="15" t="s">
        <v>35</v>
      </c>
      <c r="G287" s="15" t="s">
        <v>74</v>
      </c>
      <c r="H287" s="15" t="s">
        <v>2039</v>
      </c>
      <c r="I287" s="15" t="s">
        <v>2040</v>
      </c>
      <c r="J287" s="15" t="s">
        <v>2041</v>
      </c>
      <c r="K287" s="15" t="s">
        <v>897</v>
      </c>
      <c r="L287" s="15" t="s">
        <v>898</v>
      </c>
      <c r="M287" s="15" t="s">
        <v>899</v>
      </c>
      <c r="N287" s="15" t="s">
        <v>900</v>
      </c>
      <c r="O287" s="15" t="s">
        <v>156</v>
      </c>
      <c r="P287" s="15" t="s">
        <v>2227</v>
      </c>
      <c r="Q287" s="15" t="s">
        <v>2228</v>
      </c>
      <c r="R287" s="16">
        <v>44329</v>
      </c>
      <c r="S287" s="17" t="s">
        <v>70</v>
      </c>
      <c r="T287" s="20">
        <f>HYPERLINK("https://vnm.spiral.com.vn//uploaded/20210513/a543a3d9-378a-49af-a9c9-7b3c66dab88c.JPEG","07:59:36")</f>
      </c>
      <c r="U287" s="20">
        <f>HYPERLINK("https://vnm.spiral.com.vn//uploaded/20210513/f32b2780-d455-46c2-976d-c58ef9a4cfd7.JPEG","17:01:28")</f>
      </c>
      <c r="V287" s="18">
        <v>0.3762962962962963</v>
      </c>
      <c r="W287" s="15" t="s">
        <v>2229</v>
      </c>
      <c r="X287" s="15" t="s">
        <v>2230</v>
      </c>
      <c r="Y287" s="15" t="s">
        <v>35</v>
      </c>
      <c r="Z287" s="19">
        <v>0</v>
      </c>
      <c r="AA287" s="15">
        <v>0</v>
      </c>
      <c r="AB287" s="15" t="s">
        <v>35</v>
      </c>
    </row>
    <row r="288">
      <c r="A288" s="15">
        <v>284</v>
      </c>
      <c r="B288" s="15" t="s">
        <v>103</v>
      </c>
      <c r="C288" s="15" t="s">
        <v>1078</v>
      </c>
      <c r="D288" s="15" t="s">
        <v>135</v>
      </c>
      <c r="E288" s="15" t="s">
        <v>116</v>
      </c>
      <c r="F288" s="15" t="s">
        <v>35</v>
      </c>
      <c r="G288" s="15" t="s">
        <v>74</v>
      </c>
      <c r="H288" s="15" t="s">
        <v>2231</v>
      </c>
      <c r="I288" s="15" t="s">
        <v>2232</v>
      </c>
      <c r="J288" s="15" t="s">
        <v>2233</v>
      </c>
      <c r="K288" s="15" t="s">
        <v>436</v>
      </c>
      <c r="L288" s="15" t="s">
        <v>437</v>
      </c>
      <c r="M288" s="15" t="s">
        <v>1429</v>
      </c>
      <c r="N288" s="15" t="s">
        <v>1430</v>
      </c>
      <c r="O288" s="15" t="s">
        <v>82</v>
      </c>
      <c r="P288" s="15" t="s">
        <v>2234</v>
      </c>
      <c r="Q288" s="15" t="s">
        <v>2235</v>
      </c>
      <c r="R288" s="16">
        <v>44329</v>
      </c>
      <c r="S288" s="17" t="s">
        <v>70</v>
      </c>
      <c r="T288" s="20">
        <f>HYPERLINK("https://vnm.spiral.com.vn//uploaded/20210513/4F3457D7-3BE9-403D-A0EF-5B9D3121DC1F.jpg","15:25:51")</f>
      </c>
      <c r="U288" s="20">
        <f>HYPERLINK("https://vnm.spiral.com.vn//uploaded/20210513/765DAC8A-18FA-459D-AE98-26A18E10F84D.jpg","17:01:27")</f>
      </c>
      <c r="V288" s="18">
        <v>0.06638888888888889</v>
      </c>
      <c r="W288" s="15" t="s">
        <v>2236</v>
      </c>
      <c r="X288" s="15" t="s">
        <v>2237</v>
      </c>
      <c r="Y288" s="15" t="s">
        <v>35</v>
      </c>
      <c r="Z288" s="19">
        <v>0</v>
      </c>
      <c r="AA288" s="15">
        <v>0</v>
      </c>
      <c r="AB288" s="15" t="s">
        <v>35</v>
      </c>
    </row>
    <row r="289">
      <c r="A289" s="15">
        <v>285</v>
      </c>
      <c r="B289" s="15" t="s">
        <v>87</v>
      </c>
      <c r="C289" s="15" t="s">
        <v>88</v>
      </c>
      <c r="D289" s="15" t="s">
        <v>432</v>
      </c>
      <c r="E289" s="15" t="s">
        <v>116</v>
      </c>
      <c r="F289" s="15" t="s">
        <v>35</v>
      </c>
      <c r="G289" s="15" t="s">
        <v>74</v>
      </c>
      <c r="H289" s="15" t="s">
        <v>2238</v>
      </c>
      <c r="I289" s="15" t="s">
        <v>2239</v>
      </c>
      <c r="J289" s="15" t="s">
        <v>2240</v>
      </c>
      <c r="K289" s="15" t="s">
        <v>625</v>
      </c>
      <c r="L289" s="15" t="s">
        <v>626</v>
      </c>
      <c r="M289" s="15" t="s">
        <v>1022</v>
      </c>
      <c r="N289" s="15" t="s">
        <v>1023</v>
      </c>
      <c r="O289" s="15" t="s">
        <v>82</v>
      </c>
      <c r="P289" s="15" t="s">
        <v>2241</v>
      </c>
      <c r="Q289" s="15" t="s">
        <v>2242</v>
      </c>
      <c r="R289" s="16">
        <v>44329</v>
      </c>
      <c r="S289" s="17" t="s">
        <v>70</v>
      </c>
      <c r="T289" s="20">
        <f>HYPERLINK("https://vnm.spiral.com.vn//uploaded/20210513/3C624E90-DC90-488B-A029-0332DAFB0EA9.jpg","16:31:56")</f>
      </c>
      <c r="U289" s="20">
        <f>HYPERLINK("https://vnm.spiral.com.vn//uploaded/20210513/80400CDF-386B-4452-A2AE-B5B7F1C030AE.jpg","17:01:26")</f>
      </c>
      <c r="V289" s="18">
        <v>0.02048611111111111</v>
      </c>
      <c r="W289" s="15" t="s">
        <v>2243</v>
      </c>
      <c r="X289" s="15" t="s">
        <v>2244</v>
      </c>
      <c r="Y289" s="15" t="s">
        <v>35</v>
      </c>
      <c r="Z289" s="19">
        <v>0</v>
      </c>
      <c r="AA289" s="15">
        <v>0</v>
      </c>
      <c r="AB289" s="15" t="s">
        <v>35</v>
      </c>
    </row>
    <row r="290">
      <c r="A290" s="15">
        <v>286</v>
      </c>
      <c r="B290" s="15" t="s">
        <v>87</v>
      </c>
      <c r="C290" s="15" t="s">
        <v>88</v>
      </c>
      <c r="D290" s="15" t="s">
        <v>89</v>
      </c>
      <c r="E290" s="15" t="s">
        <v>90</v>
      </c>
      <c r="F290" s="15" t="s">
        <v>35</v>
      </c>
      <c r="G290" s="15" t="s">
        <v>74</v>
      </c>
      <c r="H290" s="15" t="s">
        <v>1276</v>
      </c>
      <c r="I290" s="15" t="s">
        <v>1277</v>
      </c>
      <c r="J290" s="15" t="s">
        <v>1278</v>
      </c>
      <c r="K290" s="15" t="s">
        <v>94</v>
      </c>
      <c r="L290" s="15" t="s">
        <v>95</v>
      </c>
      <c r="M290" s="15" t="s">
        <v>96</v>
      </c>
      <c r="N290" s="15" t="s">
        <v>97</v>
      </c>
      <c r="O290" s="15" t="s">
        <v>98</v>
      </c>
      <c r="P290" s="15" t="s">
        <v>1279</v>
      </c>
      <c r="Q290" s="15" t="s">
        <v>1280</v>
      </c>
      <c r="R290" s="16">
        <v>44329</v>
      </c>
      <c r="S290" s="17" t="s">
        <v>70</v>
      </c>
      <c r="T290" s="20">
        <f>HYPERLINK("https://vnm.spiral.com.vn//uploaded/20210513/639b90ac-c5ac-47bb-9039-46bf243ac1bd.JPEG","10:03:28")</f>
      </c>
      <c r="U290" s="20">
        <f>HYPERLINK("https://vnm.spiral.com.vn//uploaded/20210513/003b5946-0413-407d-aae6-fbe156937ae6.JPEG","17:01:25")</f>
      </c>
      <c r="V290" s="18">
        <v>0.2902430555555556</v>
      </c>
      <c r="W290" s="15" t="s">
        <v>2245</v>
      </c>
      <c r="X290" s="15" t="s">
        <v>2246</v>
      </c>
      <c r="Y290" s="15" t="s">
        <v>35</v>
      </c>
      <c r="Z290" s="19">
        <v>0</v>
      </c>
      <c r="AA290" s="15">
        <v>0</v>
      </c>
      <c r="AB290" s="15" t="s">
        <v>35</v>
      </c>
    </row>
    <row r="291">
      <c r="A291" s="15">
        <v>287</v>
      </c>
      <c r="B291" s="15" t="s">
        <v>61</v>
      </c>
      <c r="C291" s="15" t="s">
        <v>201</v>
      </c>
      <c r="D291" s="15" t="s">
        <v>135</v>
      </c>
      <c r="E291" s="15" t="s">
        <v>116</v>
      </c>
      <c r="F291" s="15" t="s">
        <v>35</v>
      </c>
      <c r="G291" s="15" t="s">
        <v>74</v>
      </c>
      <c r="H291" s="15" t="s">
        <v>2247</v>
      </c>
      <c r="I291" s="15" t="s">
        <v>2248</v>
      </c>
      <c r="J291" s="15" t="s">
        <v>2249</v>
      </c>
      <c r="K291" s="15" t="s">
        <v>152</v>
      </c>
      <c r="L291" s="15" t="s">
        <v>153</v>
      </c>
      <c r="M291" s="15" t="s">
        <v>154</v>
      </c>
      <c r="N291" s="15" t="s">
        <v>155</v>
      </c>
      <c r="O291" s="15" t="s">
        <v>82</v>
      </c>
      <c r="P291" s="15" t="s">
        <v>2250</v>
      </c>
      <c r="Q291" s="15" t="s">
        <v>2251</v>
      </c>
      <c r="R291" s="16">
        <v>44329</v>
      </c>
      <c r="S291" s="17" t="s">
        <v>70</v>
      </c>
      <c r="T291" s="20">
        <f>HYPERLINK("https://vnm.spiral.com.vn//uploaded/20210513/7a68c8e9-fa4e-4672-9ccb-cae0ea41fac0.JPEG","15:52:54")</f>
      </c>
      <c r="U291" s="20">
        <f>HYPERLINK("https://vnm.spiral.com.vn//uploaded/20210513/cfa8157c-b792-4094-9700-9527b1ab8723.JPEG","17:01:25")</f>
      </c>
      <c r="V291" s="18">
        <v>0.047581018518518516</v>
      </c>
      <c r="W291" s="15" t="s">
        <v>2252</v>
      </c>
      <c r="X291" s="15" t="s">
        <v>2253</v>
      </c>
      <c r="Y291" s="15" t="s">
        <v>35</v>
      </c>
      <c r="Z291" s="19">
        <v>0</v>
      </c>
      <c r="AA291" s="15">
        <v>0</v>
      </c>
      <c r="AB291" s="15" t="s">
        <v>35</v>
      </c>
    </row>
    <row r="292">
      <c r="A292" s="15">
        <v>288</v>
      </c>
      <c r="B292" s="15" t="s">
        <v>87</v>
      </c>
      <c r="C292" s="15" t="s">
        <v>88</v>
      </c>
      <c r="D292" s="15" t="s">
        <v>304</v>
      </c>
      <c r="E292" s="15" t="s">
        <v>305</v>
      </c>
      <c r="F292" s="15" t="s">
        <v>35</v>
      </c>
      <c r="G292" s="15" t="s">
        <v>74</v>
      </c>
      <c r="H292" s="15" t="s">
        <v>2254</v>
      </c>
      <c r="I292" s="15" t="s">
        <v>2255</v>
      </c>
      <c r="J292" s="15" t="s">
        <v>2256</v>
      </c>
      <c r="K292" s="15" t="s">
        <v>94</v>
      </c>
      <c r="L292" s="15" t="s">
        <v>95</v>
      </c>
      <c r="M292" s="15" t="s">
        <v>748</v>
      </c>
      <c r="N292" s="15" t="s">
        <v>749</v>
      </c>
      <c r="O292" s="15" t="s">
        <v>98</v>
      </c>
      <c r="P292" s="15" t="s">
        <v>2257</v>
      </c>
      <c r="Q292" s="15" t="s">
        <v>2258</v>
      </c>
      <c r="R292" s="16">
        <v>44329</v>
      </c>
      <c r="S292" s="17" t="s">
        <v>35</v>
      </c>
      <c r="T292" s="20">
        <f>HYPERLINK("https://vnm.spiral.com.vn//uploaded/20210513/C96FDB07-26EA-4646-9EB4-8D9D879B1014.jpg","07:58:33")</f>
      </c>
      <c r="U292" s="20">
        <f>HYPERLINK("https://vnm.spiral.com.vn//uploaded/20210513/E4D8778B-617E-415D-B56D-607FD45D1003.jpg","17:01:24")</f>
      </c>
      <c r="V292" s="18">
        <v>0.37697916666666664</v>
      </c>
      <c r="W292" s="15" t="s">
        <v>2259</v>
      </c>
      <c r="X292" s="15" t="s">
        <v>2260</v>
      </c>
      <c r="Y292" s="15" t="s">
        <v>35</v>
      </c>
      <c r="Z292" s="19">
        <v>0</v>
      </c>
      <c r="AA292" s="15">
        <v>0</v>
      </c>
      <c r="AB292" s="15" t="s">
        <v>35</v>
      </c>
    </row>
    <row r="293">
      <c r="A293" s="15">
        <v>289</v>
      </c>
      <c r="B293" s="15" t="s">
        <v>343</v>
      </c>
      <c r="C293" s="15" t="s">
        <v>344</v>
      </c>
      <c r="D293" s="15" t="s">
        <v>357</v>
      </c>
      <c r="E293" s="15" t="s">
        <v>90</v>
      </c>
      <c r="F293" s="15" t="s">
        <v>35</v>
      </c>
      <c r="G293" s="15" t="s">
        <v>74</v>
      </c>
      <c r="H293" s="15" t="s">
        <v>2261</v>
      </c>
      <c r="I293" s="15" t="s">
        <v>2262</v>
      </c>
      <c r="J293" s="15" t="s">
        <v>2263</v>
      </c>
      <c r="K293" s="15" t="s">
        <v>361</v>
      </c>
      <c r="L293" s="15" t="s">
        <v>362</v>
      </c>
      <c r="M293" s="15" t="s">
        <v>917</v>
      </c>
      <c r="N293" s="15" t="s">
        <v>918</v>
      </c>
      <c r="O293" s="15" t="s">
        <v>82</v>
      </c>
      <c r="P293" s="15" t="s">
        <v>2264</v>
      </c>
      <c r="Q293" s="15" t="s">
        <v>2265</v>
      </c>
      <c r="R293" s="16">
        <v>44329</v>
      </c>
      <c r="S293" s="17" t="s">
        <v>70</v>
      </c>
      <c r="T293" s="20">
        <f>HYPERLINK("https://vnm.spiral.com.vn//uploaded/20210513/9279E71A-60E8-43B3-B947-19592C42CA1A.jpg","07:58:46")</f>
      </c>
      <c r="U293" s="20">
        <f>HYPERLINK("https://vnm.spiral.com.vn//uploaded/20210513/B6D0F26A-AC46-4E70-A03E-308467268D2E.jpg","17:01:23")</f>
      </c>
      <c r="V293" s="18">
        <v>0.37681712962962965</v>
      </c>
      <c r="W293" s="15" t="s">
        <v>2266</v>
      </c>
      <c r="X293" s="15" t="s">
        <v>2267</v>
      </c>
      <c r="Y293" s="15" t="s">
        <v>35</v>
      </c>
      <c r="Z293" s="19">
        <v>0</v>
      </c>
      <c r="AA293" s="15">
        <v>0</v>
      </c>
      <c r="AB293" s="15" t="s">
        <v>35</v>
      </c>
    </row>
    <row r="294">
      <c r="A294" s="15">
        <v>290</v>
      </c>
      <c r="B294" s="15" t="s">
        <v>87</v>
      </c>
      <c r="C294" s="15" t="s">
        <v>88</v>
      </c>
      <c r="D294" s="15" t="s">
        <v>1910</v>
      </c>
      <c r="E294" s="15" t="s">
        <v>1910</v>
      </c>
      <c r="F294" s="15" t="s">
        <v>35</v>
      </c>
      <c r="G294" s="15" t="s">
        <v>74</v>
      </c>
      <c r="H294" s="15" t="s">
        <v>2268</v>
      </c>
      <c r="I294" s="15" t="s">
        <v>2269</v>
      </c>
      <c r="J294" s="15" t="s">
        <v>2270</v>
      </c>
      <c r="K294" s="15" t="s">
        <v>888</v>
      </c>
      <c r="L294" s="15" t="s">
        <v>889</v>
      </c>
      <c r="M294" s="15" t="s">
        <v>1666</v>
      </c>
      <c r="N294" s="15" t="s">
        <v>1667</v>
      </c>
      <c r="O294" s="15" t="s">
        <v>82</v>
      </c>
      <c r="P294" s="15" t="s">
        <v>2271</v>
      </c>
      <c r="Q294" s="15" t="s">
        <v>2272</v>
      </c>
      <c r="R294" s="16">
        <v>44329</v>
      </c>
      <c r="S294" s="17" t="s">
        <v>70</v>
      </c>
      <c r="T294" s="20">
        <f>HYPERLINK("https://vnm.spiral.com.vn//uploaded/20210513/3027eaf3-6045-4606-a0b4-9f3e7199b910.JPEG","16:42:51")</f>
      </c>
      <c r="U294" s="20">
        <f>HYPERLINK("https://vnm.spiral.com.vn//uploaded/20210513/5f12543e-8609-408a-a1ca-742ff4195f21.JPEG","17:01:22")</f>
      </c>
      <c r="V294" s="18">
        <v>0.012858796296296297</v>
      </c>
      <c r="W294" s="15" t="s">
        <v>2273</v>
      </c>
      <c r="X294" s="15" t="s">
        <v>2274</v>
      </c>
      <c r="Y294" s="15" t="s">
        <v>35</v>
      </c>
      <c r="Z294" s="19">
        <v>0</v>
      </c>
      <c r="AA294" s="15">
        <v>0</v>
      </c>
      <c r="AB294" s="15" t="s">
        <v>35</v>
      </c>
    </row>
    <row r="295">
      <c r="A295" s="15">
        <v>291</v>
      </c>
      <c r="B295" s="15" t="s">
        <v>343</v>
      </c>
      <c r="C295" s="15" t="s">
        <v>344</v>
      </c>
      <c r="D295" s="15" t="s">
        <v>89</v>
      </c>
      <c r="E295" s="15" t="s">
        <v>90</v>
      </c>
      <c r="F295" s="15" t="s">
        <v>35</v>
      </c>
      <c r="G295" s="15" t="s">
        <v>74</v>
      </c>
      <c r="H295" s="15" t="s">
        <v>2275</v>
      </c>
      <c r="I295" s="15" t="s">
        <v>2276</v>
      </c>
      <c r="J295" s="15" t="s">
        <v>2277</v>
      </c>
      <c r="K295" s="15" t="s">
        <v>915</v>
      </c>
      <c r="L295" s="15" t="s">
        <v>916</v>
      </c>
      <c r="M295" s="15" t="s">
        <v>361</v>
      </c>
      <c r="N295" s="15" t="s">
        <v>362</v>
      </c>
      <c r="O295" s="15" t="s">
        <v>98</v>
      </c>
      <c r="P295" s="15" t="s">
        <v>1362</v>
      </c>
      <c r="Q295" s="15" t="s">
        <v>1363</v>
      </c>
      <c r="R295" s="16">
        <v>44329</v>
      </c>
      <c r="S295" s="17" t="s">
        <v>70</v>
      </c>
      <c r="T295" s="20">
        <f>HYPERLINK("https://vnm.spiral.com.vn//uploaded/20210513/93281E96-B401-4A2D-B9BE-CB7774F98DAB.jpg","09:36:40")</f>
      </c>
      <c r="U295" s="20">
        <f>HYPERLINK("https://vnm.spiral.com.vn//uploaded/20210513/4A2952B5-6C93-49F9-8FA7-A03DA91EA901.jpg","17:01:22")</f>
      </c>
      <c r="V295" s="18">
        <v>0.3088194444444444</v>
      </c>
      <c r="W295" s="15" t="s">
        <v>2278</v>
      </c>
      <c r="X295" s="15" t="s">
        <v>2279</v>
      </c>
      <c r="Y295" s="15" t="s">
        <v>35</v>
      </c>
      <c r="Z295" s="19">
        <v>0</v>
      </c>
      <c r="AA295" s="15">
        <v>0</v>
      </c>
      <c r="AB295" s="15" t="s">
        <v>35</v>
      </c>
    </row>
    <row r="296">
      <c r="A296" s="15">
        <v>292</v>
      </c>
      <c r="B296" s="15" t="s">
        <v>343</v>
      </c>
      <c r="C296" s="15" t="s">
        <v>344</v>
      </c>
      <c r="D296" s="15" t="s">
        <v>536</v>
      </c>
      <c r="E296" s="15" t="s">
        <v>116</v>
      </c>
      <c r="F296" s="15" t="s">
        <v>35</v>
      </c>
      <c r="G296" s="15" t="s">
        <v>74</v>
      </c>
      <c r="H296" s="15" t="s">
        <v>2280</v>
      </c>
      <c r="I296" s="15" t="s">
        <v>2281</v>
      </c>
      <c r="J296" s="15" t="s">
        <v>2282</v>
      </c>
      <c r="K296" s="15" t="s">
        <v>997</v>
      </c>
      <c r="L296" s="15" t="s">
        <v>998</v>
      </c>
      <c r="M296" s="15" t="s">
        <v>1325</v>
      </c>
      <c r="N296" s="15" t="s">
        <v>1326</v>
      </c>
      <c r="O296" s="15" t="s">
        <v>82</v>
      </c>
      <c r="P296" s="15" t="s">
        <v>2283</v>
      </c>
      <c r="Q296" s="15" t="s">
        <v>2284</v>
      </c>
      <c r="R296" s="16">
        <v>44329</v>
      </c>
      <c r="S296" s="17" t="s">
        <v>70</v>
      </c>
      <c r="T296" s="20">
        <f>HYPERLINK("https://vnm.spiral.com.vn//uploaded/20210513/7E302AA1-C699-454A-A1B8-85EB40FB4CF2.jpg","16:44:55")</f>
      </c>
      <c r="U296" s="20">
        <f>HYPERLINK("https://vnm.spiral.com.vn//uploaded/20210513/1672FB2E-33A9-439B-B6B9-457F425442EA.jpg","17:01:22")</f>
      </c>
      <c r="V296" s="18">
        <v>0.011423611111111112</v>
      </c>
      <c r="W296" s="15" t="s">
        <v>2285</v>
      </c>
      <c r="X296" s="15" t="s">
        <v>2286</v>
      </c>
      <c r="Y296" s="15" t="s">
        <v>35</v>
      </c>
      <c r="Z296" s="19">
        <v>0</v>
      </c>
      <c r="AA296" s="15">
        <v>0</v>
      </c>
      <c r="AB296" s="15" t="s">
        <v>35</v>
      </c>
    </row>
    <row r="297">
      <c r="A297" s="15">
        <v>293</v>
      </c>
      <c r="B297" s="15" t="s">
        <v>49</v>
      </c>
      <c r="C297" s="15" t="s">
        <v>1715</v>
      </c>
      <c r="D297" s="15" t="s">
        <v>35</v>
      </c>
      <c r="E297" s="15" t="s">
        <v>35</v>
      </c>
      <c r="F297" s="15" t="s">
        <v>2287</v>
      </c>
      <c r="G297" s="15" t="s">
        <v>36</v>
      </c>
      <c r="H297" s="15" t="s">
        <v>2288</v>
      </c>
      <c r="I297" s="15" t="s">
        <v>2289</v>
      </c>
      <c r="J297" s="15" t="s">
        <v>2290</v>
      </c>
      <c r="K297" s="15" t="s">
        <v>40</v>
      </c>
      <c r="L297" s="15" t="s">
        <v>41</v>
      </c>
      <c r="M297" s="15" t="s">
        <v>55</v>
      </c>
      <c r="N297" s="15" t="s">
        <v>56</v>
      </c>
      <c r="O297" s="15" t="s">
        <v>44</v>
      </c>
      <c r="P297" s="15" t="s">
        <v>2291</v>
      </c>
      <c r="Q297" s="15" t="s">
        <v>2292</v>
      </c>
      <c r="R297" s="16">
        <v>44329</v>
      </c>
      <c r="S297" s="17" t="s">
        <v>70</v>
      </c>
      <c r="T297" s="20">
        <f>HYPERLINK("https://vnm.spiral.com.vn//uploaded/20210513/b287ccc0-c9d2-4415-af0d-e0cf1bddf8df.JPEG","08:04:09")</f>
      </c>
      <c r="U297" s="20">
        <f>HYPERLINK("https://vnm.spiral.com.vn//uploaded/20210513/e5b08132-3407-479d-97bb-a75ed040c4ed.JPEG","17:01:22")</f>
      </c>
      <c r="V297" s="18">
        <v>0.3730671296296296</v>
      </c>
      <c r="W297" s="15" t="s">
        <v>2293</v>
      </c>
      <c r="X297" s="15" t="s">
        <v>2294</v>
      </c>
      <c r="Y297" s="15" t="s">
        <v>35</v>
      </c>
      <c r="Z297" s="19">
        <v>0</v>
      </c>
      <c r="AA297" s="15">
        <v>0</v>
      </c>
      <c r="AB297" s="15" t="s">
        <v>35</v>
      </c>
    </row>
    <row r="298">
      <c r="A298" s="15">
        <v>294</v>
      </c>
      <c r="B298" s="15" t="s">
        <v>87</v>
      </c>
      <c r="C298" s="15" t="s">
        <v>88</v>
      </c>
      <c r="D298" s="15" t="s">
        <v>135</v>
      </c>
      <c r="E298" s="15" t="s">
        <v>116</v>
      </c>
      <c r="F298" s="15" t="s">
        <v>35</v>
      </c>
      <c r="G298" s="15" t="s">
        <v>74</v>
      </c>
      <c r="H298" s="15" t="s">
        <v>2295</v>
      </c>
      <c r="I298" s="15" t="s">
        <v>2296</v>
      </c>
      <c r="J298" s="15" t="s">
        <v>2297</v>
      </c>
      <c r="K298" s="15" t="s">
        <v>139</v>
      </c>
      <c r="L298" s="15" t="s">
        <v>140</v>
      </c>
      <c r="M298" s="15" t="s">
        <v>141</v>
      </c>
      <c r="N298" s="15" t="s">
        <v>142</v>
      </c>
      <c r="O298" s="15" t="s">
        <v>82</v>
      </c>
      <c r="P298" s="15" t="s">
        <v>2298</v>
      </c>
      <c r="Q298" s="15" t="s">
        <v>2299</v>
      </c>
      <c r="R298" s="16">
        <v>44329</v>
      </c>
      <c r="S298" s="17" t="s">
        <v>70</v>
      </c>
      <c r="T298" s="20">
        <f>HYPERLINK("https://vnm.spiral.com.vn//uploaded/20210513/470c9e31-db31-4810-a5ab-edce620e3b6d.JPEG","15:44:26")</f>
      </c>
      <c r="U298" s="20">
        <f>HYPERLINK("https://vnm.spiral.com.vn//uploaded/20210513/9f7998b4-9c79-4caf-b779-1e6491cd1331.JPEG","17:01:21")</f>
      </c>
      <c r="V298" s="18">
        <v>0.05341435185185185</v>
      </c>
      <c r="W298" s="15" t="s">
        <v>2300</v>
      </c>
      <c r="X298" s="15" t="s">
        <v>2301</v>
      </c>
      <c r="Y298" s="15" t="s">
        <v>35</v>
      </c>
      <c r="Z298" s="19">
        <v>0</v>
      </c>
      <c r="AA298" s="15">
        <v>0</v>
      </c>
      <c r="AB298" s="15" t="s">
        <v>35</v>
      </c>
    </row>
    <row r="299">
      <c r="A299" s="15">
        <v>295</v>
      </c>
      <c r="B299" s="15" t="s">
        <v>61</v>
      </c>
      <c r="C299" s="15" t="s">
        <v>201</v>
      </c>
      <c r="D299" s="15" t="s">
        <v>35</v>
      </c>
      <c r="E299" s="15" t="s">
        <v>35</v>
      </c>
      <c r="F299" s="15" t="s">
        <v>2302</v>
      </c>
      <c r="G299" s="15" t="s">
        <v>36</v>
      </c>
      <c r="H299" s="15" t="s">
        <v>2303</v>
      </c>
      <c r="I299" s="15" t="s">
        <v>2304</v>
      </c>
      <c r="J299" s="15" t="s">
        <v>2305</v>
      </c>
      <c r="K299" s="15" t="s">
        <v>40</v>
      </c>
      <c r="L299" s="15" t="s">
        <v>41</v>
      </c>
      <c r="M299" s="15" t="s">
        <v>205</v>
      </c>
      <c r="N299" s="15" t="s">
        <v>206</v>
      </c>
      <c r="O299" s="15" t="s">
        <v>44</v>
      </c>
      <c r="P299" s="15" t="s">
        <v>2306</v>
      </c>
      <c r="Q299" s="15" t="s">
        <v>2307</v>
      </c>
      <c r="R299" s="16">
        <v>44329</v>
      </c>
      <c r="S299" s="17" t="s">
        <v>1199</v>
      </c>
      <c r="T299" s="20">
        <f>HYPERLINK("https://vnm.spiral.com.vn//uploaded/20210513/4f4b5b36-6bb2-40f0-b419-6d3cde567e72.JPEG","17:01:21")</f>
      </c>
      <c r="U299" s="18"/>
      <c r="V299" s="18" t="s">
        <v>35</v>
      </c>
      <c r="W299" s="15" t="s">
        <v>2308</v>
      </c>
      <c r="X299" s="15" t="s">
        <v>35</v>
      </c>
      <c r="Y299" s="15" t="s">
        <v>35</v>
      </c>
      <c r="Z299" s="19">
        <v>0</v>
      </c>
      <c r="AA299" s="15">
        <v>0</v>
      </c>
      <c r="AB299" s="15" t="s">
        <v>35</v>
      </c>
    </row>
    <row r="300">
      <c r="A300" s="15">
        <v>296</v>
      </c>
      <c r="B300" s="15" t="s">
        <v>343</v>
      </c>
      <c r="C300" s="15" t="s">
        <v>344</v>
      </c>
      <c r="D300" s="15" t="s">
        <v>878</v>
      </c>
      <c r="E300" s="15" t="s">
        <v>35</v>
      </c>
      <c r="F300" s="15" t="s">
        <v>35</v>
      </c>
      <c r="G300" s="15" t="s">
        <v>74</v>
      </c>
      <c r="H300" s="15" t="s">
        <v>2309</v>
      </c>
      <c r="I300" s="15" t="s">
        <v>2310</v>
      </c>
      <c r="J300" s="15" t="s">
        <v>2311</v>
      </c>
      <c r="K300" s="15" t="s">
        <v>584</v>
      </c>
      <c r="L300" s="15" t="s">
        <v>585</v>
      </c>
      <c r="M300" s="15" t="s">
        <v>586</v>
      </c>
      <c r="N300" s="15" t="s">
        <v>587</v>
      </c>
      <c r="O300" s="15" t="s">
        <v>82</v>
      </c>
      <c r="P300" s="15" t="s">
        <v>2312</v>
      </c>
      <c r="Q300" s="15" t="s">
        <v>2313</v>
      </c>
      <c r="R300" s="16">
        <v>44329</v>
      </c>
      <c r="S300" s="17" t="s">
        <v>70</v>
      </c>
      <c r="T300" s="20">
        <f>HYPERLINK("https://vnm.spiral.com.vn//uploaded/20210513/62df0141-4f0e-4e36-9bbb-7bae18b6c15c.JPEG","11:51:07")</f>
      </c>
      <c r="U300" s="20">
        <f>HYPERLINK("https://vnm.spiral.com.vn//uploaded/20210513/4baaf3af-83c4-4162-b38b-66047e63457b.JPEG","17:01:21")</f>
      </c>
      <c r="V300" s="18">
        <v>0.2154398148148148</v>
      </c>
      <c r="W300" s="15" t="s">
        <v>2314</v>
      </c>
      <c r="X300" s="15" t="s">
        <v>2315</v>
      </c>
      <c r="Y300" s="15" t="s">
        <v>35</v>
      </c>
      <c r="Z300" s="19">
        <v>0</v>
      </c>
      <c r="AA300" s="15">
        <v>0</v>
      </c>
      <c r="AB300" s="15" t="s">
        <v>35</v>
      </c>
    </row>
    <row r="301">
      <c r="A301" s="15">
        <v>297</v>
      </c>
      <c r="B301" s="15" t="s">
        <v>343</v>
      </c>
      <c r="C301" s="15" t="s">
        <v>344</v>
      </c>
      <c r="D301" s="15" t="s">
        <v>35</v>
      </c>
      <c r="E301" s="15" t="s">
        <v>35</v>
      </c>
      <c r="F301" s="15" t="s">
        <v>35</v>
      </c>
      <c r="G301" s="15" t="s">
        <v>74</v>
      </c>
      <c r="H301" s="15" t="s">
        <v>2316</v>
      </c>
      <c r="I301" s="15" t="s">
        <v>2317</v>
      </c>
      <c r="J301" s="15" t="s">
        <v>2318</v>
      </c>
      <c r="K301" s="15" t="s">
        <v>584</v>
      </c>
      <c r="L301" s="15" t="s">
        <v>585</v>
      </c>
      <c r="M301" s="15" t="s">
        <v>827</v>
      </c>
      <c r="N301" s="15" t="s">
        <v>828</v>
      </c>
      <c r="O301" s="15" t="s">
        <v>82</v>
      </c>
      <c r="P301" s="15" t="s">
        <v>2319</v>
      </c>
      <c r="Q301" s="15" t="s">
        <v>2320</v>
      </c>
      <c r="R301" s="16">
        <v>44329</v>
      </c>
      <c r="S301" s="17" t="s">
        <v>70</v>
      </c>
      <c r="T301" s="20">
        <f>HYPERLINK("https://vnm.spiral.com.vn//uploaded/20210513/75E19CBE-8623-48FA-ACAF-D279E51759C2.jpg","14:01:42")</f>
      </c>
      <c r="U301" s="20">
        <f>HYPERLINK("https://vnm.spiral.com.vn//uploaded/20210513/D084418D-F36F-4001-97EE-96055D6179B2.jpg","17:01:21")</f>
      </c>
      <c r="V301" s="18">
        <v>0.12475694444444445</v>
      </c>
      <c r="W301" s="15" t="s">
        <v>2321</v>
      </c>
      <c r="X301" s="15" t="s">
        <v>2322</v>
      </c>
      <c r="Y301" s="15" t="s">
        <v>35</v>
      </c>
      <c r="Z301" s="19">
        <v>0</v>
      </c>
      <c r="AA301" s="15">
        <v>0</v>
      </c>
      <c r="AB301" s="15" t="s">
        <v>35</v>
      </c>
    </row>
    <row r="302">
      <c r="A302" s="15">
        <v>298</v>
      </c>
      <c r="B302" s="15" t="s">
        <v>103</v>
      </c>
      <c r="C302" s="15" t="s">
        <v>104</v>
      </c>
      <c r="D302" s="15" t="s">
        <v>89</v>
      </c>
      <c r="E302" s="15" t="s">
        <v>90</v>
      </c>
      <c r="F302" s="15" t="s">
        <v>35</v>
      </c>
      <c r="G302" s="15" t="s">
        <v>74</v>
      </c>
      <c r="H302" s="15" t="s">
        <v>2323</v>
      </c>
      <c r="I302" s="15" t="s">
        <v>2324</v>
      </c>
      <c r="J302" s="15" t="s">
        <v>2325</v>
      </c>
      <c r="K302" s="15" t="s">
        <v>460</v>
      </c>
      <c r="L302" s="15" t="s">
        <v>461</v>
      </c>
      <c r="M302" s="15" t="s">
        <v>462</v>
      </c>
      <c r="N302" s="15" t="s">
        <v>463</v>
      </c>
      <c r="O302" s="15" t="s">
        <v>156</v>
      </c>
      <c r="P302" s="15" t="s">
        <v>2326</v>
      </c>
      <c r="Q302" s="15" t="s">
        <v>2327</v>
      </c>
      <c r="R302" s="16">
        <v>44329</v>
      </c>
      <c r="S302" s="17" t="s">
        <v>70</v>
      </c>
      <c r="T302" s="20">
        <f>HYPERLINK("https://vnm.spiral.com.vn//uploaded/20210513/52e73dac-353f-4b9d-a3fa-b0b54b0cb1c0.JPEG","07:58:59")</f>
      </c>
      <c r="U302" s="20">
        <f>HYPERLINK("https://vnm.spiral.com.vn//uploaded/20210513/f5decf86-fdac-4aa4-91b7-0513ae491673.JPEG","17:01:19")</f>
      </c>
      <c r="V302" s="18">
        <v>0.3766203703703704</v>
      </c>
      <c r="W302" s="15" t="s">
        <v>2328</v>
      </c>
      <c r="X302" s="15" t="s">
        <v>2329</v>
      </c>
      <c r="Y302" s="15" t="s">
        <v>35</v>
      </c>
      <c r="Z302" s="19">
        <v>0</v>
      </c>
      <c r="AA302" s="15">
        <v>0</v>
      </c>
      <c r="AB302" s="15" t="s">
        <v>35</v>
      </c>
    </row>
    <row r="303">
      <c r="A303" s="15">
        <v>299</v>
      </c>
      <c r="B303" s="15" t="s">
        <v>87</v>
      </c>
      <c r="C303" s="15" t="s">
        <v>88</v>
      </c>
      <c r="D303" s="15" t="s">
        <v>89</v>
      </c>
      <c r="E303" s="15" t="s">
        <v>90</v>
      </c>
      <c r="F303" s="15" t="s">
        <v>35</v>
      </c>
      <c r="G303" s="15" t="s">
        <v>74</v>
      </c>
      <c r="H303" s="15" t="s">
        <v>2330</v>
      </c>
      <c r="I303" s="15" t="s">
        <v>2331</v>
      </c>
      <c r="J303" s="15" t="s">
        <v>2332</v>
      </c>
      <c r="K303" s="15" t="s">
        <v>96</v>
      </c>
      <c r="L303" s="15" t="s">
        <v>97</v>
      </c>
      <c r="M303" s="15" t="s">
        <v>2333</v>
      </c>
      <c r="N303" s="15" t="s">
        <v>2334</v>
      </c>
      <c r="O303" s="15" t="s">
        <v>82</v>
      </c>
      <c r="P303" s="15" t="s">
        <v>2335</v>
      </c>
      <c r="Q303" s="15" t="s">
        <v>2336</v>
      </c>
      <c r="R303" s="16">
        <v>44329</v>
      </c>
      <c r="S303" s="17" t="s">
        <v>70</v>
      </c>
      <c r="T303" s="20">
        <f>HYPERLINK("https://vnm.spiral.com.vn//uploaded/20210513/971e94f3-f7d5-4109-8650-28e9dbabeddb.JPEG","08:08:56")</f>
      </c>
      <c r="U303" s="20">
        <f>HYPERLINK("https://vnm.spiral.com.vn//uploaded/20210513/34865c46-db58-453f-999b-24174f992057.JPEG","17:01:19")</f>
      </c>
      <c r="V303" s="18">
        <v>0.36971064814814814</v>
      </c>
      <c r="W303" s="15" t="s">
        <v>2337</v>
      </c>
      <c r="X303" s="15" t="s">
        <v>2338</v>
      </c>
      <c r="Y303" s="15" t="s">
        <v>35</v>
      </c>
      <c r="Z303" s="19">
        <v>0</v>
      </c>
      <c r="AA303" s="15">
        <v>0</v>
      </c>
      <c r="AB303" s="15" t="s">
        <v>35</v>
      </c>
    </row>
    <row r="304">
      <c r="A304" s="15">
        <v>300</v>
      </c>
      <c r="B304" s="15" t="s">
        <v>343</v>
      </c>
      <c r="C304" s="15" t="s">
        <v>344</v>
      </c>
      <c r="D304" s="15" t="s">
        <v>432</v>
      </c>
      <c r="E304" s="15" t="s">
        <v>116</v>
      </c>
      <c r="F304" s="15" t="s">
        <v>35</v>
      </c>
      <c r="G304" s="15" t="s">
        <v>74</v>
      </c>
      <c r="H304" s="15" t="s">
        <v>2339</v>
      </c>
      <c r="I304" s="15" t="s">
        <v>2340</v>
      </c>
      <c r="J304" s="15" t="s">
        <v>2341</v>
      </c>
      <c r="K304" s="15" t="s">
        <v>512</v>
      </c>
      <c r="L304" s="15" t="s">
        <v>513</v>
      </c>
      <c r="M304" s="15" t="s">
        <v>514</v>
      </c>
      <c r="N304" s="15" t="s">
        <v>515</v>
      </c>
      <c r="O304" s="15" t="s">
        <v>82</v>
      </c>
      <c r="P304" s="15" t="s">
        <v>2342</v>
      </c>
      <c r="Q304" s="15" t="s">
        <v>2343</v>
      </c>
      <c r="R304" s="16">
        <v>44329</v>
      </c>
      <c r="S304" s="17" t="s">
        <v>70</v>
      </c>
      <c r="T304" s="20">
        <f>HYPERLINK("https://vnm.spiral.com.vn//uploaded/20210513/f6f296b2-6f7c-49c9-b1d6-9a9ae3147f94.JPEG","15:51:09")</f>
      </c>
      <c r="U304" s="20">
        <f>HYPERLINK("https://vnm.spiral.com.vn//uploaded/20210513/c2a88fba-abb6-490c-8108-efff90a39b9f.JPEG","17:01:17")</f>
      </c>
      <c r="V304" s="18">
        <v>0.0487037037037037</v>
      </c>
      <c r="W304" s="15" t="s">
        <v>2344</v>
      </c>
      <c r="X304" s="15" t="s">
        <v>2345</v>
      </c>
      <c r="Y304" s="15" t="s">
        <v>35</v>
      </c>
      <c r="Z304" s="19">
        <v>0</v>
      </c>
      <c r="AA304" s="15">
        <v>0</v>
      </c>
      <c r="AB304" s="15" t="s">
        <v>35</v>
      </c>
    </row>
    <row r="305">
      <c r="A305" s="15">
        <v>301</v>
      </c>
      <c r="B305" s="15" t="s">
        <v>343</v>
      </c>
      <c r="C305" s="15" t="s">
        <v>344</v>
      </c>
      <c r="D305" s="15" t="s">
        <v>35</v>
      </c>
      <c r="E305" s="15" t="s">
        <v>35</v>
      </c>
      <c r="F305" s="15" t="s">
        <v>35</v>
      </c>
      <c r="G305" s="15" t="s">
        <v>36</v>
      </c>
      <c r="H305" s="15" t="s">
        <v>2346</v>
      </c>
      <c r="I305" s="15" t="s">
        <v>2347</v>
      </c>
      <c r="J305" s="15" t="s">
        <v>2348</v>
      </c>
      <c r="K305" s="15" t="s">
        <v>40</v>
      </c>
      <c r="L305" s="15" t="s">
        <v>41</v>
      </c>
      <c r="M305" s="15" t="s">
        <v>595</v>
      </c>
      <c r="N305" s="15" t="s">
        <v>596</v>
      </c>
      <c r="O305" s="15" t="s">
        <v>44</v>
      </c>
      <c r="P305" s="15" t="s">
        <v>2349</v>
      </c>
      <c r="Q305" s="15" t="s">
        <v>2350</v>
      </c>
      <c r="R305" s="16">
        <v>44329</v>
      </c>
      <c r="S305" s="17" t="s">
        <v>70</v>
      </c>
      <c r="T305" s="20">
        <f>HYPERLINK("https://vnm.spiral.com.vn//uploaded/20210513/d6e71054-e5ad-40bf-bb39-017b1885f26c.JPEG","07:57:46")</f>
      </c>
      <c r="U305" s="20">
        <f>HYPERLINK("https://vnm.spiral.com.vn//uploaded/20210513/92e0e48f-8191-425d-9509-acdf0ff7e644.JPEG","17:01:15")</f>
      </c>
      <c r="V305" s="18">
        <v>0.3774189814814815</v>
      </c>
      <c r="W305" s="15" t="s">
        <v>2351</v>
      </c>
      <c r="X305" s="15" t="s">
        <v>2352</v>
      </c>
      <c r="Y305" s="15" t="s">
        <v>35</v>
      </c>
      <c r="Z305" s="19">
        <v>0</v>
      </c>
      <c r="AA305" s="15">
        <v>0</v>
      </c>
      <c r="AB305" s="15" t="s">
        <v>35</v>
      </c>
    </row>
    <row r="306">
      <c r="A306" s="15">
        <v>302</v>
      </c>
      <c r="B306" s="15" t="s">
        <v>87</v>
      </c>
      <c r="C306" s="15" t="s">
        <v>88</v>
      </c>
      <c r="D306" s="15" t="s">
        <v>115</v>
      </c>
      <c r="E306" s="15" t="s">
        <v>116</v>
      </c>
      <c r="F306" s="15" t="s">
        <v>35</v>
      </c>
      <c r="G306" s="15" t="s">
        <v>74</v>
      </c>
      <c r="H306" s="15" t="s">
        <v>2353</v>
      </c>
      <c r="I306" s="15" t="s">
        <v>2354</v>
      </c>
      <c r="J306" s="15" t="s">
        <v>2355</v>
      </c>
      <c r="K306" s="15" t="s">
        <v>120</v>
      </c>
      <c r="L306" s="15" t="s">
        <v>121</v>
      </c>
      <c r="M306" s="15" t="s">
        <v>122</v>
      </c>
      <c r="N306" s="15" t="s">
        <v>123</v>
      </c>
      <c r="O306" s="15" t="s">
        <v>82</v>
      </c>
      <c r="P306" s="15" t="s">
        <v>2356</v>
      </c>
      <c r="Q306" s="15" t="s">
        <v>2357</v>
      </c>
      <c r="R306" s="16">
        <v>44329</v>
      </c>
      <c r="S306" s="17" t="s">
        <v>70</v>
      </c>
      <c r="T306" s="20">
        <f>HYPERLINK("https://vnm.spiral.com.vn//uploaded/20210513/11D2F834-8404-4735-9F67-58C7C71D4373.jpg","15:38:06")</f>
      </c>
      <c r="U306" s="20">
        <f>HYPERLINK("https://vnm.spiral.com.vn//uploaded/20210513/D159D60B-18AE-4905-B3FB-2F62D0B32C1B.jpg","17:01:12")</f>
      </c>
      <c r="V306" s="18">
        <v>0.057708333333333334</v>
      </c>
      <c r="W306" s="15" t="s">
        <v>2358</v>
      </c>
      <c r="X306" s="15" t="s">
        <v>2359</v>
      </c>
      <c r="Y306" s="15" t="s">
        <v>35</v>
      </c>
      <c r="Z306" s="19">
        <v>0</v>
      </c>
      <c r="AA306" s="15">
        <v>0</v>
      </c>
      <c r="AB306" s="15" t="s">
        <v>35</v>
      </c>
    </row>
    <row r="307">
      <c r="A307" s="15">
        <v>303</v>
      </c>
      <c r="B307" s="15" t="s">
        <v>103</v>
      </c>
      <c r="C307" s="15" t="s">
        <v>104</v>
      </c>
      <c r="D307" s="15" t="s">
        <v>35</v>
      </c>
      <c r="E307" s="15" t="s">
        <v>35</v>
      </c>
      <c r="F307" s="15" t="s">
        <v>35</v>
      </c>
      <c r="G307" s="15" t="s">
        <v>35</v>
      </c>
      <c r="H307" s="15" t="s">
        <v>2360</v>
      </c>
      <c r="I307" s="15" t="s">
        <v>2361</v>
      </c>
      <c r="J307" s="15" t="s">
        <v>2362</v>
      </c>
      <c r="K307" s="15" t="s">
        <v>40</v>
      </c>
      <c r="L307" s="15" t="s">
        <v>41</v>
      </c>
      <c r="M307" s="15" t="s">
        <v>108</v>
      </c>
      <c r="N307" s="15" t="s">
        <v>109</v>
      </c>
      <c r="O307" s="15" t="s">
        <v>44</v>
      </c>
      <c r="P307" s="15" t="s">
        <v>2363</v>
      </c>
      <c r="Q307" s="15" t="s">
        <v>2364</v>
      </c>
      <c r="R307" s="16">
        <v>44329</v>
      </c>
      <c r="S307" s="17" t="s">
        <v>1199</v>
      </c>
      <c r="T307" s="20">
        <f>HYPERLINK("https://vnm.spiral.com.vn//uploaded/20210513/D89DABA5-9949-4FAC-91CA-A5D5BAED852C.jpg","17:01:11")</f>
      </c>
      <c r="U307" s="18"/>
      <c r="V307" s="18" t="s">
        <v>35</v>
      </c>
      <c r="W307" s="15" t="s">
        <v>2365</v>
      </c>
      <c r="X307" s="15" t="s">
        <v>35</v>
      </c>
      <c r="Y307" s="15" t="s">
        <v>35</v>
      </c>
      <c r="Z307" s="19">
        <v>0</v>
      </c>
      <c r="AA307" s="15">
        <v>0</v>
      </c>
      <c r="AB307" s="15" t="s">
        <v>35</v>
      </c>
    </row>
    <row r="308">
      <c r="A308" s="15">
        <v>304</v>
      </c>
      <c r="B308" s="15" t="s">
        <v>87</v>
      </c>
      <c r="C308" s="15" t="s">
        <v>88</v>
      </c>
      <c r="D308" s="15" t="s">
        <v>89</v>
      </c>
      <c r="E308" s="15" t="s">
        <v>90</v>
      </c>
      <c r="F308" s="15" t="s">
        <v>35</v>
      </c>
      <c r="G308" s="15" t="s">
        <v>74</v>
      </c>
      <c r="H308" s="15" t="s">
        <v>2366</v>
      </c>
      <c r="I308" s="15" t="s">
        <v>2367</v>
      </c>
      <c r="J308" s="15" t="s">
        <v>2368</v>
      </c>
      <c r="K308" s="15" t="s">
        <v>96</v>
      </c>
      <c r="L308" s="15" t="s">
        <v>97</v>
      </c>
      <c r="M308" s="15" t="s">
        <v>1279</v>
      </c>
      <c r="N308" s="15" t="s">
        <v>1280</v>
      </c>
      <c r="O308" s="15" t="s">
        <v>156</v>
      </c>
      <c r="P308" s="15" t="s">
        <v>2369</v>
      </c>
      <c r="Q308" s="15" t="s">
        <v>2370</v>
      </c>
      <c r="R308" s="16">
        <v>44329</v>
      </c>
      <c r="S308" s="17" t="s">
        <v>70</v>
      </c>
      <c r="T308" s="20">
        <f>HYPERLINK("https://vnm.spiral.com.vn//uploaded/20210513/3cfe92cc-3879-400e-8499-f16a4f5e8c4a.JPEG","07:43:41")</f>
      </c>
      <c r="U308" s="20">
        <f>HYPERLINK("https://vnm.spiral.com.vn//uploaded/20210513/86cf9260-963f-4875-8662-2b6e6c6eb5c0.JPEG","17:01:07")</f>
      </c>
      <c r="V308" s="18">
        <v>0.38710648148148147</v>
      </c>
      <c r="W308" s="15" t="s">
        <v>2371</v>
      </c>
      <c r="X308" s="15" t="s">
        <v>2372</v>
      </c>
      <c r="Y308" s="15" t="s">
        <v>35</v>
      </c>
      <c r="Z308" s="19">
        <v>0</v>
      </c>
      <c r="AA308" s="15">
        <v>0</v>
      </c>
      <c r="AB308" s="15" t="s">
        <v>35</v>
      </c>
    </row>
    <row r="309">
      <c r="A309" s="15">
        <v>305</v>
      </c>
      <c r="B309" s="15" t="s">
        <v>87</v>
      </c>
      <c r="C309" s="15" t="s">
        <v>88</v>
      </c>
      <c r="D309" s="15" t="s">
        <v>35</v>
      </c>
      <c r="E309" s="15" t="s">
        <v>35</v>
      </c>
      <c r="F309" s="15" t="s">
        <v>2373</v>
      </c>
      <c r="G309" s="15" t="s">
        <v>36</v>
      </c>
      <c r="H309" s="15" t="s">
        <v>2374</v>
      </c>
      <c r="I309" s="15" t="s">
        <v>2375</v>
      </c>
      <c r="J309" s="15" t="s">
        <v>2376</v>
      </c>
      <c r="K309" s="15" t="s">
        <v>40</v>
      </c>
      <c r="L309" s="15" t="s">
        <v>41</v>
      </c>
      <c r="M309" s="15" t="s">
        <v>810</v>
      </c>
      <c r="N309" s="15" t="s">
        <v>811</v>
      </c>
      <c r="O309" s="15" t="s">
        <v>44</v>
      </c>
      <c r="P309" s="15" t="s">
        <v>2377</v>
      </c>
      <c r="Q309" s="15" t="s">
        <v>2378</v>
      </c>
      <c r="R309" s="16">
        <v>44329</v>
      </c>
      <c r="S309" s="17" t="s">
        <v>376</v>
      </c>
      <c r="T309" s="20">
        <f>HYPERLINK("https://vnm.spiral.com.vn//uploaded/20210513/106662db-864c-457b-8043-70425e270b8e.JPEG","08:58:05")</f>
      </c>
      <c r="U309" s="20">
        <f>HYPERLINK("https://vnm.spiral.com.vn//uploaded/20210513/ca3ed4c0-0932-4a0c-aea9-a8f61721f2b2.JPEG","17:01:05")</f>
      </c>
      <c r="V309" s="18">
        <v>0.33541666666666664</v>
      </c>
      <c r="W309" s="15" t="s">
        <v>2379</v>
      </c>
      <c r="X309" s="15" t="s">
        <v>2380</v>
      </c>
      <c r="Y309" s="15" t="s">
        <v>35</v>
      </c>
      <c r="Z309" s="19">
        <v>0</v>
      </c>
      <c r="AA309" s="15">
        <v>0</v>
      </c>
      <c r="AB309" s="15" t="s">
        <v>35</v>
      </c>
    </row>
    <row r="310">
      <c r="A310" s="15">
        <v>306</v>
      </c>
      <c r="B310" s="15" t="s">
        <v>87</v>
      </c>
      <c r="C310" s="15" t="s">
        <v>88</v>
      </c>
      <c r="D310" s="15" t="s">
        <v>304</v>
      </c>
      <c r="E310" s="15" t="s">
        <v>305</v>
      </c>
      <c r="F310" s="15" t="s">
        <v>35</v>
      </c>
      <c r="G310" s="15" t="s">
        <v>74</v>
      </c>
      <c r="H310" s="15" t="s">
        <v>2254</v>
      </c>
      <c r="I310" s="15" t="s">
        <v>2255</v>
      </c>
      <c r="J310" s="15" t="s">
        <v>2256</v>
      </c>
      <c r="K310" s="15" t="s">
        <v>748</v>
      </c>
      <c r="L310" s="15" t="s">
        <v>749</v>
      </c>
      <c r="M310" s="15" t="s">
        <v>2257</v>
      </c>
      <c r="N310" s="15" t="s">
        <v>2258</v>
      </c>
      <c r="O310" s="15" t="s">
        <v>156</v>
      </c>
      <c r="P310" s="15" t="s">
        <v>2381</v>
      </c>
      <c r="Q310" s="15" t="s">
        <v>2382</v>
      </c>
      <c r="R310" s="16">
        <v>44329</v>
      </c>
      <c r="S310" s="17" t="s">
        <v>70</v>
      </c>
      <c r="T310" s="20">
        <f>HYPERLINK("https://vnm.spiral.com.vn//uploaded/20210513/cb0b2e71-6c5f-4548-a890-88f0caeb6a6e.JPEG","07:58:28")</f>
      </c>
      <c r="U310" s="20">
        <f>HYPERLINK("https://vnm.spiral.com.vn//uploaded/20210513/ad7672f9-1782-420f-8ff1-3ba87fc14ee7.JPEG","17:01:02")</f>
      </c>
      <c r="V310" s="18">
        <v>0.3767824074074074</v>
      </c>
      <c r="W310" s="15" t="s">
        <v>2383</v>
      </c>
      <c r="X310" s="15" t="s">
        <v>2384</v>
      </c>
      <c r="Y310" s="15" t="s">
        <v>35</v>
      </c>
      <c r="Z310" s="19">
        <v>0</v>
      </c>
      <c r="AA310" s="15">
        <v>0</v>
      </c>
      <c r="AB310" s="15" t="s">
        <v>35</v>
      </c>
    </row>
    <row r="311">
      <c r="A311" s="15">
        <v>307</v>
      </c>
      <c r="B311" s="15" t="s">
        <v>103</v>
      </c>
      <c r="C311" s="15" t="s">
        <v>2116</v>
      </c>
      <c r="D311" s="15" t="s">
        <v>35</v>
      </c>
      <c r="E311" s="15" t="s">
        <v>35</v>
      </c>
      <c r="F311" s="15" t="s">
        <v>35</v>
      </c>
      <c r="G311" s="15" t="s">
        <v>35</v>
      </c>
      <c r="H311" s="15" t="s">
        <v>2385</v>
      </c>
      <c r="I311" s="15" t="s">
        <v>2386</v>
      </c>
      <c r="J311" s="15" t="s">
        <v>2387</v>
      </c>
      <c r="K311" s="15" t="s">
        <v>40</v>
      </c>
      <c r="L311" s="15" t="s">
        <v>41</v>
      </c>
      <c r="M311" s="15" t="s">
        <v>108</v>
      </c>
      <c r="N311" s="15" t="s">
        <v>109</v>
      </c>
      <c r="O311" s="15" t="s">
        <v>44</v>
      </c>
      <c r="P311" s="15" t="s">
        <v>2388</v>
      </c>
      <c r="Q311" s="15" t="s">
        <v>2389</v>
      </c>
      <c r="R311" s="16">
        <v>44329</v>
      </c>
      <c r="S311" s="17" t="s">
        <v>70</v>
      </c>
      <c r="T311" s="20">
        <f>HYPERLINK("https://vnm.spiral.com.vn//uploaded/20210513/637A5886-DFA1-4C54-9F9C-C45518FF0A67.jpg","08:02:17")</f>
      </c>
      <c r="U311" s="20">
        <f>HYPERLINK("https://vnm.spiral.com.vn//uploaded/20210513/94927567-C157-496F-8E89-0462475530A8.jpg","17:01:02")</f>
      </c>
      <c r="V311" s="18">
        <v>0.3741319444444444</v>
      </c>
      <c r="W311" s="15" t="s">
        <v>2390</v>
      </c>
      <c r="X311" s="15" t="s">
        <v>2391</v>
      </c>
      <c r="Y311" s="15" t="s">
        <v>35</v>
      </c>
      <c r="Z311" s="19">
        <v>0</v>
      </c>
      <c r="AA311" s="15">
        <v>0</v>
      </c>
      <c r="AB311" s="15" t="s">
        <v>35</v>
      </c>
    </row>
    <row r="312">
      <c r="A312" s="15">
        <v>308</v>
      </c>
      <c r="B312" s="15" t="s">
        <v>103</v>
      </c>
      <c r="C312" s="15" t="s">
        <v>104</v>
      </c>
      <c r="D312" s="15" t="s">
        <v>148</v>
      </c>
      <c r="E312" s="15" t="s">
        <v>90</v>
      </c>
      <c r="F312" s="15" t="s">
        <v>35</v>
      </c>
      <c r="G312" s="15" t="s">
        <v>74</v>
      </c>
      <c r="H312" s="15" t="s">
        <v>2392</v>
      </c>
      <c r="I312" s="15" t="s">
        <v>2393</v>
      </c>
      <c r="J312" s="15" t="s">
        <v>2394</v>
      </c>
      <c r="K312" s="15" t="s">
        <v>190</v>
      </c>
      <c r="L312" s="15" t="s">
        <v>191</v>
      </c>
      <c r="M312" s="15" t="s">
        <v>460</v>
      </c>
      <c r="N312" s="15" t="s">
        <v>461</v>
      </c>
      <c r="O312" s="15" t="s">
        <v>98</v>
      </c>
      <c r="P312" s="15" t="s">
        <v>2395</v>
      </c>
      <c r="Q312" s="15" t="s">
        <v>2396</v>
      </c>
      <c r="R312" s="16">
        <v>44329</v>
      </c>
      <c r="S312" s="17" t="s">
        <v>35</v>
      </c>
      <c r="T312" s="20">
        <f>HYPERLINK("https://vnm.spiral.com.vn//uploaded/20210513/CE6102CD-DFDF-469B-9F3D-D41CDA8D8FFC.jpg","07:59:42")</f>
      </c>
      <c r="U312" s="20">
        <f>HYPERLINK("https://vnm.spiral.com.vn//uploaded/20210513/7754C179-8E5C-4BCD-8668-1C6CD514B10D.jpg","17:01:00")</f>
      </c>
      <c r="V312" s="18">
        <v>0.37590277777777775</v>
      </c>
      <c r="W312" s="15" t="s">
        <v>2397</v>
      </c>
      <c r="X312" s="15" t="s">
        <v>2398</v>
      </c>
      <c r="Y312" s="15" t="s">
        <v>35</v>
      </c>
      <c r="Z312" s="19">
        <v>0</v>
      </c>
      <c r="AA312" s="15">
        <v>0</v>
      </c>
      <c r="AB312" s="15" t="s">
        <v>35</v>
      </c>
    </row>
    <row r="313">
      <c r="A313" s="15">
        <v>309</v>
      </c>
      <c r="B313" s="15" t="s">
        <v>87</v>
      </c>
      <c r="C313" s="15" t="s">
        <v>88</v>
      </c>
      <c r="D313" s="15" t="s">
        <v>379</v>
      </c>
      <c r="E313" s="15" t="s">
        <v>35</v>
      </c>
      <c r="F313" s="15" t="s">
        <v>35</v>
      </c>
      <c r="G313" s="15" t="s">
        <v>35</v>
      </c>
      <c r="H313" s="15" t="s">
        <v>2399</v>
      </c>
      <c r="I313" s="15" t="s">
        <v>2400</v>
      </c>
      <c r="J313" s="15" t="s">
        <v>2401</v>
      </c>
      <c r="K313" s="15" t="s">
        <v>748</v>
      </c>
      <c r="L313" s="15" t="s">
        <v>749</v>
      </c>
      <c r="M313" s="15" t="s">
        <v>2257</v>
      </c>
      <c r="N313" s="15" t="s">
        <v>2258</v>
      </c>
      <c r="O313" s="15" t="s">
        <v>156</v>
      </c>
      <c r="P313" s="15" t="s">
        <v>2402</v>
      </c>
      <c r="Q313" s="15" t="s">
        <v>2403</v>
      </c>
      <c r="R313" s="16">
        <v>44329</v>
      </c>
      <c r="S313" s="17" t="s">
        <v>70</v>
      </c>
      <c r="T313" s="20">
        <f>HYPERLINK("https://vnm.spiral.com.vn//uploaded/20210513/C2CE7389-1209-456C-9916-6D505B33ACED.jpg","07:39:35")</f>
      </c>
      <c r="U313" s="20">
        <f>HYPERLINK("https://vnm.spiral.com.vn//uploaded/20210513/33696155-A84F-4309-968F-629A17392DF7.jpg","17:00:57")</f>
      </c>
      <c r="V313" s="18">
        <v>0.38983796296296297</v>
      </c>
      <c r="W313" s="15" t="s">
        <v>2404</v>
      </c>
      <c r="X313" s="15" t="s">
        <v>2405</v>
      </c>
      <c r="Y313" s="15" t="s">
        <v>35</v>
      </c>
      <c r="Z313" s="19">
        <v>0</v>
      </c>
      <c r="AA313" s="15">
        <v>0</v>
      </c>
      <c r="AB313" s="15" t="s">
        <v>35</v>
      </c>
    </row>
    <row r="314">
      <c r="A314" s="15">
        <v>310</v>
      </c>
      <c r="B314" s="15" t="s">
        <v>246</v>
      </c>
      <c r="C314" s="15" t="s">
        <v>864</v>
      </c>
      <c r="D314" s="15" t="s">
        <v>35</v>
      </c>
      <c r="E314" s="15" t="s">
        <v>35</v>
      </c>
      <c r="F314" s="15" t="s">
        <v>2406</v>
      </c>
      <c r="G314" s="15" t="s">
        <v>36</v>
      </c>
      <c r="H314" s="15" t="s">
        <v>2407</v>
      </c>
      <c r="I314" s="15" t="s">
        <v>2408</v>
      </c>
      <c r="J314" s="15" t="s">
        <v>2409</v>
      </c>
      <c r="K314" s="15" t="s">
        <v>40</v>
      </c>
      <c r="L314" s="15" t="s">
        <v>41</v>
      </c>
      <c r="M314" s="15" t="s">
        <v>252</v>
      </c>
      <c r="N314" s="15" t="s">
        <v>253</v>
      </c>
      <c r="O314" s="15" t="s">
        <v>44</v>
      </c>
      <c r="P314" s="15" t="s">
        <v>2410</v>
      </c>
      <c r="Q314" s="15" t="s">
        <v>2411</v>
      </c>
      <c r="R314" s="16">
        <v>44329</v>
      </c>
      <c r="S314" s="17" t="s">
        <v>475</v>
      </c>
      <c r="T314" s="20">
        <f>HYPERLINK("https://vnm.spiral.com.vn//uploaded/20210513/08e55907-c59b-4a24-bb95-0282b0f2c5bb.JPEG","07:58:07")</f>
      </c>
      <c r="U314" s="20">
        <f>HYPERLINK("https://vnm.spiral.com.vn//uploaded/20210513/224bde7c-e962-4807-b8d4-ff74560d7d87.JPEG","17:00:57")</f>
      </c>
      <c r="V314" s="18">
        <v>0.3769675925925926</v>
      </c>
      <c r="W314" s="15" t="s">
        <v>2412</v>
      </c>
      <c r="X314" s="15" t="s">
        <v>2413</v>
      </c>
      <c r="Y314" s="15" t="s">
        <v>35</v>
      </c>
      <c r="Z314" s="19">
        <v>0</v>
      </c>
      <c r="AA314" s="15">
        <v>0</v>
      </c>
      <c r="AB314" s="15" t="s">
        <v>35</v>
      </c>
    </row>
    <row r="315">
      <c r="A315" s="15">
        <v>311</v>
      </c>
      <c r="B315" s="15" t="s">
        <v>61</v>
      </c>
      <c r="C315" s="15" t="s">
        <v>737</v>
      </c>
      <c r="D315" s="15" t="s">
        <v>35</v>
      </c>
      <c r="E315" s="15" t="s">
        <v>35</v>
      </c>
      <c r="F315" s="15" t="s">
        <v>35</v>
      </c>
      <c r="G315" s="15" t="s">
        <v>36</v>
      </c>
      <c r="H315" s="15" t="s">
        <v>2414</v>
      </c>
      <c r="I315" s="15" t="s">
        <v>2415</v>
      </c>
      <c r="J315" s="15" t="s">
        <v>2416</v>
      </c>
      <c r="K315" s="15" t="s">
        <v>40</v>
      </c>
      <c r="L315" s="15" t="s">
        <v>41</v>
      </c>
      <c r="M315" s="15" t="s">
        <v>205</v>
      </c>
      <c r="N315" s="15" t="s">
        <v>206</v>
      </c>
      <c r="O315" s="15" t="s">
        <v>44</v>
      </c>
      <c r="P315" s="15" t="s">
        <v>2417</v>
      </c>
      <c r="Q315" s="15" t="s">
        <v>2418</v>
      </c>
      <c r="R315" s="16">
        <v>44329</v>
      </c>
      <c r="S315" s="17" t="s">
        <v>70</v>
      </c>
      <c r="T315" s="20">
        <f>HYPERLINK("https://vnm.spiral.com.vn//uploaded/20210513/756ca508-cb8c-4b4e-8513-d9164c475b22.JPEG","08:17:25")</f>
      </c>
      <c r="U315" s="20">
        <f>HYPERLINK("https://vnm.spiral.com.vn//uploaded/20210513/96cdd2cc-e901-4fc8-b238-166b201f1a70.JPEG","17:00:55")</f>
      </c>
      <c r="V315" s="18">
        <v>0.36354166666666665</v>
      </c>
      <c r="W315" s="15" t="s">
        <v>2419</v>
      </c>
      <c r="X315" s="15" t="s">
        <v>2420</v>
      </c>
      <c r="Y315" s="15" t="s">
        <v>35</v>
      </c>
      <c r="Z315" s="19">
        <v>0</v>
      </c>
      <c r="AA315" s="15">
        <v>0</v>
      </c>
      <c r="AB315" s="15" t="s">
        <v>35</v>
      </c>
    </row>
    <row r="316">
      <c r="A316" s="15">
        <v>312</v>
      </c>
      <c r="B316" s="15" t="s">
        <v>49</v>
      </c>
      <c r="C316" s="15" t="s">
        <v>468</v>
      </c>
      <c r="D316" s="15" t="s">
        <v>89</v>
      </c>
      <c r="E316" s="15" t="s">
        <v>90</v>
      </c>
      <c r="F316" s="15" t="s">
        <v>35</v>
      </c>
      <c r="G316" s="15" t="s">
        <v>74</v>
      </c>
      <c r="H316" s="15" t="s">
        <v>2421</v>
      </c>
      <c r="I316" s="15" t="s">
        <v>2422</v>
      </c>
      <c r="J316" s="15" t="s">
        <v>2423</v>
      </c>
      <c r="K316" s="15" t="s">
        <v>166</v>
      </c>
      <c r="L316" s="15" t="s">
        <v>167</v>
      </c>
      <c r="M316" s="15" t="s">
        <v>168</v>
      </c>
      <c r="N316" s="15" t="s">
        <v>169</v>
      </c>
      <c r="O316" s="15" t="s">
        <v>82</v>
      </c>
      <c r="P316" s="15" t="s">
        <v>2424</v>
      </c>
      <c r="Q316" s="15" t="s">
        <v>2425</v>
      </c>
      <c r="R316" s="16">
        <v>44329</v>
      </c>
      <c r="S316" s="17" t="s">
        <v>70</v>
      </c>
      <c r="T316" s="20">
        <f>HYPERLINK("https://vnm.spiral.com.vn//uploaded/20210513/7c3221c1-9d12-4608-af9a-465e8928b018.JPEG","07:42:59")</f>
      </c>
      <c r="U316" s="20">
        <f>HYPERLINK("https://vnm.spiral.com.vn//uploaded/20210513/022989e8-35ed-4bc7-9ee2-650931c21126.JPEG","17:00:50")</f>
      </c>
      <c r="V316" s="18">
        <v>0.38739583333333333</v>
      </c>
      <c r="W316" s="15" t="s">
        <v>2426</v>
      </c>
      <c r="X316" s="15" t="s">
        <v>2427</v>
      </c>
      <c r="Y316" s="15" t="s">
        <v>35</v>
      </c>
      <c r="Z316" s="19">
        <v>0</v>
      </c>
      <c r="AA316" s="15">
        <v>0</v>
      </c>
      <c r="AB316" s="15" t="s">
        <v>35</v>
      </c>
    </row>
    <row r="317">
      <c r="A317" s="15">
        <v>313</v>
      </c>
      <c r="B317" s="15" t="s">
        <v>103</v>
      </c>
      <c r="C317" s="15" t="s">
        <v>186</v>
      </c>
      <c r="D317" s="15" t="s">
        <v>135</v>
      </c>
      <c r="E317" s="15" t="s">
        <v>116</v>
      </c>
      <c r="F317" s="15" t="s">
        <v>35</v>
      </c>
      <c r="G317" s="15" t="s">
        <v>74</v>
      </c>
      <c r="H317" s="15" t="s">
        <v>2428</v>
      </c>
      <c r="I317" s="15" t="s">
        <v>2429</v>
      </c>
      <c r="J317" s="15" t="s">
        <v>2430</v>
      </c>
      <c r="K317" s="15" t="s">
        <v>436</v>
      </c>
      <c r="L317" s="15" t="s">
        <v>437</v>
      </c>
      <c r="M317" s="15" t="s">
        <v>438</v>
      </c>
      <c r="N317" s="15" t="s">
        <v>439</v>
      </c>
      <c r="O317" s="15" t="s">
        <v>82</v>
      </c>
      <c r="P317" s="15" t="s">
        <v>2431</v>
      </c>
      <c r="Q317" s="15" t="s">
        <v>2432</v>
      </c>
      <c r="R317" s="16">
        <v>44329</v>
      </c>
      <c r="S317" s="17" t="s">
        <v>70</v>
      </c>
      <c r="T317" s="20">
        <f>HYPERLINK("https://vnm.spiral.com.vn//uploaded/20210513/DA6554E9-E1A5-4C94-B331-73BBE83EB3E6.jpg","14:45:45")</f>
      </c>
      <c r="U317" s="20">
        <f>HYPERLINK("https://vnm.spiral.com.vn//uploaded/20210513/B020C98F-31EE-42E4-8D7E-422B2304CCFA.jpg","17:00:48")</f>
      </c>
      <c r="V317" s="18">
        <v>0.09378472222222223</v>
      </c>
      <c r="W317" s="15" t="s">
        <v>2433</v>
      </c>
      <c r="X317" s="15" t="s">
        <v>2434</v>
      </c>
      <c r="Y317" s="15" t="s">
        <v>35</v>
      </c>
      <c r="Z317" s="19">
        <v>0</v>
      </c>
      <c r="AA317" s="15">
        <v>0</v>
      </c>
      <c r="AB317" s="15" t="s">
        <v>35</v>
      </c>
    </row>
    <row r="318">
      <c r="A318" s="15">
        <v>314</v>
      </c>
      <c r="B318" s="15" t="s">
        <v>246</v>
      </c>
      <c r="C318" s="15" t="s">
        <v>259</v>
      </c>
      <c r="D318" s="15" t="s">
        <v>35</v>
      </c>
      <c r="E318" s="15" t="s">
        <v>35</v>
      </c>
      <c r="F318" s="15" t="s">
        <v>1352</v>
      </c>
      <c r="G318" s="15" t="s">
        <v>36</v>
      </c>
      <c r="H318" s="15" t="s">
        <v>2435</v>
      </c>
      <c r="I318" s="15" t="s">
        <v>2436</v>
      </c>
      <c r="J318" s="15" t="s">
        <v>2437</v>
      </c>
      <c r="K318" s="15" t="s">
        <v>40</v>
      </c>
      <c r="L318" s="15" t="s">
        <v>41</v>
      </c>
      <c r="M318" s="15" t="s">
        <v>252</v>
      </c>
      <c r="N318" s="15" t="s">
        <v>253</v>
      </c>
      <c r="O318" s="15" t="s">
        <v>44</v>
      </c>
      <c r="P318" s="15" t="s">
        <v>2438</v>
      </c>
      <c r="Q318" s="15" t="s">
        <v>1641</v>
      </c>
      <c r="R318" s="16">
        <v>44329</v>
      </c>
      <c r="S318" s="17" t="s">
        <v>70</v>
      </c>
      <c r="T318" s="20">
        <f>HYPERLINK("https://vnm.spiral.com.vn//uploaded/20210513/d3ac2c04-fd71-4df7-a6eb-0cfa745eb27e.JPEG","08:01:43")</f>
      </c>
      <c r="U318" s="20">
        <f>HYPERLINK("https://vnm.spiral.com.vn//uploaded/20210513/0a87bcfa-88ae-416a-898a-8a97ad79523e.JPEG","17:00:48")</f>
      </c>
      <c r="V318" s="18">
        <v>0.3743634259259259</v>
      </c>
      <c r="W318" s="15" t="s">
        <v>2439</v>
      </c>
      <c r="X318" s="15" t="s">
        <v>2440</v>
      </c>
      <c r="Y318" s="15" t="s">
        <v>35</v>
      </c>
      <c r="Z318" s="19">
        <v>0</v>
      </c>
      <c r="AA318" s="15">
        <v>0</v>
      </c>
      <c r="AB318" s="15" t="s">
        <v>35</v>
      </c>
    </row>
    <row r="319">
      <c r="A319" s="15">
        <v>315</v>
      </c>
      <c r="B319" s="15" t="s">
        <v>61</v>
      </c>
      <c r="C319" s="15" t="s">
        <v>737</v>
      </c>
      <c r="D319" s="15" t="s">
        <v>357</v>
      </c>
      <c r="E319" s="15" t="s">
        <v>90</v>
      </c>
      <c r="F319" s="15" t="s">
        <v>35</v>
      </c>
      <c r="G319" s="15" t="s">
        <v>74</v>
      </c>
      <c r="H319" s="15" t="s">
        <v>2441</v>
      </c>
      <c r="I319" s="15" t="s">
        <v>2442</v>
      </c>
      <c r="J319" s="15" t="s">
        <v>2443</v>
      </c>
      <c r="K319" s="15" t="s">
        <v>309</v>
      </c>
      <c r="L319" s="15" t="s">
        <v>310</v>
      </c>
      <c r="M319" s="15" t="s">
        <v>778</v>
      </c>
      <c r="N319" s="15" t="s">
        <v>779</v>
      </c>
      <c r="O319" s="15" t="s">
        <v>82</v>
      </c>
      <c r="P319" s="15" t="s">
        <v>2444</v>
      </c>
      <c r="Q319" s="15" t="s">
        <v>2445</v>
      </c>
      <c r="R319" s="16">
        <v>44329</v>
      </c>
      <c r="S319" s="17" t="s">
        <v>70</v>
      </c>
      <c r="T319" s="20">
        <f>HYPERLINK("https://vnm.spiral.com.vn//uploaded/20210513/3e73c3c4-de0a-49f7-aa8a-5d9ef519b15e.JPEG","07:52:51")</f>
      </c>
      <c r="U319" s="20">
        <f>HYPERLINK("https://vnm.spiral.com.vn//uploaded/20210513/a86a4c25-8e1c-4f50-bfb4-2b172e17c33d.JPEG","17:00:46")</f>
      </c>
      <c r="V319" s="18">
        <v>0.3804976851851852</v>
      </c>
      <c r="W319" s="15" t="s">
        <v>2446</v>
      </c>
      <c r="X319" s="15" t="s">
        <v>2447</v>
      </c>
      <c r="Y319" s="15" t="s">
        <v>35</v>
      </c>
      <c r="Z319" s="19">
        <v>0</v>
      </c>
      <c r="AA319" s="15">
        <v>0</v>
      </c>
      <c r="AB319" s="15" t="s">
        <v>35</v>
      </c>
    </row>
    <row r="320">
      <c r="A320" s="15">
        <v>316</v>
      </c>
      <c r="B320" s="15" t="s">
        <v>87</v>
      </c>
      <c r="C320" s="15" t="s">
        <v>88</v>
      </c>
      <c r="D320" s="15" t="s">
        <v>89</v>
      </c>
      <c r="E320" s="15" t="s">
        <v>90</v>
      </c>
      <c r="F320" s="15" t="s">
        <v>35</v>
      </c>
      <c r="G320" s="15" t="s">
        <v>74</v>
      </c>
      <c r="H320" s="15" t="s">
        <v>2448</v>
      </c>
      <c r="I320" s="15" t="s">
        <v>2449</v>
      </c>
      <c r="J320" s="15" t="s">
        <v>2450</v>
      </c>
      <c r="K320" s="15" t="s">
        <v>96</v>
      </c>
      <c r="L320" s="15" t="s">
        <v>97</v>
      </c>
      <c r="M320" s="15" t="s">
        <v>99</v>
      </c>
      <c r="N320" s="15" t="s">
        <v>100</v>
      </c>
      <c r="O320" s="15" t="s">
        <v>156</v>
      </c>
      <c r="P320" s="15" t="s">
        <v>2451</v>
      </c>
      <c r="Q320" s="15" t="s">
        <v>2452</v>
      </c>
      <c r="R320" s="16">
        <v>44329</v>
      </c>
      <c r="S320" s="17" t="s">
        <v>70</v>
      </c>
      <c r="T320" s="20">
        <f>HYPERLINK("https://vnm.spiral.com.vn//uploaded/20210513/66D4CA18-B2B7-4761-9B06-878C93B03AAB.jpg","08:00:07")</f>
      </c>
      <c r="U320" s="20">
        <f>HYPERLINK("https://vnm.spiral.com.vn//uploaded/20210513/3903EC1C-D467-4F27-B289-07B26DCEF83F.jpg","17:00:44")</f>
      </c>
      <c r="V320" s="18">
        <v>0.3754282407407407</v>
      </c>
      <c r="W320" s="15" t="s">
        <v>2453</v>
      </c>
      <c r="X320" s="15" t="s">
        <v>2454</v>
      </c>
      <c r="Y320" s="15" t="s">
        <v>35</v>
      </c>
      <c r="Z320" s="19">
        <v>0</v>
      </c>
      <c r="AA320" s="15">
        <v>0</v>
      </c>
      <c r="AB320" s="15" t="s">
        <v>35</v>
      </c>
    </row>
    <row r="321">
      <c r="A321" s="15">
        <v>317</v>
      </c>
      <c r="B321" s="15" t="s">
        <v>61</v>
      </c>
      <c r="C321" s="15" t="s">
        <v>1106</v>
      </c>
      <c r="D321" s="15" t="s">
        <v>357</v>
      </c>
      <c r="E321" s="15" t="s">
        <v>90</v>
      </c>
      <c r="F321" s="15" t="s">
        <v>35</v>
      </c>
      <c r="G321" s="15" t="s">
        <v>74</v>
      </c>
      <c r="H321" s="15" t="s">
        <v>2455</v>
      </c>
      <c r="I321" s="15" t="s">
        <v>2456</v>
      </c>
      <c r="J321" s="15" t="s">
        <v>2457</v>
      </c>
      <c r="K321" s="15" t="s">
        <v>152</v>
      </c>
      <c r="L321" s="15" t="s">
        <v>153</v>
      </c>
      <c r="M321" s="15" t="s">
        <v>154</v>
      </c>
      <c r="N321" s="15" t="s">
        <v>155</v>
      </c>
      <c r="O321" s="15" t="s">
        <v>98</v>
      </c>
      <c r="P321" s="15" t="s">
        <v>2458</v>
      </c>
      <c r="Q321" s="15" t="s">
        <v>2459</v>
      </c>
      <c r="R321" s="16">
        <v>44329</v>
      </c>
      <c r="S321" s="17" t="s">
        <v>70</v>
      </c>
      <c r="T321" s="20">
        <f>HYPERLINK("https://vnm.spiral.com.vn//uploaded/20210513/04B8BCEB-4A62-4B67-8250-DE47DCA62233.jpg","10:36:38")</f>
      </c>
      <c r="U321" s="20">
        <f>HYPERLINK("https://vnm.spiral.com.vn//uploaded/20210513/8960A860-6AD3-4720-8D4B-723ED3C86342.jpg","17:00:42")</f>
      </c>
      <c r="V321" s="18">
        <v>0.266712962962963</v>
      </c>
      <c r="W321" s="15" t="s">
        <v>2460</v>
      </c>
      <c r="X321" s="15" t="s">
        <v>2461</v>
      </c>
      <c r="Y321" s="15" t="s">
        <v>35</v>
      </c>
      <c r="Z321" s="19">
        <v>0</v>
      </c>
      <c r="AA321" s="15">
        <v>0</v>
      </c>
      <c r="AB321" s="15" t="s">
        <v>35</v>
      </c>
    </row>
    <row r="322">
      <c r="A322" s="15">
        <v>318</v>
      </c>
      <c r="B322" s="15" t="s">
        <v>343</v>
      </c>
      <c r="C322" s="15" t="s">
        <v>344</v>
      </c>
      <c r="D322" s="15" t="s">
        <v>2462</v>
      </c>
      <c r="E322" s="15" t="s">
        <v>116</v>
      </c>
      <c r="F322" s="15" t="s">
        <v>35</v>
      </c>
      <c r="G322" s="15" t="s">
        <v>74</v>
      </c>
      <c r="H322" s="15" t="s">
        <v>2463</v>
      </c>
      <c r="I322" s="15" t="s">
        <v>2464</v>
      </c>
      <c r="J322" s="15" t="s">
        <v>2465</v>
      </c>
      <c r="K322" s="15" t="s">
        <v>915</v>
      </c>
      <c r="L322" s="15" t="s">
        <v>916</v>
      </c>
      <c r="M322" s="15" t="s">
        <v>349</v>
      </c>
      <c r="N322" s="15" t="s">
        <v>350</v>
      </c>
      <c r="O322" s="15" t="s">
        <v>98</v>
      </c>
      <c r="P322" s="15" t="s">
        <v>351</v>
      </c>
      <c r="Q322" s="15" t="s">
        <v>352</v>
      </c>
      <c r="R322" s="16">
        <v>44329</v>
      </c>
      <c r="S322" s="17" t="s">
        <v>70</v>
      </c>
      <c r="T322" s="20">
        <f>HYPERLINK("https://vnm.spiral.com.vn//uploaded/20210513/b20fe6ac-0dbe-4208-baff-0ba5ab972ff1.JPEG","09:28:25")</f>
      </c>
      <c r="U322" s="20">
        <f>HYPERLINK("https://vnm.spiral.com.vn//uploaded/20210513/01006814-d081-4c99-a118-443a1c1ca0ed.JPEG","17:00:42")</f>
      </c>
      <c r="V322" s="18">
        <v>0.31408564814814816</v>
      </c>
      <c r="W322" s="15" t="s">
        <v>2466</v>
      </c>
      <c r="X322" s="15" t="s">
        <v>2467</v>
      </c>
      <c r="Y322" s="15" t="s">
        <v>35</v>
      </c>
      <c r="Z322" s="19">
        <v>0</v>
      </c>
      <c r="AA322" s="15">
        <v>0</v>
      </c>
      <c r="AB322" s="15" t="s">
        <v>35</v>
      </c>
    </row>
    <row r="323">
      <c r="A323" s="15">
        <v>319</v>
      </c>
      <c r="B323" s="15" t="s">
        <v>343</v>
      </c>
      <c r="C323" s="15" t="s">
        <v>344</v>
      </c>
      <c r="D323" s="15" t="s">
        <v>35</v>
      </c>
      <c r="E323" s="15" t="s">
        <v>35</v>
      </c>
      <c r="F323" s="15" t="s">
        <v>35</v>
      </c>
      <c r="G323" s="15" t="s">
        <v>74</v>
      </c>
      <c r="H323" s="15" t="s">
        <v>2468</v>
      </c>
      <c r="I323" s="15" t="s">
        <v>2469</v>
      </c>
      <c r="J323" s="15" t="s">
        <v>2470</v>
      </c>
      <c r="K323" s="15" t="s">
        <v>584</v>
      </c>
      <c r="L323" s="15" t="s">
        <v>585</v>
      </c>
      <c r="M323" s="15" t="s">
        <v>827</v>
      </c>
      <c r="N323" s="15" t="s">
        <v>828</v>
      </c>
      <c r="O323" s="15" t="s">
        <v>82</v>
      </c>
      <c r="P323" s="15" t="s">
        <v>2471</v>
      </c>
      <c r="Q323" s="15" t="s">
        <v>2472</v>
      </c>
      <c r="R323" s="16">
        <v>44329</v>
      </c>
      <c r="S323" s="17" t="s">
        <v>70</v>
      </c>
      <c r="T323" s="20">
        <f>HYPERLINK("https://vnm.spiral.com.vn//uploaded/20210513/7CB5B850-3B58-48E2-BA30-9E904F845E64.jpg","16:44:23")</f>
      </c>
      <c r="U323" s="20">
        <f>HYPERLINK("https://vnm.spiral.com.vn//uploaded/20210513/509C77AE-159C-4E8E-8F59-1FC1515F61F9.jpg","17:00:42")</f>
      </c>
      <c r="V323" s="18">
        <v>0.011331018518518518</v>
      </c>
      <c r="W323" s="15" t="s">
        <v>2473</v>
      </c>
      <c r="X323" s="15" t="s">
        <v>2473</v>
      </c>
      <c r="Y323" s="15" t="s">
        <v>35</v>
      </c>
      <c r="Z323" s="19">
        <v>0</v>
      </c>
      <c r="AA323" s="15">
        <v>0</v>
      </c>
      <c r="AB323" s="15" t="s">
        <v>35</v>
      </c>
    </row>
    <row r="324">
      <c r="A324" s="15">
        <v>320</v>
      </c>
      <c r="B324" s="15" t="s">
        <v>246</v>
      </c>
      <c r="C324" s="15" t="s">
        <v>864</v>
      </c>
      <c r="D324" s="15" t="s">
        <v>35</v>
      </c>
      <c r="E324" s="15" t="s">
        <v>35</v>
      </c>
      <c r="F324" s="15" t="s">
        <v>35</v>
      </c>
      <c r="G324" s="15" t="s">
        <v>35</v>
      </c>
      <c r="H324" s="15" t="s">
        <v>2474</v>
      </c>
      <c r="I324" s="15" t="s">
        <v>2475</v>
      </c>
      <c r="J324" s="15" t="s">
        <v>2476</v>
      </c>
      <c r="K324" s="15" t="s">
        <v>40</v>
      </c>
      <c r="L324" s="15" t="s">
        <v>41</v>
      </c>
      <c r="M324" s="15" t="s">
        <v>252</v>
      </c>
      <c r="N324" s="15" t="s">
        <v>253</v>
      </c>
      <c r="O324" s="15" t="s">
        <v>44</v>
      </c>
      <c r="P324" s="15" t="s">
        <v>2477</v>
      </c>
      <c r="Q324" s="15" t="s">
        <v>2478</v>
      </c>
      <c r="R324" s="16">
        <v>44329</v>
      </c>
      <c r="S324" s="17" t="s">
        <v>70</v>
      </c>
      <c r="T324" s="20">
        <f>HYPERLINK("https://vnm.spiral.com.vn//uploaded/20210513/186C0A46-215A-4CA1-AB4C-11D3AD88772B.jpg","08:09:28")</f>
      </c>
      <c r="U324" s="20">
        <f>HYPERLINK("https://vnm.spiral.com.vn//uploaded/20210513/AC4590F5-244F-4936-94D1-C8D42B6316F9.jpg","17:00:41")</f>
      </c>
      <c r="V324" s="18">
        <v>0.36890046296296297</v>
      </c>
      <c r="W324" s="15" t="s">
        <v>2479</v>
      </c>
      <c r="X324" s="15" t="s">
        <v>2480</v>
      </c>
      <c r="Y324" s="15" t="s">
        <v>35</v>
      </c>
      <c r="Z324" s="19">
        <v>0</v>
      </c>
      <c r="AA324" s="15">
        <v>0</v>
      </c>
      <c r="AB324" s="15" t="s">
        <v>35</v>
      </c>
    </row>
    <row r="325">
      <c r="A325" s="15">
        <v>321</v>
      </c>
      <c r="B325" s="15" t="s">
        <v>343</v>
      </c>
      <c r="C325" s="15" t="s">
        <v>344</v>
      </c>
      <c r="D325" s="15" t="s">
        <v>35</v>
      </c>
      <c r="E325" s="15" t="s">
        <v>35</v>
      </c>
      <c r="F325" s="15" t="s">
        <v>35</v>
      </c>
      <c r="G325" s="15" t="s">
        <v>74</v>
      </c>
      <c r="H325" s="15" t="s">
        <v>2481</v>
      </c>
      <c r="I325" s="15" t="s">
        <v>2482</v>
      </c>
      <c r="J325" s="15" t="s">
        <v>2483</v>
      </c>
      <c r="K325" s="15" t="s">
        <v>584</v>
      </c>
      <c r="L325" s="15" t="s">
        <v>585</v>
      </c>
      <c r="M325" s="15" t="s">
        <v>827</v>
      </c>
      <c r="N325" s="15" t="s">
        <v>828</v>
      </c>
      <c r="O325" s="15" t="s">
        <v>82</v>
      </c>
      <c r="P325" s="15" t="s">
        <v>2484</v>
      </c>
      <c r="Q325" s="15" t="s">
        <v>2485</v>
      </c>
      <c r="R325" s="16">
        <v>44329</v>
      </c>
      <c r="S325" s="17" t="s">
        <v>70</v>
      </c>
      <c r="T325" s="20">
        <f>HYPERLINK("https://vnm.spiral.com.vn//uploaded/20210513/65FA2109-CEC5-48DD-928D-50D355C33E98.jpg","12:17:57")</f>
      </c>
      <c r="U325" s="20">
        <f>HYPERLINK("https://vnm.spiral.com.vn//uploaded/20210513/25C8BEA1-8ADB-4FFB-90EF-9727F2E4E121.jpg","17:00:41")</f>
      </c>
      <c r="V325" s="18">
        <v>0.1963425925925926</v>
      </c>
      <c r="W325" s="15" t="s">
        <v>2486</v>
      </c>
      <c r="X325" s="15" t="s">
        <v>2487</v>
      </c>
      <c r="Y325" s="15" t="s">
        <v>35</v>
      </c>
      <c r="Z325" s="19">
        <v>0</v>
      </c>
      <c r="AA325" s="15">
        <v>0</v>
      </c>
      <c r="AB325" s="15" t="s">
        <v>35</v>
      </c>
    </row>
    <row r="326">
      <c r="A326" s="15">
        <v>322</v>
      </c>
      <c r="B326" s="15" t="s">
        <v>33</v>
      </c>
      <c r="C326" s="15" t="s">
        <v>219</v>
      </c>
      <c r="D326" s="15" t="s">
        <v>35</v>
      </c>
      <c r="E326" s="15" t="s">
        <v>35</v>
      </c>
      <c r="F326" s="15" t="s">
        <v>35</v>
      </c>
      <c r="G326" s="15" t="s">
        <v>74</v>
      </c>
      <c r="H326" s="15" t="s">
        <v>2488</v>
      </c>
      <c r="I326" s="15" t="s">
        <v>2489</v>
      </c>
      <c r="J326" s="15" t="s">
        <v>2490</v>
      </c>
      <c r="K326" s="15" t="s">
        <v>769</v>
      </c>
      <c r="L326" s="15" t="s">
        <v>770</v>
      </c>
      <c r="M326" s="15" t="s">
        <v>2491</v>
      </c>
      <c r="N326" s="15" t="s">
        <v>2492</v>
      </c>
      <c r="O326" s="15" t="s">
        <v>82</v>
      </c>
      <c r="P326" s="15" t="s">
        <v>2493</v>
      </c>
      <c r="Q326" s="15" t="s">
        <v>2494</v>
      </c>
      <c r="R326" s="16">
        <v>44329</v>
      </c>
      <c r="S326" s="17" t="s">
        <v>70</v>
      </c>
      <c r="T326" s="20">
        <f>HYPERLINK("https://vnm.spiral.com.vn//uploaded/20210513/bedbd74e-3019-4db8-9f9a-89448973f0b1.JPEG","08:02:15")</f>
      </c>
      <c r="U326" s="20">
        <f>HYPERLINK("https://vnm.spiral.com.vn//uploaded/20210513/bd49aa6e-a004-464b-ae8b-e17f12d91040.JPEG","17:00:40")</f>
      </c>
      <c r="V326" s="18">
        <v>0.373900462962963</v>
      </c>
      <c r="W326" s="15" t="s">
        <v>2495</v>
      </c>
      <c r="X326" s="15" t="s">
        <v>2496</v>
      </c>
      <c r="Y326" s="15" t="s">
        <v>35</v>
      </c>
      <c r="Z326" s="19">
        <v>0</v>
      </c>
      <c r="AA326" s="15">
        <v>0</v>
      </c>
      <c r="AB326" s="15" t="s">
        <v>35</v>
      </c>
    </row>
    <row r="327">
      <c r="A327" s="15">
        <v>323</v>
      </c>
      <c r="B327" s="15" t="s">
        <v>33</v>
      </c>
      <c r="C327" s="15" t="s">
        <v>951</v>
      </c>
      <c r="D327" s="15" t="s">
        <v>35</v>
      </c>
      <c r="E327" s="15" t="s">
        <v>35</v>
      </c>
      <c r="F327" s="15" t="s">
        <v>35</v>
      </c>
      <c r="G327" s="15" t="s">
        <v>36</v>
      </c>
      <c r="H327" s="15" t="s">
        <v>2497</v>
      </c>
      <c r="I327" s="15" t="s">
        <v>2498</v>
      </c>
      <c r="J327" s="15" t="s">
        <v>2499</v>
      </c>
      <c r="K327" s="15" t="s">
        <v>40</v>
      </c>
      <c r="L327" s="15" t="s">
        <v>41</v>
      </c>
      <c r="M327" s="15" t="s">
        <v>42</v>
      </c>
      <c r="N327" s="15" t="s">
        <v>43</v>
      </c>
      <c r="O327" s="15" t="s">
        <v>44</v>
      </c>
      <c r="P327" s="15" t="s">
        <v>2500</v>
      </c>
      <c r="Q327" s="15" t="s">
        <v>2501</v>
      </c>
      <c r="R327" s="16">
        <v>44329</v>
      </c>
      <c r="S327" s="17" t="s">
        <v>70</v>
      </c>
      <c r="T327" s="20">
        <f>HYPERLINK("https://vnm.spiral.com.vn//uploaded/20210513/dbc091ba-5134-4ab1-b9a0-27688655c724.JPEG","07:36:06")</f>
      </c>
      <c r="U327" s="20">
        <f>HYPERLINK("https://vnm.spiral.com.vn//uploaded/20210513/4780ed0d-f32c-4d44-b359-269f658ea0e6.JPEG","17:00:40")</f>
      </c>
      <c r="V327" s="18">
        <v>0.3920601851851852</v>
      </c>
      <c r="W327" s="15" t="s">
        <v>2502</v>
      </c>
      <c r="X327" s="15" t="s">
        <v>2503</v>
      </c>
      <c r="Y327" s="15" t="s">
        <v>35</v>
      </c>
      <c r="Z327" s="19">
        <v>0</v>
      </c>
      <c r="AA327" s="15">
        <v>0</v>
      </c>
      <c r="AB327" s="15" t="s">
        <v>35</v>
      </c>
    </row>
    <row r="328">
      <c r="A328" s="15">
        <v>324</v>
      </c>
      <c r="B328" s="15" t="s">
        <v>61</v>
      </c>
      <c r="C328" s="15" t="s">
        <v>737</v>
      </c>
      <c r="D328" s="15" t="s">
        <v>35</v>
      </c>
      <c r="E328" s="15" t="s">
        <v>35</v>
      </c>
      <c r="F328" s="15" t="s">
        <v>35</v>
      </c>
      <c r="G328" s="15" t="s">
        <v>36</v>
      </c>
      <c r="H328" s="15" t="s">
        <v>2504</v>
      </c>
      <c r="I328" s="15" t="s">
        <v>2505</v>
      </c>
      <c r="J328" s="15" t="s">
        <v>2506</v>
      </c>
      <c r="K328" s="15" t="s">
        <v>40</v>
      </c>
      <c r="L328" s="15" t="s">
        <v>41</v>
      </c>
      <c r="M328" s="15" t="s">
        <v>205</v>
      </c>
      <c r="N328" s="15" t="s">
        <v>206</v>
      </c>
      <c r="O328" s="15" t="s">
        <v>44</v>
      </c>
      <c r="P328" s="15" t="s">
        <v>2507</v>
      </c>
      <c r="Q328" s="15" t="s">
        <v>2508</v>
      </c>
      <c r="R328" s="16">
        <v>44329</v>
      </c>
      <c r="S328" s="17" t="s">
        <v>70</v>
      </c>
      <c r="T328" s="20">
        <f>HYPERLINK("https://vnm.spiral.com.vn//uploaded/20210513/cef9a5bf-3c15-43ad-90d8-34eac6337fdf.JPEG","08:05:22")</f>
      </c>
      <c r="U328" s="20">
        <f>HYPERLINK("https://vnm.spiral.com.vn//uploaded/20210513/0441d913-619a-4cfc-ad00-43546957e0be.JPEG","17:00:36")</f>
      </c>
      <c r="V328" s="18">
        <v>0.37168981481481483</v>
      </c>
      <c r="W328" s="15" t="s">
        <v>2509</v>
      </c>
      <c r="X328" s="15" t="s">
        <v>2510</v>
      </c>
      <c r="Y328" s="15" t="s">
        <v>35</v>
      </c>
      <c r="Z328" s="19">
        <v>0</v>
      </c>
      <c r="AA328" s="15">
        <v>0</v>
      </c>
      <c r="AB328" s="15" t="s">
        <v>35</v>
      </c>
    </row>
    <row r="329">
      <c r="A329" s="15">
        <v>325</v>
      </c>
      <c r="B329" s="15" t="s">
        <v>246</v>
      </c>
      <c r="C329" s="15" t="s">
        <v>259</v>
      </c>
      <c r="D329" s="15" t="s">
        <v>432</v>
      </c>
      <c r="E329" s="15" t="s">
        <v>116</v>
      </c>
      <c r="F329" s="15" t="s">
        <v>35</v>
      </c>
      <c r="G329" s="15" t="s">
        <v>74</v>
      </c>
      <c r="H329" s="15" t="s">
        <v>2511</v>
      </c>
      <c r="I329" s="15" t="s">
        <v>2512</v>
      </c>
      <c r="J329" s="15" t="s">
        <v>2513</v>
      </c>
      <c r="K329" s="15" t="s">
        <v>166</v>
      </c>
      <c r="L329" s="15" t="s">
        <v>167</v>
      </c>
      <c r="M329" s="15" t="s">
        <v>263</v>
      </c>
      <c r="N329" s="15" t="s">
        <v>264</v>
      </c>
      <c r="O329" s="15" t="s">
        <v>82</v>
      </c>
      <c r="P329" s="15" t="s">
        <v>2514</v>
      </c>
      <c r="Q329" s="15" t="s">
        <v>2515</v>
      </c>
      <c r="R329" s="16">
        <v>44329</v>
      </c>
      <c r="S329" s="17" t="s">
        <v>70</v>
      </c>
      <c r="T329" s="20">
        <f>HYPERLINK("https://vnm.spiral.com.vn//uploaded/20210513/ff14401a-0ec0-4fb4-a666-55d9c186915e.JPEG","15:43:04")</f>
      </c>
      <c r="U329" s="20">
        <f>HYPERLINK("https://vnm.spiral.com.vn//uploaded/20210513/02581fe6-6283-4ce7-9863-99e69c19f573.JPEG","17:00:35")</f>
      </c>
      <c r="V329" s="18">
        <v>0.05383101851851852</v>
      </c>
      <c r="W329" s="15" t="s">
        <v>2516</v>
      </c>
      <c r="X329" s="15" t="s">
        <v>2517</v>
      </c>
      <c r="Y329" s="15" t="s">
        <v>35</v>
      </c>
      <c r="Z329" s="19">
        <v>0</v>
      </c>
      <c r="AA329" s="15">
        <v>0</v>
      </c>
      <c r="AB329" s="15" t="s">
        <v>35</v>
      </c>
    </row>
    <row r="330">
      <c r="A330" s="15">
        <v>326</v>
      </c>
      <c r="B330" s="15" t="s">
        <v>87</v>
      </c>
      <c r="C330" s="15" t="s">
        <v>88</v>
      </c>
      <c r="D330" s="15" t="s">
        <v>357</v>
      </c>
      <c r="E330" s="15" t="s">
        <v>90</v>
      </c>
      <c r="F330" s="15" t="s">
        <v>35</v>
      </c>
      <c r="G330" s="15" t="s">
        <v>74</v>
      </c>
      <c r="H330" s="15" t="s">
        <v>2518</v>
      </c>
      <c r="I330" s="15" t="s">
        <v>2519</v>
      </c>
      <c r="J330" s="15" t="s">
        <v>2520</v>
      </c>
      <c r="K330" s="15" t="s">
        <v>1570</v>
      </c>
      <c r="L330" s="15" t="s">
        <v>1571</v>
      </c>
      <c r="M330" s="15" t="s">
        <v>2024</v>
      </c>
      <c r="N330" s="15" t="s">
        <v>2025</v>
      </c>
      <c r="O330" s="15" t="s">
        <v>82</v>
      </c>
      <c r="P330" s="15" t="s">
        <v>2521</v>
      </c>
      <c r="Q330" s="15" t="s">
        <v>2522</v>
      </c>
      <c r="R330" s="16">
        <v>44329</v>
      </c>
      <c r="S330" s="17" t="s">
        <v>70</v>
      </c>
      <c r="T330" s="20">
        <f>HYPERLINK("https://vnm.spiral.com.vn//uploaded/20210513/dc05ca35-9ccb-47bf-812e-ab23bce66460.JPEG","16:09:53")</f>
      </c>
      <c r="U330" s="20">
        <f>HYPERLINK("https://vnm.spiral.com.vn//uploaded/20210513/b0c33a02-a31d-4342-b304-2ea9c1da15f7.JPEG","17:00:33")</f>
      </c>
      <c r="V330" s="18">
        <v>0.03518518518518519</v>
      </c>
      <c r="W330" s="15" t="s">
        <v>2523</v>
      </c>
      <c r="X330" s="15" t="s">
        <v>2524</v>
      </c>
      <c r="Y330" s="15" t="s">
        <v>35</v>
      </c>
      <c r="Z330" s="19">
        <v>0</v>
      </c>
      <c r="AA330" s="15">
        <v>0</v>
      </c>
      <c r="AB330" s="15" t="s">
        <v>35</v>
      </c>
    </row>
    <row r="331">
      <c r="A331" s="15">
        <v>327</v>
      </c>
      <c r="B331" s="15" t="s">
        <v>87</v>
      </c>
      <c r="C331" s="15" t="s">
        <v>88</v>
      </c>
      <c r="D331" s="15" t="s">
        <v>89</v>
      </c>
      <c r="E331" s="15" t="s">
        <v>90</v>
      </c>
      <c r="F331" s="15" t="s">
        <v>35</v>
      </c>
      <c r="G331" s="15" t="s">
        <v>74</v>
      </c>
      <c r="H331" s="15" t="s">
        <v>2525</v>
      </c>
      <c r="I331" s="15" t="s">
        <v>2526</v>
      </c>
      <c r="J331" s="15" t="s">
        <v>2527</v>
      </c>
      <c r="K331" s="15" t="s">
        <v>1554</v>
      </c>
      <c r="L331" s="15" t="s">
        <v>1555</v>
      </c>
      <c r="M331" s="15" t="s">
        <v>2528</v>
      </c>
      <c r="N331" s="15" t="s">
        <v>2529</v>
      </c>
      <c r="O331" s="15" t="s">
        <v>156</v>
      </c>
      <c r="P331" s="15" t="s">
        <v>2530</v>
      </c>
      <c r="Q331" s="15" t="s">
        <v>2531</v>
      </c>
      <c r="R331" s="16">
        <v>44329</v>
      </c>
      <c r="S331" s="17" t="s">
        <v>70</v>
      </c>
      <c r="T331" s="20">
        <f>HYPERLINK("https://vnm.spiral.com.vn//uploaded/20210513/46be2f84-4285-499e-a516-1456260e851e.JPEG","07:46:37")</f>
      </c>
      <c r="U331" s="20">
        <f>HYPERLINK("https://vnm.spiral.com.vn//uploaded/20210513/e23ac3e0-087b-43a8-9d2e-b4f27eed3259.JPEG","17:00:32")</f>
      </c>
      <c r="V331" s="18">
        <v>0.3846643518518518</v>
      </c>
      <c r="W331" s="15" t="s">
        <v>2532</v>
      </c>
      <c r="X331" s="15" t="s">
        <v>2532</v>
      </c>
      <c r="Y331" s="15" t="s">
        <v>35</v>
      </c>
      <c r="Z331" s="19">
        <v>0</v>
      </c>
      <c r="AA331" s="15">
        <v>0</v>
      </c>
      <c r="AB331" s="15" t="s">
        <v>35</v>
      </c>
    </row>
    <row r="332">
      <c r="A332" s="15">
        <v>328</v>
      </c>
      <c r="B332" s="15" t="s">
        <v>343</v>
      </c>
      <c r="C332" s="15" t="s">
        <v>344</v>
      </c>
      <c r="D332" s="15" t="s">
        <v>345</v>
      </c>
      <c r="E332" s="15" t="s">
        <v>90</v>
      </c>
      <c r="F332" s="15" t="s">
        <v>35</v>
      </c>
      <c r="G332" s="15" t="s">
        <v>74</v>
      </c>
      <c r="H332" s="15" t="s">
        <v>2533</v>
      </c>
      <c r="I332" s="15" t="s">
        <v>2534</v>
      </c>
      <c r="J332" s="15" t="s">
        <v>2535</v>
      </c>
      <c r="K332" s="15" t="s">
        <v>349</v>
      </c>
      <c r="L332" s="15" t="s">
        <v>350</v>
      </c>
      <c r="M332" s="15" t="s">
        <v>351</v>
      </c>
      <c r="N332" s="15" t="s">
        <v>352</v>
      </c>
      <c r="O332" s="15" t="s">
        <v>156</v>
      </c>
      <c r="P332" s="15" t="s">
        <v>2536</v>
      </c>
      <c r="Q332" s="15" t="s">
        <v>2537</v>
      </c>
      <c r="R332" s="16">
        <v>44329</v>
      </c>
      <c r="S332" s="17" t="s">
        <v>70</v>
      </c>
      <c r="T332" s="20">
        <f>HYPERLINK("https://vnm.spiral.com.vn//uploaded/20210513/da26de1f-4700-4cbd-b0a1-41252c859ac3.JPEG","08:00:11")</f>
      </c>
      <c r="U332" s="20">
        <f>HYPERLINK("https://vnm.spiral.com.vn//uploaded/20210513/a9d4d9ef-fbc8-4f55-9409-fb95a2751175.JPEG","17:00:32")</f>
      </c>
      <c r="V332" s="18">
        <v>0.37524305555555554</v>
      </c>
      <c r="W332" s="15" t="s">
        <v>2538</v>
      </c>
      <c r="X332" s="15" t="s">
        <v>2538</v>
      </c>
      <c r="Y332" s="15" t="s">
        <v>35</v>
      </c>
      <c r="Z332" s="19">
        <v>0</v>
      </c>
      <c r="AA332" s="15">
        <v>0</v>
      </c>
      <c r="AB332" s="15" t="s">
        <v>35</v>
      </c>
    </row>
    <row r="333">
      <c r="A333" s="15">
        <v>329</v>
      </c>
      <c r="B333" s="15" t="s">
        <v>87</v>
      </c>
      <c r="C333" s="15" t="s">
        <v>88</v>
      </c>
      <c r="D333" s="15" t="s">
        <v>610</v>
      </c>
      <c r="E333" s="15" t="s">
        <v>90</v>
      </c>
      <c r="F333" s="15" t="s">
        <v>35</v>
      </c>
      <c r="G333" s="15" t="s">
        <v>74</v>
      </c>
      <c r="H333" s="15" t="s">
        <v>2539</v>
      </c>
      <c r="I333" s="15" t="s">
        <v>2540</v>
      </c>
      <c r="J333" s="15" t="s">
        <v>2541</v>
      </c>
      <c r="K333" s="15" t="s">
        <v>94</v>
      </c>
      <c r="L333" s="15" t="s">
        <v>95</v>
      </c>
      <c r="M333" s="15" t="s">
        <v>614</v>
      </c>
      <c r="N333" s="15" t="s">
        <v>615</v>
      </c>
      <c r="O333" s="15" t="s">
        <v>98</v>
      </c>
      <c r="P333" s="15" t="s">
        <v>616</v>
      </c>
      <c r="Q333" s="15" t="s">
        <v>617</v>
      </c>
      <c r="R333" s="16">
        <v>44329</v>
      </c>
      <c r="S333" s="17" t="s">
        <v>70</v>
      </c>
      <c r="T333" s="20">
        <f>HYPERLINK("https://vnm.spiral.com.vn//uploaded/20210513/15DC0925-0CAC-4B61-A9CE-5F25B11AFCEB.jpg","16:11:15")</f>
      </c>
      <c r="U333" s="20">
        <f>HYPERLINK("https://vnm.spiral.com.vn//uploaded/20210513/E2AE43C6-5166-41FD-9CAF-4EA2B5A7FE9E.jpg","17:00:30")</f>
      </c>
      <c r="V333" s="18">
        <v>0.03420138888888889</v>
      </c>
      <c r="W333" s="15" t="s">
        <v>2542</v>
      </c>
      <c r="X333" s="15" t="s">
        <v>2543</v>
      </c>
      <c r="Y333" s="15" t="s">
        <v>35</v>
      </c>
      <c r="Z333" s="19">
        <v>0</v>
      </c>
      <c r="AA333" s="15">
        <v>0</v>
      </c>
      <c r="AB333" s="15" t="s">
        <v>35</v>
      </c>
    </row>
    <row r="334">
      <c r="A334" s="15">
        <v>330</v>
      </c>
      <c r="B334" s="15" t="s">
        <v>87</v>
      </c>
      <c r="C334" s="15" t="s">
        <v>88</v>
      </c>
      <c r="D334" s="15" t="s">
        <v>357</v>
      </c>
      <c r="E334" s="15" t="s">
        <v>90</v>
      </c>
      <c r="F334" s="15" t="s">
        <v>35</v>
      </c>
      <c r="G334" s="15" t="s">
        <v>74</v>
      </c>
      <c r="H334" s="15" t="s">
        <v>2544</v>
      </c>
      <c r="I334" s="15" t="s">
        <v>2545</v>
      </c>
      <c r="J334" s="15" t="s">
        <v>2546</v>
      </c>
      <c r="K334" s="15" t="s">
        <v>94</v>
      </c>
      <c r="L334" s="15" t="s">
        <v>95</v>
      </c>
      <c r="M334" s="15" t="s">
        <v>1554</v>
      </c>
      <c r="N334" s="15" t="s">
        <v>1555</v>
      </c>
      <c r="O334" s="15" t="s">
        <v>82</v>
      </c>
      <c r="P334" s="15" t="s">
        <v>2547</v>
      </c>
      <c r="Q334" s="15" t="s">
        <v>2548</v>
      </c>
      <c r="R334" s="16">
        <v>44329</v>
      </c>
      <c r="S334" s="17" t="s">
        <v>70</v>
      </c>
      <c r="T334" s="20">
        <f>HYPERLINK("https://vnm.spiral.com.vn//uploaded/20210513/cce5de54-aa6d-43e1-ae64-f6bea3b0b969.JPEG","07:52:09")</f>
      </c>
      <c r="U334" s="20">
        <f>HYPERLINK("https://vnm.spiral.com.vn//uploaded/20210513/e9f2b146-1463-4594-bbb9-28cb5ce0ff89.JPEG","17:00:30")</f>
      </c>
      <c r="V334" s="18">
        <v>0.38079861111111113</v>
      </c>
      <c r="W334" s="15" t="s">
        <v>2549</v>
      </c>
      <c r="X334" s="15" t="s">
        <v>2550</v>
      </c>
      <c r="Y334" s="15" t="s">
        <v>35</v>
      </c>
      <c r="Z334" s="19">
        <v>0</v>
      </c>
      <c r="AA334" s="15">
        <v>0</v>
      </c>
      <c r="AB334" s="15" t="s">
        <v>35</v>
      </c>
    </row>
    <row r="335">
      <c r="A335" s="15">
        <v>331</v>
      </c>
      <c r="B335" s="15" t="s">
        <v>103</v>
      </c>
      <c r="C335" s="15" t="s">
        <v>186</v>
      </c>
      <c r="D335" s="15" t="s">
        <v>432</v>
      </c>
      <c r="E335" s="15" t="s">
        <v>116</v>
      </c>
      <c r="F335" s="15" t="s">
        <v>35</v>
      </c>
      <c r="G335" s="15" t="s">
        <v>74</v>
      </c>
      <c r="H335" s="15" t="s">
        <v>2551</v>
      </c>
      <c r="I335" s="15" t="s">
        <v>2552</v>
      </c>
      <c r="J335" s="15" t="s">
        <v>2553</v>
      </c>
      <c r="K335" s="15" t="s">
        <v>436</v>
      </c>
      <c r="L335" s="15" t="s">
        <v>437</v>
      </c>
      <c r="M335" s="15" t="s">
        <v>438</v>
      </c>
      <c r="N335" s="15" t="s">
        <v>439</v>
      </c>
      <c r="O335" s="15" t="s">
        <v>82</v>
      </c>
      <c r="P335" s="15" t="s">
        <v>2554</v>
      </c>
      <c r="Q335" s="15" t="s">
        <v>2555</v>
      </c>
      <c r="R335" s="16">
        <v>44329</v>
      </c>
      <c r="S335" s="17" t="s">
        <v>70</v>
      </c>
      <c r="T335" s="20">
        <f>HYPERLINK("https://vnm.spiral.com.vn//uploaded/20210513/29798848-4894-4315-ACCD-720DE88FAAE1.jpg","16:03:21")</f>
      </c>
      <c r="U335" s="20">
        <f>HYPERLINK("https://vnm.spiral.com.vn//uploaded/20210513/25AAE5F0-55E6-43FB-B8A5-A99EB53D9B90.jpg","17:00:30")</f>
      </c>
      <c r="V335" s="18">
        <v>0.0396875</v>
      </c>
      <c r="W335" s="15" t="s">
        <v>2556</v>
      </c>
      <c r="X335" s="15" t="s">
        <v>2557</v>
      </c>
      <c r="Y335" s="15" t="s">
        <v>35</v>
      </c>
      <c r="Z335" s="19">
        <v>0</v>
      </c>
      <c r="AA335" s="15">
        <v>0</v>
      </c>
      <c r="AB335" s="15" t="s">
        <v>35</v>
      </c>
    </row>
    <row r="336">
      <c r="A336" s="15">
        <v>332</v>
      </c>
      <c r="B336" s="15" t="s">
        <v>61</v>
      </c>
      <c r="C336" s="15" t="s">
        <v>147</v>
      </c>
      <c r="D336" s="15" t="s">
        <v>35</v>
      </c>
      <c r="E336" s="15" t="s">
        <v>35</v>
      </c>
      <c r="F336" s="15" t="s">
        <v>35</v>
      </c>
      <c r="G336" s="15" t="s">
        <v>36</v>
      </c>
      <c r="H336" s="15" t="s">
        <v>2558</v>
      </c>
      <c r="I336" s="15" t="s">
        <v>2559</v>
      </c>
      <c r="J336" s="15" t="s">
        <v>2560</v>
      </c>
      <c r="K336" s="15" t="s">
        <v>40</v>
      </c>
      <c r="L336" s="15" t="s">
        <v>41</v>
      </c>
      <c r="M336" s="15" t="s">
        <v>66</v>
      </c>
      <c r="N336" s="15" t="s">
        <v>67</v>
      </c>
      <c r="O336" s="15" t="s">
        <v>44</v>
      </c>
      <c r="P336" s="15" t="s">
        <v>2561</v>
      </c>
      <c r="Q336" s="15" t="s">
        <v>2562</v>
      </c>
      <c r="R336" s="16">
        <v>44329</v>
      </c>
      <c r="S336" s="17" t="s">
        <v>59</v>
      </c>
      <c r="T336" s="20">
        <f>HYPERLINK("https://vnm.spiral.com.vn//uploaded/20210513/605B7133-5182-4062-B339-087384BA38BE.jpg","13:13:10")</f>
      </c>
      <c r="U336" s="20">
        <f>HYPERLINK("https://vnm.spiral.com.vn//uploaded/20210513/91A4B7AC-9829-4817-9F06-E599A654213A.jpg","17:00:27")</f>
      </c>
      <c r="V336" s="18">
        <v>0.15783564814814816</v>
      </c>
      <c r="W336" s="15" t="s">
        <v>2563</v>
      </c>
      <c r="X336" s="15" t="s">
        <v>2564</v>
      </c>
      <c r="Y336" s="15" t="s">
        <v>35</v>
      </c>
      <c r="Z336" s="19">
        <v>0</v>
      </c>
      <c r="AA336" s="15">
        <v>0</v>
      </c>
      <c r="AB336" s="15" t="s">
        <v>35</v>
      </c>
    </row>
    <row r="337">
      <c r="A337" s="15">
        <v>333</v>
      </c>
      <c r="B337" s="15" t="s">
        <v>87</v>
      </c>
      <c r="C337" s="15" t="s">
        <v>88</v>
      </c>
      <c r="D337" s="15" t="s">
        <v>89</v>
      </c>
      <c r="E337" s="15" t="s">
        <v>90</v>
      </c>
      <c r="F337" s="15" t="s">
        <v>35</v>
      </c>
      <c r="G337" s="15" t="s">
        <v>74</v>
      </c>
      <c r="H337" s="15" t="s">
        <v>91</v>
      </c>
      <c r="I337" s="15" t="s">
        <v>92</v>
      </c>
      <c r="J337" s="15" t="s">
        <v>93</v>
      </c>
      <c r="K337" s="15" t="s">
        <v>96</v>
      </c>
      <c r="L337" s="15" t="s">
        <v>97</v>
      </c>
      <c r="M337" s="15" t="s">
        <v>99</v>
      </c>
      <c r="N337" s="15" t="s">
        <v>100</v>
      </c>
      <c r="O337" s="15" t="s">
        <v>156</v>
      </c>
      <c r="P337" s="15" t="s">
        <v>2565</v>
      </c>
      <c r="Q337" s="15" t="s">
        <v>2566</v>
      </c>
      <c r="R337" s="16">
        <v>44329</v>
      </c>
      <c r="S337" s="17" t="s">
        <v>70</v>
      </c>
      <c r="T337" s="20">
        <f>HYPERLINK("https://vnm.spiral.com.vn//uploaded/20210513/D80BC22E-FBA9-4FFA-A737-C6E6E6E7600D.jpg","07:56:00")</f>
      </c>
      <c r="U337" s="20">
        <f>HYPERLINK("https://vnm.spiral.com.vn//uploaded/20210513/925ABFC0-1B4F-4513-8662-D085E979AD42.jpg","17:00:26")</f>
      </c>
      <c r="V337" s="18">
        <v>0.3780787037037037</v>
      </c>
      <c r="W337" s="15" t="s">
        <v>2567</v>
      </c>
      <c r="X337" s="15" t="s">
        <v>2568</v>
      </c>
      <c r="Y337" s="15" t="s">
        <v>35</v>
      </c>
      <c r="Z337" s="19">
        <v>0</v>
      </c>
      <c r="AA337" s="15">
        <v>0</v>
      </c>
      <c r="AB337" s="15" t="s">
        <v>35</v>
      </c>
    </row>
    <row r="338">
      <c r="A338" s="15">
        <v>334</v>
      </c>
      <c r="B338" s="15" t="s">
        <v>87</v>
      </c>
      <c r="C338" s="15" t="s">
        <v>88</v>
      </c>
      <c r="D338" s="15" t="s">
        <v>432</v>
      </c>
      <c r="E338" s="15" t="s">
        <v>116</v>
      </c>
      <c r="F338" s="15" t="s">
        <v>35</v>
      </c>
      <c r="G338" s="15" t="s">
        <v>74</v>
      </c>
      <c r="H338" s="15" t="s">
        <v>622</v>
      </c>
      <c r="I338" s="15" t="s">
        <v>623</v>
      </c>
      <c r="J338" s="15" t="s">
        <v>624</v>
      </c>
      <c r="K338" s="15" t="s">
        <v>625</v>
      </c>
      <c r="L338" s="15" t="s">
        <v>626</v>
      </c>
      <c r="M338" s="15" t="s">
        <v>627</v>
      </c>
      <c r="N338" s="15" t="s">
        <v>628</v>
      </c>
      <c r="O338" s="15" t="s">
        <v>82</v>
      </c>
      <c r="P338" s="15" t="s">
        <v>2569</v>
      </c>
      <c r="Q338" s="15" t="s">
        <v>2570</v>
      </c>
      <c r="R338" s="16">
        <v>44329</v>
      </c>
      <c r="S338" s="17" t="s">
        <v>70</v>
      </c>
      <c r="T338" s="20">
        <f>HYPERLINK("https://vnm.spiral.com.vn//uploaded/20210513/4C89D0D4-74A3-47E3-AFB5-22396D022B78.jpg","16:17:28")</f>
      </c>
      <c r="U338" s="20">
        <f>HYPERLINK("https://vnm.spiral.com.vn//uploaded/20210513/86F4AAC7-C329-417C-B573-56AB662F6449.jpg","17:00:25")</f>
      </c>
      <c r="V338" s="18">
        <v>0.02982638888888889</v>
      </c>
      <c r="W338" s="15" t="s">
        <v>2571</v>
      </c>
      <c r="X338" s="15" t="s">
        <v>2572</v>
      </c>
      <c r="Y338" s="15" t="s">
        <v>35</v>
      </c>
      <c r="Z338" s="19">
        <v>0</v>
      </c>
      <c r="AA338" s="15">
        <v>0</v>
      </c>
      <c r="AB338" s="15" t="s">
        <v>35</v>
      </c>
    </row>
    <row r="339">
      <c r="A339" s="15">
        <v>335</v>
      </c>
      <c r="B339" s="15" t="s">
        <v>343</v>
      </c>
      <c r="C339" s="15" t="s">
        <v>344</v>
      </c>
      <c r="D339" s="15" t="s">
        <v>536</v>
      </c>
      <c r="E339" s="15" t="s">
        <v>116</v>
      </c>
      <c r="F339" s="15" t="s">
        <v>35</v>
      </c>
      <c r="G339" s="15" t="s">
        <v>74</v>
      </c>
      <c r="H339" s="15" t="s">
        <v>2573</v>
      </c>
      <c r="I339" s="15" t="s">
        <v>2574</v>
      </c>
      <c r="J339" s="15" t="s">
        <v>2575</v>
      </c>
      <c r="K339" s="15" t="s">
        <v>997</v>
      </c>
      <c r="L339" s="15" t="s">
        <v>998</v>
      </c>
      <c r="M339" s="15" t="s">
        <v>1325</v>
      </c>
      <c r="N339" s="15" t="s">
        <v>1326</v>
      </c>
      <c r="O339" s="15" t="s">
        <v>82</v>
      </c>
      <c r="P339" s="15" t="s">
        <v>2576</v>
      </c>
      <c r="Q339" s="15" t="s">
        <v>2577</v>
      </c>
      <c r="R339" s="16">
        <v>44329</v>
      </c>
      <c r="S339" s="17" t="s">
        <v>70</v>
      </c>
      <c r="T339" s="20">
        <f>HYPERLINK("https://vnm.spiral.com.vn//uploaded/20210513/e073c5c0-4ed1-4dbb-81f3-c92530c74662.JPEG","16:01:11")</f>
      </c>
      <c r="U339" s="20">
        <f>HYPERLINK("https://vnm.spiral.com.vn//uploaded/20210513/074ea32b-128f-4f08-b021-266c66bac6ef.JPEG","17:00:25")</f>
      </c>
      <c r="V339" s="18">
        <v>0.04113425925925926</v>
      </c>
      <c r="W339" s="15" t="s">
        <v>2578</v>
      </c>
      <c r="X339" s="15" t="s">
        <v>2579</v>
      </c>
      <c r="Y339" s="15" t="s">
        <v>35</v>
      </c>
      <c r="Z339" s="19">
        <v>0</v>
      </c>
      <c r="AA339" s="15">
        <v>0</v>
      </c>
      <c r="AB339" s="15" t="s">
        <v>35</v>
      </c>
    </row>
    <row r="340">
      <c r="A340" s="15">
        <v>336</v>
      </c>
      <c r="B340" s="15" t="s">
        <v>87</v>
      </c>
      <c r="C340" s="15" t="s">
        <v>88</v>
      </c>
      <c r="D340" s="15" t="s">
        <v>610</v>
      </c>
      <c r="E340" s="15" t="s">
        <v>90</v>
      </c>
      <c r="F340" s="15" t="s">
        <v>35</v>
      </c>
      <c r="G340" s="15" t="s">
        <v>74</v>
      </c>
      <c r="H340" s="15" t="s">
        <v>2580</v>
      </c>
      <c r="I340" s="15" t="s">
        <v>2581</v>
      </c>
      <c r="J340" s="15" t="s">
        <v>2582</v>
      </c>
      <c r="K340" s="15" t="s">
        <v>94</v>
      </c>
      <c r="L340" s="15" t="s">
        <v>95</v>
      </c>
      <c r="M340" s="15" t="s">
        <v>614</v>
      </c>
      <c r="N340" s="15" t="s">
        <v>615</v>
      </c>
      <c r="O340" s="15" t="s">
        <v>82</v>
      </c>
      <c r="P340" s="15" t="s">
        <v>2583</v>
      </c>
      <c r="Q340" s="15" t="s">
        <v>2584</v>
      </c>
      <c r="R340" s="16">
        <v>44329</v>
      </c>
      <c r="S340" s="17" t="s">
        <v>70</v>
      </c>
      <c r="T340" s="20">
        <f>HYPERLINK("https://vnm.spiral.com.vn//uploaded/20210513/9b93346e-34a9-4def-bc56-d25bf0a6f507.JPEG","16:17:43")</f>
      </c>
      <c r="U340" s="20">
        <f>HYPERLINK("https://vnm.spiral.com.vn//uploaded/20210513/137dfa0e-a689-4d65-8726-04a9baed2cb0.JPEG","17:00:25")</f>
      </c>
      <c r="V340" s="18">
        <v>0.029652777777777778</v>
      </c>
      <c r="W340" s="15" t="s">
        <v>2585</v>
      </c>
      <c r="X340" s="15" t="s">
        <v>2586</v>
      </c>
      <c r="Y340" s="15" t="s">
        <v>35</v>
      </c>
      <c r="Z340" s="19">
        <v>0</v>
      </c>
      <c r="AA340" s="15">
        <v>0</v>
      </c>
      <c r="AB340" s="15" t="s">
        <v>35</v>
      </c>
    </row>
    <row r="341">
      <c r="A341" s="15">
        <v>337</v>
      </c>
      <c r="B341" s="15" t="s">
        <v>49</v>
      </c>
      <c r="C341" s="15" t="s">
        <v>1715</v>
      </c>
      <c r="D341" s="15" t="s">
        <v>135</v>
      </c>
      <c r="E341" s="15" t="s">
        <v>116</v>
      </c>
      <c r="F341" s="15" t="s">
        <v>35</v>
      </c>
      <c r="G341" s="15" t="s">
        <v>74</v>
      </c>
      <c r="H341" s="15" t="s">
        <v>2587</v>
      </c>
      <c r="I341" s="15" t="s">
        <v>2588</v>
      </c>
      <c r="J341" s="15" t="s">
        <v>2589</v>
      </c>
      <c r="K341" s="15" t="s">
        <v>166</v>
      </c>
      <c r="L341" s="15" t="s">
        <v>167</v>
      </c>
      <c r="M341" s="15" t="s">
        <v>168</v>
      </c>
      <c r="N341" s="15" t="s">
        <v>169</v>
      </c>
      <c r="O341" s="15" t="s">
        <v>82</v>
      </c>
      <c r="P341" s="15" t="s">
        <v>2590</v>
      </c>
      <c r="Q341" s="15" t="s">
        <v>2591</v>
      </c>
      <c r="R341" s="16">
        <v>44329</v>
      </c>
      <c r="S341" s="17" t="s">
        <v>70</v>
      </c>
      <c r="T341" s="20">
        <f>HYPERLINK("https://vnm.spiral.com.vn//uploaded/20210513/1f69b718-ebde-458a-9d9d-a6da8a117be9.JPEG","15:41:23")</f>
      </c>
      <c r="U341" s="20">
        <f>HYPERLINK("https://vnm.spiral.com.vn//uploaded/20210513/c51c461a-14d7-492d-8086-fba58ec26861.JPEG","17:00:25")</f>
      </c>
      <c r="V341" s="18">
        <v>0.05488425925925926</v>
      </c>
      <c r="W341" s="15" t="s">
        <v>2592</v>
      </c>
      <c r="X341" s="15" t="s">
        <v>2593</v>
      </c>
      <c r="Y341" s="15" t="s">
        <v>35</v>
      </c>
      <c r="Z341" s="19">
        <v>0</v>
      </c>
      <c r="AA341" s="15">
        <v>0</v>
      </c>
      <c r="AB341" s="15" t="s">
        <v>35</v>
      </c>
    </row>
    <row r="342">
      <c r="A342" s="15">
        <v>338</v>
      </c>
      <c r="B342" s="15" t="s">
        <v>343</v>
      </c>
      <c r="C342" s="15" t="s">
        <v>344</v>
      </c>
      <c r="D342" s="15" t="s">
        <v>432</v>
      </c>
      <c r="E342" s="15" t="s">
        <v>116</v>
      </c>
      <c r="F342" s="15" t="s">
        <v>35</v>
      </c>
      <c r="G342" s="15" t="s">
        <v>74</v>
      </c>
      <c r="H342" s="15" t="s">
        <v>2594</v>
      </c>
      <c r="I342" s="15" t="s">
        <v>2595</v>
      </c>
      <c r="J342" s="15" t="s">
        <v>2596</v>
      </c>
      <c r="K342" s="15" t="s">
        <v>1168</v>
      </c>
      <c r="L342" s="15" t="s">
        <v>1169</v>
      </c>
      <c r="M342" s="15" t="s">
        <v>1170</v>
      </c>
      <c r="N342" s="15" t="s">
        <v>1171</v>
      </c>
      <c r="O342" s="15" t="s">
        <v>82</v>
      </c>
      <c r="P342" s="15" t="s">
        <v>2597</v>
      </c>
      <c r="Q342" s="15" t="s">
        <v>2598</v>
      </c>
      <c r="R342" s="16">
        <v>44329</v>
      </c>
      <c r="S342" s="17" t="s">
        <v>70</v>
      </c>
      <c r="T342" s="20">
        <f>HYPERLINK("https://vnm.spiral.com.vn//uploaded/20210513/c1059ed4-96e9-4d5d-9379-4886bc06fd8b.JPEG","16:13:58")</f>
      </c>
      <c r="U342" s="20">
        <f>HYPERLINK("https://vnm.spiral.com.vn//uploaded/20210513/d01e68f6-0513-4be3-ab23-4ce55dfd9f84.JPEG","17:00:24")</f>
      </c>
      <c r="V342" s="18">
        <v>0.03224537037037037</v>
      </c>
      <c r="W342" s="15" t="s">
        <v>2599</v>
      </c>
      <c r="X342" s="15" t="s">
        <v>2600</v>
      </c>
      <c r="Y342" s="15" t="s">
        <v>35</v>
      </c>
      <c r="Z342" s="19">
        <v>0</v>
      </c>
      <c r="AA342" s="15">
        <v>0</v>
      </c>
      <c r="AB342" s="15" t="s">
        <v>35</v>
      </c>
    </row>
    <row r="343">
      <c r="A343" s="15">
        <v>339</v>
      </c>
      <c r="B343" s="15" t="s">
        <v>343</v>
      </c>
      <c r="C343" s="15" t="s">
        <v>344</v>
      </c>
      <c r="D343" s="15" t="s">
        <v>2601</v>
      </c>
      <c r="E343" s="15" t="s">
        <v>35</v>
      </c>
      <c r="F343" s="15" t="s">
        <v>35</v>
      </c>
      <c r="G343" s="15" t="s">
        <v>74</v>
      </c>
      <c r="H343" s="15" t="s">
        <v>2602</v>
      </c>
      <c r="I343" s="15" t="s">
        <v>2603</v>
      </c>
      <c r="J343" s="15" t="s">
        <v>2604</v>
      </c>
      <c r="K343" s="15" t="s">
        <v>540</v>
      </c>
      <c r="L343" s="15" t="s">
        <v>541</v>
      </c>
      <c r="M343" s="15" t="s">
        <v>584</v>
      </c>
      <c r="N343" s="15" t="s">
        <v>585</v>
      </c>
      <c r="O343" s="15" t="s">
        <v>98</v>
      </c>
      <c r="P343" s="15" t="s">
        <v>586</v>
      </c>
      <c r="Q343" s="15" t="s">
        <v>587</v>
      </c>
      <c r="R343" s="16">
        <v>44329</v>
      </c>
      <c r="S343" s="17" t="s">
        <v>35</v>
      </c>
      <c r="T343" s="20">
        <f>HYPERLINK("https://vnm.spiral.com.vn//uploaded/20210513/E1622170-0B8E-462A-89E0-D46B99E9AAA3.jpg","16:39:59")</f>
      </c>
      <c r="U343" s="20">
        <f>HYPERLINK("https://vnm.spiral.com.vn//uploaded/20210513/B9B5C2B0-986C-4431-B5B5-31B713908FF4.jpg","17:00:20")</f>
      </c>
      <c r="V343" s="18">
        <v>0.014131944444444445</v>
      </c>
      <c r="W343" s="15" t="s">
        <v>2605</v>
      </c>
      <c r="X343" s="15" t="s">
        <v>2605</v>
      </c>
      <c r="Y343" s="15" t="s">
        <v>35</v>
      </c>
      <c r="Z343" s="19">
        <v>0</v>
      </c>
      <c r="AA343" s="15">
        <v>0</v>
      </c>
      <c r="AB343" s="15" t="s">
        <v>35</v>
      </c>
    </row>
    <row r="344">
      <c r="A344" s="15">
        <v>340</v>
      </c>
      <c r="B344" s="15" t="s">
        <v>87</v>
      </c>
      <c r="C344" s="15" t="s">
        <v>88</v>
      </c>
      <c r="D344" s="15" t="s">
        <v>89</v>
      </c>
      <c r="E344" s="15" t="s">
        <v>90</v>
      </c>
      <c r="F344" s="15" t="s">
        <v>35</v>
      </c>
      <c r="G344" s="15" t="s">
        <v>74</v>
      </c>
      <c r="H344" s="15" t="s">
        <v>2606</v>
      </c>
      <c r="I344" s="15" t="s">
        <v>2607</v>
      </c>
      <c r="J344" s="15" t="s">
        <v>2608</v>
      </c>
      <c r="K344" s="15" t="s">
        <v>96</v>
      </c>
      <c r="L344" s="15" t="s">
        <v>97</v>
      </c>
      <c r="M344" s="15" t="s">
        <v>1640</v>
      </c>
      <c r="N344" s="15" t="s">
        <v>1641</v>
      </c>
      <c r="O344" s="15" t="s">
        <v>156</v>
      </c>
      <c r="P344" s="15" t="s">
        <v>2609</v>
      </c>
      <c r="Q344" s="15" t="s">
        <v>2610</v>
      </c>
      <c r="R344" s="16">
        <v>44329</v>
      </c>
      <c r="S344" s="17" t="s">
        <v>70</v>
      </c>
      <c r="T344" s="20">
        <f>HYPERLINK("https://vnm.spiral.com.vn//uploaded/20210513/4C109D6E-B4AB-42E6-B55E-B720411C8CF5.jpg","07:50:38")</f>
      </c>
      <c r="U344" s="20">
        <f>HYPERLINK("https://vnm.spiral.com.vn//uploaded/20210513/39B4A1CC-FDAF-41D3-AACA-9C7EC7DED291.jpg","17:00:17")</f>
      </c>
      <c r="V344" s="18">
        <v>0.3817013888888889</v>
      </c>
      <c r="W344" s="15" t="s">
        <v>2611</v>
      </c>
      <c r="X344" s="15" t="s">
        <v>2612</v>
      </c>
      <c r="Y344" s="15" t="s">
        <v>35</v>
      </c>
      <c r="Z344" s="19">
        <v>0</v>
      </c>
      <c r="AA344" s="15">
        <v>0</v>
      </c>
      <c r="AB344" s="15" t="s">
        <v>35</v>
      </c>
    </row>
    <row r="345">
      <c r="A345" s="15">
        <v>341</v>
      </c>
      <c r="B345" s="15" t="s">
        <v>49</v>
      </c>
      <c r="C345" s="15" t="s">
        <v>162</v>
      </c>
      <c r="D345" s="15" t="s">
        <v>357</v>
      </c>
      <c r="E345" s="15" t="s">
        <v>90</v>
      </c>
      <c r="F345" s="15" t="s">
        <v>35</v>
      </c>
      <c r="G345" s="15" t="s">
        <v>74</v>
      </c>
      <c r="H345" s="15" t="s">
        <v>2613</v>
      </c>
      <c r="I345" s="15" t="s">
        <v>2614</v>
      </c>
      <c r="J345" s="15" t="s">
        <v>2615</v>
      </c>
      <c r="K345" s="15" t="s">
        <v>166</v>
      </c>
      <c r="L345" s="15" t="s">
        <v>167</v>
      </c>
      <c r="M345" s="15" t="s">
        <v>168</v>
      </c>
      <c r="N345" s="15" t="s">
        <v>169</v>
      </c>
      <c r="O345" s="15" t="s">
        <v>156</v>
      </c>
      <c r="P345" s="15" t="s">
        <v>2616</v>
      </c>
      <c r="Q345" s="15" t="s">
        <v>2617</v>
      </c>
      <c r="R345" s="16">
        <v>44329</v>
      </c>
      <c r="S345" s="17" t="s">
        <v>243</v>
      </c>
      <c r="T345" s="20">
        <f>HYPERLINK("https://vnm.spiral.com.vn//uploaded/20210513/1E1C607C-309C-4435-91A7-CB9B2542CC8F.jpg","07:21:13")</f>
      </c>
      <c r="U345" s="20">
        <f>HYPERLINK("https://vnm.spiral.com.vn//uploaded/20210513/E1E350C9-4318-4234-9D68-45FBE875AB6F.jpg","17:00:16")</f>
      </c>
      <c r="V345" s="18">
        <v>0.4021180555555556</v>
      </c>
      <c r="W345" s="15" t="s">
        <v>2618</v>
      </c>
      <c r="X345" s="15" t="s">
        <v>2619</v>
      </c>
      <c r="Y345" s="15" t="s">
        <v>35</v>
      </c>
      <c r="Z345" s="19">
        <v>0</v>
      </c>
      <c r="AA345" s="15">
        <v>0</v>
      </c>
      <c r="AB345" s="15" t="s">
        <v>35</v>
      </c>
    </row>
    <row r="346">
      <c r="A346" s="15">
        <v>342</v>
      </c>
      <c r="B346" s="15" t="s">
        <v>87</v>
      </c>
      <c r="C346" s="15" t="s">
        <v>88</v>
      </c>
      <c r="D346" s="15" t="s">
        <v>89</v>
      </c>
      <c r="E346" s="15" t="s">
        <v>90</v>
      </c>
      <c r="F346" s="15" t="s">
        <v>35</v>
      </c>
      <c r="G346" s="15" t="s">
        <v>74</v>
      </c>
      <c r="H346" s="15" t="s">
        <v>2620</v>
      </c>
      <c r="I346" s="15" t="s">
        <v>2621</v>
      </c>
      <c r="J346" s="15" t="s">
        <v>2622</v>
      </c>
      <c r="K346" s="15" t="s">
        <v>94</v>
      </c>
      <c r="L346" s="15" t="s">
        <v>95</v>
      </c>
      <c r="M346" s="15" t="s">
        <v>96</v>
      </c>
      <c r="N346" s="15" t="s">
        <v>97</v>
      </c>
      <c r="O346" s="15" t="s">
        <v>156</v>
      </c>
      <c r="P346" s="15" t="s">
        <v>2623</v>
      </c>
      <c r="Q346" s="15" t="s">
        <v>2624</v>
      </c>
      <c r="R346" s="16">
        <v>44329</v>
      </c>
      <c r="S346" s="17" t="s">
        <v>70</v>
      </c>
      <c r="T346" s="20">
        <f>HYPERLINK("https://vnm.spiral.com.vn//uploaded/20210513/e5c79e92-34f7-400d-9783-f5c5e759d6d4.JPEG","07:54:11")</f>
      </c>
      <c r="U346" s="20">
        <f>HYPERLINK("https://vnm.spiral.com.vn//uploaded/20210513/f7df15d3-96fe-4e16-b059-62a21befc917.JPEG","17:00:15")</f>
      </c>
      <c r="V346" s="18">
        <v>0.379212962962963</v>
      </c>
      <c r="W346" s="15" t="s">
        <v>2625</v>
      </c>
      <c r="X346" s="15" t="s">
        <v>2626</v>
      </c>
      <c r="Y346" s="15" t="s">
        <v>35</v>
      </c>
      <c r="Z346" s="19">
        <v>0</v>
      </c>
      <c r="AA346" s="15">
        <v>0</v>
      </c>
      <c r="AB346" s="15" t="s">
        <v>35</v>
      </c>
    </row>
    <row r="347">
      <c r="A347" s="15">
        <v>343</v>
      </c>
      <c r="B347" s="15" t="s">
        <v>49</v>
      </c>
      <c r="C347" s="15" t="s">
        <v>162</v>
      </c>
      <c r="D347" s="15" t="s">
        <v>304</v>
      </c>
      <c r="E347" s="15" t="s">
        <v>305</v>
      </c>
      <c r="F347" s="15" t="s">
        <v>35</v>
      </c>
      <c r="G347" s="15" t="s">
        <v>74</v>
      </c>
      <c r="H347" s="15" t="s">
        <v>2627</v>
      </c>
      <c r="I347" s="15" t="s">
        <v>2628</v>
      </c>
      <c r="J347" s="15" t="s">
        <v>2629</v>
      </c>
      <c r="K347" s="15" t="s">
        <v>166</v>
      </c>
      <c r="L347" s="15" t="s">
        <v>167</v>
      </c>
      <c r="M347" s="15" t="s">
        <v>168</v>
      </c>
      <c r="N347" s="15" t="s">
        <v>169</v>
      </c>
      <c r="O347" s="15" t="s">
        <v>156</v>
      </c>
      <c r="P347" s="15" t="s">
        <v>2630</v>
      </c>
      <c r="Q347" s="15" t="s">
        <v>2631</v>
      </c>
      <c r="R347" s="16">
        <v>44329</v>
      </c>
      <c r="S347" s="17" t="s">
        <v>243</v>
      </c>
      <c r="T347" s="20">
        <f>HYPERLINK("https://vnm.spiral.com.vn//uploaded/20210513/74B07F58-73B2-4CA0-9D04-CAD3A05A29C6.jpg","06:55:21")</f>
      </c>
      <c r="U347" s="20">
        <f>HYPERLINK("https://vnm.spiral.com.vn//uploaded/20210513/36660FD0-ED49-48F6-A573-E6B00CBCF8E3.jpg","17:00:15")</f>
      </c>
      <c r="V347" s="18">
        <v>0.42006944444444444</v>
      </c>
      <c r="W347" s="15" t="s">
        <v>2632</v>
      </c>
      <c r="X347" s="15" t="s">
        <v>2633</v>
      </c>
      <c r="Y347" s="15" t="s">
        <v>35</v>
      </c>
      <c r="Z347" s="19">
        <v>0</v>
      </c>
      <c r="AA347" s="15">
        <v>0</v>
      </c>
      <c r="AB347" s="15" t="s">
        <v>35</v>
      </c>
    </row>
    <row r="348">
      <c r="A348" s="15">
        <v>344</v>
      </c>
      <c r="B348" s="15" t="s">
        <v>87</v>
      </c>
      <c r="C348" s="15" t="s">
        <v>88</v>
      </c>
      <c r="D348" s="15" t="s">
        <v>89</v>
      </c>
      <c r="E348" s="15" t="s">
        <v>90</v>
      </c>
      <c r="F348" s="15" t="s">
        <v>35</v>
      </c>
      <c r="G348" s="15" t="s">
        <v>74</v>
      </c>
      <c r="H348" s="15" t="s">
        <v>2606</v>
      </c>
      <c r="I348" s="15" t="s">
        <v>2607</v>
      </c>
      <c r="J348" s="15" t="s">
        <v>2608</v>
      </c>
      <c r="K348" s="15" t="s">
        <v>96</v>
      </c>
      <c r="L348" s="15" t="s">
        <v>97</v>
      </c>
      <c r="M348" s="15" t="s">
        <v>1640</v>
      </c>
      <c r="N348" s="15" t="s">
        <v>1641</v>
      </c>
      <c r="O348" s="15" t="s">
        <v>156</v>
      </c>
      <c r="P348" s="15" t="s">
        <v>2634</v>
      </c>
      <c r="Q348" s="15" t="s">
        <v>2635</v>
      </c>
      <c r="R348" s="16">
        <v>44329</v>
      </c>
      <c r="S348" s="17" t="s">
        <v>70</v>
      </c>
      <c r="T348" s="20">
        <f>HYPERLINK("https://vnm.spiral.com.vn//uploaded/20210513/9a0299ae-2574-4b71-bb54-94fff3ffbb58.JPEG","07:57:20")</f>
      </c>
      <c r="U348" s="20">
        <f>HYPERLINK("https://vnm.spiral.com.vn//uploaded/20210513/2148e0da-3cd9-4a30-b191-a6cb6ced5b6c.JPEG","17:00:14")</f>
      </c>
      <c r="V348" s="18">
        <v>0.37701388888888887</v>
      </c>
      <c r="W348" s="15" t="s">
        <v>2636</v>
      </c>
      <c r="X348" s="15" t="s">
        <v>2636</v>
      </c>
      <c r="Y348" s="15" t="s">
        <v>35</v>
      </c>
      <c r="Z348" s="19">
        <v>0</v>
      </c>
      <c r="AA348" s="15">
        <v>0</v>
      </c>
      <c r="AB348" s="15" t="s">
        <v>35</v>
      </c>
    </row>
    <row r="349">
      <c r="A349" s="15">
        <v>345</v>
      </c>
      <c r="B349" s="15" t="s">
        <v>49</v>
      </c>
      <c r="C349" s="15" t="s">
        <v>756</v>
      </c>
      <c r="D349" s="15" t="s">
        <v>89</v>
      </c>
      <c r="E349" s="15" t="s">
        <v>90</v>
      </c>
      <c r="F349" s="15" t="s">
        <v>35</v>
      </c>
      <c r="G349" s="15" t="s">
        <v>74</v>
      </c>
      <c r="H349" s="15" t="s">
        <v>2637</v>
      </c>
      <c r="I349" s="15" t="s">
        <v>2638</v>
      </c>
      <c r="J349" s="15" t="s">
        <v>2639</v>
      </c>
      <c r="K349" s="15" t="s">
        <v>168</v>
      </c>
      <c r="L349" s="15" t="s">
        <v>169</v>
      </c>
      <c r="M349" s="15" t="s">
        <v>2640</v>
      </c>
      <c r="N349" s="15" t="s">
        <v>2641</v>
      </c>
      <c r="O349" s="15" t="s">
        <v>156</v>
      </c>
      <c r="P349" s="15" t="s">
        <v>2642</v>
      </c>
      <c r="Q349" s="15" t="s">
        <v>2643</v>
      </c>
      <c r="R349" s="16">
        <v>44329</v>
      </c>
      <c r="S349" s="17" t="s">
        <v>256</v>
      </c>
      <c r="T349" s="20">
        <f>HYPERLINK("https://vnm.spiral.com.vn//uploaded/20210513/B4D9CA7F-5787-4A29-8AF3-529147119130.jpg","07:29:24")</f>
      </c>
      <c r="U349" s="20">
        <f>HYPERLINK("https://vnm.spiral.com.vn//uploaded/20210513/39939865-2CED-4C53-818D-1F509E6944BB.jpg","17:00:13")</f>
      </c>
      <c r="V349" s="18">
        <v>0.39640046296296294</v>
      </c>
      <c r="W349" s="15" t="s">
        <v>2644</v>
      </c>
      <c r="X349" s="15" t="s">
        <v>2645</v>
      </c>
      <c r="Y349" s="15" t="s">
        <v>35</v>
      </c>
      <c r="Z349" s="19">
        <v>0</v>
      </c>
      <c r="AA349" s="15">
        <v>0</v>
      </c>
      <c r="AB349" s="15" t="s">
        <v>35</v>
      </c>
    </row>
    <row r="350">
      <c r="A350" s="15">
        <v>346</v>
      </c>
      <c r="B350" s="15" t="s">
        <v>87</v>
      </c>
      <c r="C350" s="15" t="s">
        <v>88</v>
      </c>
      <c r="D350" s="15" t="s">
        <v>357</v>
      </c>
      <c r="E350" s="15" t="s">
        <v>90</v>
      </c>
      <c r="F350" s="15" t="s">
        <v>35</v>
      </c>
      <c r="G350" s="15" t="s">
        <v>74</v>
      </c>
      <c r="H350" s="15" t="s">
        <v>2646</v>
      </c>
      <c r="I350" s="15" t="s">
        <v>2647</v>
      </c>
      <c r="J350" s="15" t="s">
        <v>2648</v>
      </c>
      <c r="K350" s="15" t="s">
        <v>94</v>
      </c>
      <c r="L350" s="15" t="s">
        <v>95</v>
      </c>
      <c r="M350" s="15" t="s">
        <v>1554</v>
      </c>
      <c r="N350" s="15" t="s">
        <v>1555</v>
      </c>
      <c r="O350" s="15" t="s">
        <v>156</v>
      </c>
      <c r="P350" s="15" t="s">
        <v>2649</v>
      </c>
      <c r="Q350" s="15" t="s">
        <v>2650</v>
      </c>
      <c r="R350" s="16">
        <v>44329</v>
      </c>
      <c r="S350" s="17" t="s">
        <v>1835</v>
      </c>
      <c r="T350" s="20">
        <f>HYPERLINK("https://vnm.spiral.com.vn//uploaded/20210513/91B4C06B-4AA6-46F6-9523-6D15D2C8C174.jpg","07:51:20")</f>
      </c>
      <c r="U350" s="20">
        <f>HYPERLINK("https://vnm.spiral.com.vn//uploaded/20210513/1FBA8B78-DD28-45C7-991D-2A32FFB5776B.jpg","17:00:12")</f>
      </c>
      <c r="V350" s="18">
        <v>0.3811574074074074</v>
      </c>
      <c r="W350" s="15" t="s">
        <v>2651</v>
      </c>
      <c r="X350" s="15" t="s">
        <v>2652</v>
      </c>
      <c r="Y350" s="15" t="s">
        <v>35</v>
      </c>
      <c r="Z350" s="19">
        <v>0</v>
      </c>
      <c r="AA350" s="15">
        <v>0</v>
      </c>
      <c r="AB350" s="15" t="s">
        <v>35</v>
      </c>
    </row>
    <row r="351">
      <c r="A351" s="15">
        <v>347</v>
      </c>
      <c r="B351" s="15" t="s">
        <v>49</v>
      </c>
      <c r="C351" s="15" t="s">
        <v>1389</v>
      </c>
      <c r="D351" s="15" t="s">
        <v>357</v>
      </c>
      <c r="E351" s="15" t="s">
        <v>90</v>
      </c>
      <c r="F351" s="15" t="s">
        <v>35</v>
      </c>
      <c r="G351" s="15" t="s">
        <v>74</v>
      </c>
      <c r="H351" s="15" t="s">
        <v>2653</v>
      </c>
      <c r="I351" s="15" t="s">
        <v>2654</v>
      </c>
      <c r="J351" s="15" t="s">
        <v>2655</v>
      </c>
      <c r="K351" s="15" t="s">
        <v>168</v>
      </c>
      <c r="L351" s="15" t="s">
        <v>169</v>
      </c>
      <c r="M351" s="15" t="s">
        <v>2640</v>
      </c>
      <c r="N351" s="15" t="s">
        <v>2641</v>
      </c>
      <c r="O351" s="15" t="s">
        <v>82</v>
      </c>
      <c r="P351" s="15" t="s">
        <v>2656</v>
      </c>
      <c r="Q351" s="15" t="s">
        <v>2657</v>
      </c>
      <c r="R351" s="16">
        <v>44329</v>
      </c>
      <c r="S351" s="17" t="s">
        <v>70</v>
      </c>
      <c r="T351" s="20">
        <f>HYPERLINK("https://vnm.spiral.com.vn//uploaded/20210513/1f571d4a-fdcc-48f7-a45c-ee81ecb2f38f.JPEG","07:49:26")</f>
      </c>
      <c r="U351" s="20">
        <f>HYPERLINK("https://vnm.spiral.com.vn//uploaded/20210513/687b3582-4197-42c3-8ffe-58c32ba76aa6.JPEG","17:00:11")</f>
      </c>
      <c r="V351" s="18">
        <v>0.3824652777777778</v>
      </c>
      <c r="W351" s="15" t="s">
        <v>2658</v>
      </c>
      <c r="X351" s="15" t="s">
        <v>2659</v>
      </c>
      <c r="Y351" s="15" t="s">
        <v>35</v>
      </c>
      <c r="Z351" s="19">
        <v>0</v>
      </c>
      <c r="AA351" s="15">
        <v>0</v>
      </c>
      <c r="AB351" s="15" t="s">
        <v>35</v>
      </c>
    </row>
    <row r="352">
      <c r="A352" s="15">
        <v>348</v>
      </c>
      <c r="B352" s="15" t="s">
        <v>343</v>
      </c>
      <c r="C352" s="15" t="s">
        <v>344</v>
      </c>
      <c r="D352" s="15" t="s">
        <v>536</v>
      </c>
      <c r="E352" s="15" t="s">
        <v>116</v>
      </c>
      <c r="F352" s="15" t="s">
        <v>35</v>
      </c>
      <c r="G352" s="15" t="s">
        <v>74</v>
      </c>
      <c r="H352" s="15" t="s">
        <v>2660</v>
      </c>
      <c r="I352" s="15" t="s">
        <v>2661</v>
      </c>
      <c r="J352" s="15" t="s">
        <v>2662</v>
      </c>
      <c r="K352" s="15" t="s">
        <v>997</v>
      </c>
      <c r="L352" s="15" t="s">
        <v>998</v>
      </c>
      <c r="M352" s="15" t="s">
        <v>1325</v>
      </c>
      <c r="N352" s="15" t="s">
        <v>1326</v>
      </c>
      <c r="O352" s="15" t="s">
        <v>82</v>
      </c>
      <c r="P352" s="15" t="s">
        <v>2663</v>
      </c>
      <c r="Q352" s="15" t="s">
        <v>2664</v>
      </c>
      <c r="R352" s="16">
        <v>44329</v>
      </c>
      <c r="S352" s="17" t="s">
        <v>70</v>
      </c>
      <c r="T352" s="20">
        <f>HYPERLINK("https://vnm.spiral.com.vn//uploaded/20210513/E8637174-0698-444D-BA8B-745370948694.jpg","12:06:29")</f>
      </c>
      <c r="U352" s="20">
        <f>HYPERLINK("https://vnm.spiral.com.vn//uploaded/20210513/E7D7235C-9CED-47B9-BBBB-45C009A5430C.jpg","17:00:10")</f>
      </c>
      <c r="V352" s="18">
        <v>0.20394675925925926</v>
      </c>
      <c r="W352" s="15" t="s">
        <v>2665</v>
      </c>
      <c r="X352" s="15" t="s">
        <v>2666</v>
      </c>
      <c r="Y352" s="15" t="s">
        <v>35</v>
      </c>
      <c r="Z352" s="19">
        <v>0</v>
      </c>
      <c r="AA352" s="15">
        <v>0</v>
      </c>
      <c r="AB352" s="15" t="s">
        <v>35</v>
      </c>
    </row>
    <row r="353">
      <c r="A353" s="15">
        <v>349</v>
      </c>
      <c r="B353" s="15" t="s">
        <v>87</v>
      </c>
      <c r="C353" s="15" t="s">
        <v>88</v>
      </c>
      <c r="D353" s="15" t="s">
        <v>35</v>
      </c>
      <c r="E353" s="15" t="s">
        <v>35</v>
      </c>
      <c r="F353" s="15" t="s">
        <v>2667</v>
      </c>
      <c r="G353" s="15" t="s">
        <v>36</v>
      </c>
      <c r="H353" s="15" t="s">
        <v>2668</v>
      </c>
      <c r="I353" s="15" t="s">
        <v>2669</v>
      </c>
      <c r="J353" s="15" t="s">
        <v>2670</v>
      </c>
      <c r="K353" s="15" t="s">
        <v>40</v>
      </c>
      <c r="L353" s="15" t="s">
        <v>41</v>
      </c>
      <c r="M353" s="15" t="s">
        <v>1195</v>
      </c>
      <c r="N353" s="15" t="s">
        <v>1196</v>
      </c>
      <c r="O353" s="15" t="s">
        <v>44</v>
      </c>
      <c r="P353" s="15" t="s">
        <v>2671</v>
      </c>
      <c r="Q353" s="15" t="s">
        <v>2672</v>
      </c>
      <c r="R353" s="16">
        <v>44329</v>
      </c>
      <c r="S353" s="17" t="s">
        <v>1199</v>
      </c>
      <c r="T353" s="20">
        <f>HYPERLINK("https://vnm.spiral.com.vn//uploaded/20210513/091f5e98-052e-409f-a67f-b84023c961d5.JPEG","17:00:06")</f>
      </c>
      <c r="U353" s="18"/>
      <c r="V353" s="18" t="s">
        <v>35</v>
      </c>
      <c r="W353" s="15" t="s">
        <v>2673</v>
      </c>
      <c r="X353" s="15" t="s">
        <v>35</v>
      </c>
      <c r="Y353" s="15" t="s">
        <v>35</v>
      </c>
      <c r="Z353" s="19">
        <v>0</v>
      </c>
      <c r="AA353" s="15">
        <v>0</v>
      </c>
      <c r="AB353" s="15" t="s">
        <v>35</v>
      </c>
    </row>
    <row r="354">
      <c r="A354" s="15">
        <v>350</v>
      </c>
      <c r="B354" s="15" t="s">
        <v>87</v>
      </c>
      <c r="C354" s="15" t="s">
        <v>88</v>
      </c>
      <c r="D354" s="15" t="s">
        <v>115</v>
      </c>
      <c r="E354" s="15" t="s">
        <v>116</v>
      </c>
      <c r="F354" s="15" t="s">
        <v>35</v>
      </c>
      <c r="G354" s="15" t="s">
        <v>74</v>
      </c>
      <c r="H354" s="15" t="s">
        <v>2674</v>
      </c>
      <c r="I354" s="15" t="s">
        <v>2675</v>
      </c>
      <c r="J354" s="15" t="s">
        <v>2676</v>
      </c>
      <c r="K354" s="15" t="s">
        <v>120</v>
      </c>
      <c r="L354" s="15" t="s">
        <v>121</v>
      </c>
      <c r="M354" s="15" t="s">
        <v>122</v>
      </c>
      <c r="N354" s="15" t="s">
        <v>123</v>
      </c>
      <c r="O354" s="15" t="s">
        <v>82</v>
      </c>
      <c r="P354" s="15" t="s">
        <v>2677</v>
      </c>
      <c r="Q354" s="15" t="s">
        <v>2678</v>
      </c>
      <c r="R354" s="16">
        <v>44329</v>
      </c>
      <c r="S354" s="17" t="s">
        <v>70</v>
      </c>
      <c r="T354" s="20">
        <f>HYPERLINK("https://vnm.spiral.com.vn//uploaded/20210513/6b59fdfc-c764-4221-9c4c-a7c8af2a38f9.jpg","16:08:16")</f>
      </c>
      <c r="U354" s="20">
        <f>HYPERLINK("https://vnm.spiral.com.vn//uploaded/20210513/b9327509-076b-4108-9a95-5eccb928e680.jpg","17:00:05")</f>
      </c>
      <c r="V354" s="18">
        <v>0.0359837962962963</v>
      </c>
      <c r="W354" s="15" t="s">
        <v>2679</v>
      </c>
      <c r="X354" s="15" t="s">
        <v>2680</v>
      </c>
      <c r="Y354" s="15" t="s">
        <v>35</v>
      </c>
      <c r="Z354" s="19">
        <v>0</v>
      </c>
      <c r="AA354" s="15">
        <v>0</v>
      </c>
      <c r="AB354" s="15" t="s">
        <v>35</v>
      </c>
    </row>
    <row r="355">
      <c r="A355" s="15">
        <v>351</v>
      </c>
      <c r="B355" s="15" t="s">
        <v>87</v>
      </c>
      <c r="C355" s="15" t="s">
        <v>88</v>
      </c>
      <c r="D355" s="15" t="s">
        <v>35</v>
      </c>
      <c r="E355" s="15" t="s">
        <v>35</v>
      </c>
      <c r="F355" s="15" t="s">
        <v>1191</v>
      </c>
      <c r="G355" s="15" t="s">
        <v>36</v>
      </c>
      <c r="H355" s="15" t="s">
        <v>2681</v>
      </c>
      <c r="I355" s="15" t="s">
        <v>2682</v>
      </c>
      <c r="J355" s="15" t="s">
        <v>2683</v>
      </c>
      <c r="K355" s="15" t="s">
        <v>40</v>
      </c>
      <c r="L355" s="15" t="s">
        <v>41</v>
      </c>
      <c r="M355" s="15" t="s">
        <v>1195</v>
      </c>
      <c r="N355" s="15" t="s">
        <v>1196</v>
      </c>
      <c r="O355" s="15" t="s">
        <v>44</v>
      </c>
      <c r="P355" s="15" t="s">
        <v>2684</v>
      </c>
      <c r="Q355" s="15" t="s">
        <v>2685</v>
      </c>
      <c r="R355" s="16">
        <v>44329</v>
      </c>
      <c r="S355" s="17" t="s">
        <v>1199</v>
      </c>
      <c r="T355" s="20">
        <f>HYPERLINK("https://vnm.spiral.com.vn//uploaded/20210513/348FF008-147F-48A6-A0B0-AD982DABAC86.jpg","17:00:04")</f>
      </c>
      <c r="U355" s="18"/>
      <c r="V355" s="18" t="s">
        <v>35</v>
      </c>
      <c r="W355" s="15" t="s">
        <v>2686</v>
      </c>
      <c r="X355" s="15" t="s">
        <v>35</v>
      </c>
      <c r="Y355" s="15" t="s">
        <v>35</v>
      </c>
      <c r="Z355" s="19">
        <v>0</v>
      </c>
      <c r="AA355" s="15">
        <v>0</v>
      </c>
      <c r="AB355" s="15" t="s">
        <v>35</v>
      </c>
    </row>
    <row r="356">
      <c r="A356" s="15">
        <v>352</v>
      </c>
      <c r="B356" s="15" t="s">
        <v>87</v>
      </c>
      <c r="C356" s="15" t="s">
        <v>88</v>
      </c>
      <c r="D356" s="15" t="s">
        <v>610</v>
      </c>
      <c r="E356" s="15" t="s">
        <v>90</v>
      </c>
      <c r="F356" s="15" t="s">
        <v>35</v>
      </c>
      <c r="G356" s="15" t="s">
        <v>74</v>
      </c>
      <c r="H356" s="15" t="s">
        <v>2687</v>
      </c>
      <c r="I356" s="15" t="s">
        <v>2688</v>
      </c>
      <c r="J356" s="15" t="s">
        <v>2689</v>
      </c>
      <c r="K356" s="15" t="s">
        <v>614</v>
      </c>
      <c r="L356" s="15" t="s">
        <v>615</v>
      </c>
      <c r="M356" s="15" t="s">
        <v>616</v>
      </c>
      <c r="N356" s="15" t="s">
        <v>617</v>
      </c>
      <c r="O356" s="15" t="s">
        <v>156</v>
      </c>
      <c r="P356" s="15" t="s">
        <v>2690</v>
      </c>
      <c r="Q356" s="15" t="s">
        <v>2691</v>
      </c>
      <c r="R356" s="16">
        <v>44329</v>
      </c>
      <c r="S356" s="17" t="s">
        <v>70</v>
      </c>
      <c r="T356" s="20">
        <f>HYPERLINK("https://vnm.spiral.com.vn//uploaded/20210513/7092A912-3C3F-4FB3-94F4-D48061B10EB9.jpg","08:04:07")</f>
      </c>
      <c r="U356" s="20">
        <f>HYPERLINK("https://vnm.spiral.com.vn//uploaded/20210513/8D8762ED-0D1D-4653-AB45-023012F51C6A.jpg","17:00:04")</f>
      </c>
      <c r="V356" s="18">
        <v>0.3721875</v>
      </c>
      <c r="W356" s="15" t="s">
        <v>2692</v>
      </c>
      <c r="X356" s="15" t="s">
        <v>2693</v>
      </c>
      <c r="Y356" s="15" t="s">
        <v>35</v>
      </c>
      <c r="Z356" s="19">
        <v>0</v>
      </c>
      <c r="AA356" s="15">
        <v>0</v>
      </c>
      <c r="AB356" s="15" t="s">
        <v>35</v>
      </c>
    </row>
    <row r="357">
      <c r="A357" s="15">
        <v>353</v>
      </c>
      <c r="B357" s="15" t="s">
        <v>343</v>
      </c>
      <c r="C357" s="15" t="s">
        <v>344</v>
      </c>
      <c r="D357" s="15" t="s">
        <v>357</v>
      </c>
      <c r="E357" s="15" t="s">
        <v>90</v>
      </c>
      <c r="F357" s="15" t="s">
        <v>35</v>
      </c>
      <c r="G357" s="15" t="s">
        <v>74</v>
      </c>
      <c r="H357" s="15" t="s">
        <v>912</v>
      </c>
      <c r="I357" s="15" t="s">
        <v>913</v>
      </c>
      <c r="J357" s="15" t="s">
        <v>914</v>
      </c>
      <c r="K357" s="15" t="s">
        <v>361</v>
      </c>
      <c r="L357" s="15" t="s">
        <v>362</v>
      </c>
      <c r="M357" s="15" t="s">
        <v>917</v>
      </c>
      <c r="N357" s="15" t="s">
        <v>918</v>
      </c>
      <c r="O357" s="15" t="s">
        <v>156</v>
      </c>
      <c r="P357" s="15" t="s">
        <v>2694</v>
      </c>
      <c r="Q357" s="15" t="s">
        <v>2695</v>
      </c>
      <c r="R357" s="16">
        <v>44329</v>
      </c>
      <c r="S357" s="17" t="s">
        <v>70</v>
      </c>
      <c r="T357" s="20">
        <f>HYPERLINK("https://vnm.spiral.com.vn//uploaded/20210513/be01f40f-49df-4aa4-ae71-1df736bcfe09.JPEG","07:54:41")</f>
      </c>
      <c r="U357" s="20">
        <f>HYPERLINK("https://vnm.spiral.com.vn//uploaded/20210513/671b570a-a97b-4b30-97f9-84db7fa47b40.JPEG","17:00:00")</f>
      </c>
      <c r="V357" s="18">
        <v>0.3786921296296296</v>
      </c>
      <c r="W357" s="15" t="s">
        <v>2696</v>
      </c>
      <c r="X357" s="15" t="s">
        <v>2697</v>
      </c>
      <c r="Y357" s="15" t="s">
        <v>35</v>
      </c>
      <c r="Z357" s="19">
        <v>0</v>
      </c>
      <c r="AA357" s="15">
        <v>0</v>
      </c>
      <c r="AB357" s="15" t="s">
        <v>35</v>
      </c>
    </row>
    <row r="358">
      <c r="A358" s="15">
        <v>354</v>
      </c>
      <c r="B358" s="15" t="s">
        <v>343</v>
      </c>
      <c r="C358" s="15" t="s">
        <v>2069</v>
      </c>
      <c r="D358" s="15" t="s">
        <v>35</v>
      </c>
      <c r="E358" s="15" t="s">
        <v>35</v>
      </c>
      <c r="F358" s="15" t="s">
        <v>35</v>
      </c>
      <c r="G358" s="15" t="s">
        <v>36</v>
      </c>
      <c r="H358" s="15" t="s">
        <v>2698</v>
      </c>
      <c r="I358" s="15" t="s">
        <v>2699</v>
      </c>
      <c r="J358" s="15" t="s">
        <v>2700</v>
      </c>
      <c r="K358" s="15" t="s">
        <v>40</v>
      </c>
      <c r="L358" s="15" t="s">
        <v>41</v>
      </c>
      <c r="M358" s="15" t="s">
        <v>595</v>
      </c>
      <c r="N358" s="15" t="s">
        <v>596</v>
      </c>
      <c r="O358" s="15" t="s">
        <v>44</v>
      </c>
      <c r="P358" s="15" t="s">
        <v>2701</v>
      </c>
      <c r="Q358" s="15" t="s">
        <v>2702</v>
      </c>
      <c r="R358" s="16">
        <v>44329</v>
      </c>
      <c r="S358" s="17" t="s">
        <v>2703</v>
      </c>
      <c r="T358" s="20">
        <f>HYPERLINK("https://vnm.spiral.com.vn//uploaded/20210513/59FEB00F-39D1-440E-93A6-B72B3D984C84.jpg","14:27:04")</f>
      </c>
      <c r="U358" s="20">
        <f>HYPERLINK("https://vnm.spiral.com.vn//uploaded/20210513/9E550AA4-BAC7-413E-B58C-382781E2A433.jpg","16:59:48")</f>
      </c>
      <c r="V358" s="18">
        <v>0.10606481481481482</v>
      </c>
      <c r="W358" s="15" t="s">
        <v>2704</v>
      </c>
      <c r="X358" s="15" t="s">
        <v>2705</v>
      </c>
      <c r="Y358" s="15" t="s">
        <v>35</v>
      </c>
      <c r="Z358" s="19">
        <v>0</v>
      </c>
      <c r="AA358" s="15">
        <v>0</v>
      </c>
      <c r="AB358" s="15" t="s">
        <v>35</v>
      </c>
    </row>
    <row r="359">
      <c r="A359" s="15">
        <v>355</v>
      </c>
      <c r="B359" s="15" t="s">
        <v>343</v>
      </c>
      <c r="C359" s="15" t="s">
        <v>2135</v>
      </c>
      <c r="D359" s="15" t="s">
        <v>35</v>
      </c>
      <c r="E359" s="15" t="s">
        <v>35</v>
      </c>
      <c r="F359" s="15" t="s">
        <v>2706</v>
      </c>
      <c r="G359" s="15" t="s">
        <v>36</v>
      </c>
      <c r="H359" s="15" t="s">
        <v>2707</v>
      </c>
      <c r="I359" s="15" t="s">
        <v>2708</v>
      </c>
      <c r="J359" s="15" t="s">
        <v>2709</v>
      </c>
      <c r="K359" s="15" t="s">
        <v>40</v>
      </c>
      <c r="L359" s="15" t="s">
        <v>41</v>
      </c>
      <c r="M359" s="15" t="s">
        <v>409</v>
      </c>
      <c r="N359" s="15" t="s">
        <v>410</v>
      </c>
      <c r="O359" s="15" t="s">
        <v>44</v>
      </c>
      <c r="P359" s="15" t="s">
        <v>2710</v>
      </c>
      <c r="Q359" s="15" t="s">
        <v>2711</v>
      </c>
      <c r="R359" s="16">
        <v>44329</v>
      </c>
      <c r="S359" s="17" t="s">
        <v>70</v>
      </c>
      <c r="T359" s="20">
        <f>HYPERLINK("https://vnm.spiral.com.vn//uploaded/20210513/412f5658-02cf-493d-9bc1-d0016a9cb273.JPEG","07:58:03")</f>
      </c>
      <c r="U359" s="20">
        <f>HYPERLINK("https://vnm.spiral.com.vn//uploaded/20210513/bf0297a2-caf7-40fd-a333-d5539ad84ae5.JPEG","16:59:44")</f>
      </c>
      <c r="V359" s="18">
        <v>0.3761689814814815</v>
      </c>
      <c r="W359" s="15" t="s">
        <v>2712</v>
      </c>
      <c r="X359" s="15" t="s">
        <v>2713</v>
      </c>
      <c r="Y359" s="15" t="s">
        <v>35</v>
      </c>
      <c r="Z359" s="19">
        <v>0</v>
      </c>
      <c r="AA359" s="15">
        <v>0</v>
      </c>
      <c r="AB359" s="15" t="s">
        <v>35</v>
      </c>
    </row>
    <row r="360">
      <c r="A360" s="15">
        <v>356</v>
      </c>
      <c r="B360" s="15" t="s">
        <v>343</v>
      </c>
      <c r="C360" s="15" t="s">
        <v>344</v>
      </c>
      <c r="D360" s="15" t="s">
        <v>35</v>
      </c>
      <c r="E360" s="15" t="s">
        <v>35</v>
      </c>
      <c r="F360" s="15" t="s">
        <v>35</v>
      </c>
      <c r="G360" s="15" t="s">
        <v>74</v>
      </c>
      <c r="H360" s="15" t="s">
        <v>2714</v>
      </c>
      <c r="I360" s="15" t="s">
        <v>2715</v>
      </c>
      <c r="J360" s="15" t="s">
        <v>2716</v>
      </c>
      <c r="K360" s="15" t="s">
        <v>584</v>
      </c>
      <c r="L360" s="15" t="s">
        <v>585</v>
      </c>
      <c r="M360" s="15" t="s">
        <v>827</v>
      </c>
      <c r="N360" s="15" t="s">
        <v>828</v>
      </c>
      <c r="O360" s="15" t="s">
        <v>82</v>
      </c>
      <c r="P360" s="15" t="s">
        <v>2717</v>
      </c>
      <c r="Q360" s="15" t="s">
        <v>2718</v>
      </c>
      <c r="R360" s="16">
        <v>44329</v>
      </c>
      <c r="S360" s="17" t="s">
        <v>70</v>
      </c>
      <c r="T360" s="20">
        <f>HYPERLINK("https://vnm.spiral.com.vn//uploaded/20210513/B99A27A7-5FAF-4C2C-8B93-AAC648394937.jpg","16:32:05")</f>
      </c>
      <c r="U360" s="20">
        <f>HYPERLINK("https://vnm.spiral.com.vn//uploaded/20210513/12F43C7C-FA33-4B21-9CA4-A278561263B7.jpg","16:59:44")</f>
      </c>
      <c r="V360" s="18">
        <v>0.01920138888888889</v>
      </c>
      <c r="W360" s="15" t="s">
        <v>2719</v>
      </c>
      <c r="X360" s="15" t="s">
        <v>2720</v>
      </c>
      <c r="Y360" s="15" t="s">
        <v>35</v>
      </c>
      <c r="Z360" s="19">
        <v>0</v>
      </c>
      <c r="AA360" s="15">
        <v>0</v>
      </c>
      <c r="AB360" s="15" t="s">
        <v>35</v>
      </c>
    </row>
    <row r="361">
      <c r="A361" s="15">
        <v>357</v>
      </c>
      <c r="B361" s="15" t="s">
        <v>87</v>
      </c>
      <c r="C361" s="15" t="s">
        <v>88</v>
      </c>
      <c r="D361" s="15" t="s">
        <v>35</v>
      </c>
      <c r="E361" s="15" t="s">
        <v>35</v>
      </c>
      <c r="F361" s="15" t="s">
        <v>2721</v>
      </c>
      <c r="G361" s="15" t="s">
        <v>36</v>
      </c>
      <c r="H361" s="15" t="s">
        <v>2722</v>
      </c>
      <c r="I361" s="15" t="s">
        <v>2723</v>
      </c>
      <c r="J361" s="15" t="s">
        <v>2724</v>
      </c>
      <c r="K361" s="15" t="s">
        <v>40</v>
      </c>
      <c r="L361" s="15" t="s">
        <v>41</v>
      </c>
      <c r="M361" s="15" t="s">
        <v>1195</v>
      </c>
      <c r="N361" s="15" t="s">
        <v>1196</v>
      </c>
      <c r="O361" s="15" t="s">
        <v>44</v>
      </c>
      <c r="P361" s="15" t="s">
        <v>2725</v>
      </c>
      <c r="Q361" s="15" t="s">
        <v>2726</v>
      </c>
      <c r="R361" s="16">
        <v>44329</v>
      </c>
      <c r="S361" s="17" t="s">
        <v>2727</v>
      </c>
      <c r="T361" s="20">
        <f>HYPERLINK("https://vnm.spiral.com.vn//uploaded/20210513/1a1d2680-e026-4ee2-856b-10f69e848d74.JPEG","16:59:43")</f>
      </c>
      <c r="U361" s="18"/>
      <c r="V361" s="18" t="s">
        <v>35</v>
      </c>
      <c r="W361" s="15" t="s">
        <v>2728</v>
      </c>
      <c r="X361" s="15" t="s">
        <v>35</v>
      </c>
      <c r="Y361" s="15" t="s">
        <v>35</v>
      </c>
      <c r="Z361" s="19">
        <v>0</v>
      </c>
      <c r="AA361" s="15">
        <v>0</v>
      </c>
      <c r="AB361" s="15" t="s">
        <v>35</v>
      </c>
    </row>
    <row r="362">
      <c r="A362" s="15">
        <v>358</v>
      </c>
      <c r="B362" s="15" t="s">
        <v>61</v>
      </c>
      <c r="C362" s="15" t="s">
        <v>712</v>
      </c>
      <c r="D362" s="15" t="s">
        <v>89</v>
      </c>
      <c r="E362" s="15" t="s">
        <v>90</v>
      </c>
      <c r="F362" s="15" t="s">
        <v>35</v>
      </c>
      <c r="G362" s="15" t="s">
        <v>74</v>
      </c>
      <c r="H362" s="15" t="s">
        <v>775</v>
      </c>
      <c r="I362" s="15" t="s">
        <v>776</v>
      </c>
      <c r="J362" s="15" t="s">
        <v>777</v>
      </c>
      <c r="K362" s="15" t="s">
        <v>309</v>
      </c>
      <c r="L362" s="15" t="s">
        <v>310</v>
      </c>
      <c r="M362" s="15" t="s">
        <v>778</v>
      </c>
      <c r="N362" s="15" t="s">
        <v>779</v>
      </c>
      <c r="O362" s="15" t="s">
        <v>156</v>
      </c>
      <c r="P362" s="15" t="s">
        <v>2729</v>
      </c>
      <c r="Q362" s="15" t="s">
        <v>2730</v>
      </c>
      <c r="R362" s="16">
        <v>44329</v>
      </c>
      <c r="S362" s="17" t="s">
        <v>1199</v>
      </c>
      <c r="T362" s="20">
        <f>HYPERLINK("https://vnm.spiral.com.vn//uploaded/20210513/81D3A0F3-19E3-4DED-B864-8A123B8762C5.jpg","16:58:54")</f>
      </c>
      <c r="U362" s="18"/>
      <c r="V362" s="18" t="s">
        <v>35</v>
      </c>
      <c r="W362" s="15" t="s">
        <v>2731</v>
      </c>
      <c r="X362" s="15" t="s">
        <v>35</v>
      </c>
      <c r="Y362" s="15" t="s">
        <v>35</v>
      </c>
      <c r="Z362" s="19">
        <v>0</v>
      </c>
      <c r="AA362" s="15">
        <v>0</v>
      </c>
      <c r="AB362" s="15" t="s">
        <v>35</v>
      </c>
    </row>
    <row r="363">
      <c r="A363" s="15">
        <v>359</v>
      </c>
      <c r="B363" s="15" t="s">
        <v>87</v>
      </c>
      <c r="C363" s="15" t="s">
        <v>88</v>
      </c>
      <c r="D363" s="15" t="s">
        <v>89</v>
      </c>
      <c r="E363" s="15" t="s">
        <v>90</v>
      </c>
      <c r="F363" s="15" t="s">
        <v>35</v>
      </c>
      <c r="G363" s="15" t="s">
        <v>74</v>
      </c>
      <c r="H363" s="15" t="s">
        <v>2732</v>
      </c>
      <c r="I363" s="15" t="s">
        <v>2733</v>
      </c>
      <c r="J363" s="15" t="s">
        <v>2734</v>
      </c>
      <c r="K363" s="15" t="s">
        <v>96</v>
      </c>
      <c r="L363" s="15" t="s">
        <v>97</v>
      </c>
      <c r="M363" s="15" t="s">
        <v>706</v>
      </c>
      <c r="N363" s="15" t="s">
        <v>707</v>
      </c>
      <c r="O363" s="15" t="s">
        <v>156</v>
      </c>
      <c r="P363" s="15" t="s">
        <v>2735</v>
      </c>
      <c r="Q363" s="15" t="s">
        <v>2736</v>
      </c>
      <c r="R363" s="16">
        <v>44329</v>
      </c>
      <c r="S363" s="17" t="s">
        <v>70</v>
      </c>
      <c r="T363" s="20">
        <f>HYPERLINK("https://vnm.spiral.com.vn//uploaded/20210513/1894e4c2-c974-4c57-b987-877d64042e4e.jpg","07:52:16")</f>
      </c>
      <c r="U363" s="20">
        <f>HYPERLINK("https://vnm.spiral.com.vn//uploaded/20210513/c7e60d95-da98-49e3-9b72-7d8e3635c5c3.jpg","16:58:52")</f>
      </c>
      <c r="V363" s="18">
        <v>0.37958333333333333</v>
      </c>
      <c r="W363" s="15" t="s">
        <v>2737</v>
      </c>
      <c r="X363" s="15" t="s">
        <v>2738</v>
      </c>
      <c r="Y363" s="15" t="s">
        <v>35</v>
      </c>
      <c r="Z363" s="19">
        <v>0</v>
      </c>
      <c r="AA363" s="15">
        <v>0</v>
      </c>
      <c r="AB363" s="15" t="s">
        <v>35</v>
      </c>
    </row>
    <row r="364">
      <c r="A364" s="15">
        <v>360</v>
      </c>
      <c r="B364" s="15" t="s">
        <v>49</v>
      </c>
      <c r="C364" s="15" t="s">
        <v>162</v>
      </c>
      <c r="D364" s="15" t="s">
        <v>35</v>
      </c>
      <c r="E364" s="15" t="s">
        <v>35</v>
      </c>
      <c r="F364" s="15" t="s">
        <v>833</v>
      </c>
      <c r="G364" s="15" t="s">
        <v>36</v>
      </c>
      <c r="H364" s="15" t="s">
        <v>2739</v>
      </c>
      <c r="I364" s="15" t="s">
        <v>2740</v>
      </c>
      <c r="J364" s="15" t="s">
        <v>2741</v>
      </c>
      <c r="K364" s="15" t="s">
        <v>40</v>
      </c>
      <c r="L364" s="15" t="s">
        <v>41</v>
      </c>
      <c r="M364" s="15" t="s">
        <v>55</v>
      </c>
      <c r="N364" s="15" t="s">
        <v>56</v>
      </c>
      <c r="O364" s="15" t="s">
        <v>44</v>
      </c>
      <c r="P364" s="15" t="s">
        <v>2742</v>
      </c>
      <c r="Q364" s="15" t="s">
        <v>2743</v>
      </c>
      <c r="R364" s="16">
        <v>44329</v>
      </c>
      <c r="S364" s="17" t="s">
        <v>59</v>
      </c>
      <c r="T364" s="20">
        <f>HYPERLINK("https://vnm.spiral.com.vn//uploaded/20210513/83d84baa-3fe7-4774-98b9-7be46b67a291.JPEG","12:55:41")</f>
      </c>
      <c r="U364" s="20">
        <f>HYPERLINK("https://vnm.spiral.com.vn//uploaded/20210513/2b0f9eda-cda7-4882-b27e-62e8af65e3e1.JPEG","16:58:37")</f>
      </c>
      <c r="V364" s="18">
        <v>0.16870370370370372</v>
      </c>
      <c r="W364" s="15" t="s">
        <v>2744</v>
      </c>
      <c r="X364" s="15" t="s">
        <v>2745</v>
      </c>
      <c r="Y364" s="15" t="s">
        <v>35</v>
      </c>
      <c r="Z364" s="19">
        <v>0</v>
      </c>
      <c r="AA364" s="15">
        <v>0</v>
      </c>
      <c r="AB364" s="15" t="s">
        <v>35</v>
      </c>
    </row>
    <row r="365">
      <c r="A365" s="15">
        <v>361</v>
      </c>
      <c r="B365" s="15" t="s">
        <v>61</v>
      </c>
      <c r="C365" s="15" t="s">
        <v>737</v>
      </c>
      <c r="D365" s="15" t="s">
        <v>35</v>
      </c>
      <c r="E365" s="15" t="s">
        <v>35</v>
      </c>
      <c r="F365" s="15" t="s">
        <v>35</v>
      </c>
      <c r="G365" s="15" t="s">
        <v>36</v>
      </c>
      <c r="H365" s="15" t="s">
        <v>2746</v>
      </c>
      <c r="I365" s="15" t="s">
        <v>2747</v>
      </c>
      <c r="J365" s="15" t="s">
        <v>2748</v>
      </c>
      <c r="K365" s="15" t="s">
        <v>40</v>
      </c>
      <c r="L365" s="15" t="s">
        <v>41</v>
      </c>
      <c r="M365" s="15" t="s">
        <v>205</v>
      </c>
      <c r="N365" s="15" t="s">
        <v>206</v>
      </c>
      <c r="O365" s="15" t="s">
        <v>44</v>
      </c>
      <c r="P365" s="15" t="s">
        <v>2749</v>
      </c>
      <c r="Q365" s="15" t="s">
        <v>2750</v>
      </c>
      <c r="R365" s="16">
        <v>44329</v>
      </c>
      <c r="S365" s="17" t="s">
        <v>70</v>
      </c>
      <c r="T365" s="20">
        <f>HYPERLINK("https://vnm.spiral.com.vn//uploaded/20210513/07ef610d-0fcc-409f-9391-842ff22d54f3.JPEG","07:53:11")</f>
      </c>
      <c r="U365" s="20">
        <f>HYPERLINK("https://vnm.spiral.com.vn//uploaded/20210513/5ec5ffbf-2881-4ff1-b6bd-74036c68032f.JPEG","16:57:23")</f>
      </c>
      <c r="V365" s="18">
        <v>0.3779166666666667</v>
      </c>
      <c r="W365" s="15" t="s">
        <v>2751</v>
      </c>
      <c r="X365" s="15" t="s">
        <v>2752</v>
      </c>
      <c r="Y365" s="15" t="s">
        <v>35</v>
      </c>
      <c r="Z365" s="19">
        <v>0</v>
      </c>
      <c r="AA365" s="15">
        <v>0</v>
      </c>
      <c r="AB365" s="15" t="s">
        <v>35</v>
      </c>
    </row>
    <row r="366">
      <c r="A366" s="15">
        <v>362</v>
      </c>
      <c r="B366" s="15" t="s">
        <v>61</v>
      </c>
      <c r="C366" s="15" t="s">
        <v>1730</v>
      </c>
      <c r="D366" s="15" t="s">
        <v>89</v>
      </c>
      <c r="E366" s="15" t="s">
        <v>90</v>
      </c>
      <c r="F366" s="15" t="s">
        <v>35</v>
      </c>
      <c r="G366" s="15" t="s">
        <v>74</v>
      </c>
      <c r="H366" s="15" t="s">
        <v>2753</v>
      </c>
      <c r="I366" s="15" t="s">
        <v>2754</v>
      </c>
      <c r="J366" s="15" t="s">
        <v>2755</v>
      </c>
      <c r="K366" s="15" t="s">
        <v>309</v>
      </c>
      <c r="L366" s="15" t="s">
        <v>310</v>
      </c>
      <c r="M366" s="15" t="s">
        <v>778</v>
      </c>
      <c r="N366" s="15" t="s">
        <v>779</v>
      </c>
      <c r="O366" s="15" t="s">
        <v>156</v>
      </c>
      <c r="P366" s="15" t="s">
        <v>2756</v>
      </c>
      <c r="Q366" s="15" t="s">
        <v>1009</v>
      </c>
      <c r="R366" s="16">
        <v>44329</v>
      </c>
      <c r="S366" s="17" t="s">
        <v>256</v>
      </c>
      <c r="T366" s="20">
        <f>HYPERLINK("https://vnm.spiral.com.vn//uploaded/20210513/98590ce6-b2e9-4db9-969c-19dac347344d.JPEG","07:24:28")</f>
      </c>
      <c r="U366" s="20">
        <f>HYPERLINK("https://vnm.spiral.com.vn//uploaded/20210513/e91fb05d-48e0-4423-8cb9-f02e8ed1307e.JPEG","16:57:23")</f>
      </c>
      <c r="V366" s="18">
        <v>0.3978587962962963</v>
      </c>
      <c r="W366" s="15" t="s">
        <v>2757</v>
      </c>
      <c r="X366" s="15" t="s">
        <v>2758</v>
      </c>
      <c r="Y366" s="15" t="s">
        <v>35</v>
      </c>
      <c r="Z366" s="19">
        <v>0</v>
      </c>
      <c r="AA366" s="15">
        <v>0</v>
      </c>
      <c r="AB366" s="15" t="s">
        <v>35</v>
      </c>
    </row>
    <row r="367">
      <c r="A367" s="15">
        <v>363</v>
      </c>
      <c r="B367" s="15" t="s">
        <v>246</v>
      </c>
      <c r="C367" s="15" t="s">
        <v>259</v>
      </c>
      <c r="D367" s="15" t="s">
        <v>35</v>
      </c>
      <c r="E367" s="15" t="s">
        <v>35</v>
      </c>
      <c r="F367" s="15" t="s">
        <v>1352</v>
      </c>
      <c r="G367" s="15" t="s">
        <v>36</v>
      </c>
      <c r="H367" s="15" t="s">
        <v>2759</v>
      </c>
      <c r="I367" s="15" t="s">
        <v>2760</v>
      </c>
      <c r="J367" s="15" t="s">
        <v>2761</v>
      </c>
      <c r="K367" s="15" t="s">
        <v>40</v>
      </c>
      <c r="L367" s="15" t="s">
        <v>41</v>
      </c>
      <c r="M367" s="15" t="s">
        <v>252</v>
      </c>
      <c r="N367" s="15" t="s">
        <v>253</v>
      </c>
      <c r="O367" s="15" t="s">
        <v>44</v>
      </c>
      <c r="P367" s="15" t="s">
        <v>2762</v>
      </c>
      <c r="Q367" s="15" t="s">
        <v>2763</v>
      </c>
      <c r="R367" s="16">
        <v>44329</v>
      </c>
      <c r="S367" s="17" t="s">
        <v>243</v>
      </c>
      <c r="T367" s="20">
        <f>HYPERLINK("https://vnm.spiral.com.vn//uploaded/20210513/f7125152-7ff3-4e89-a1f3-10d96f3efdec.JPEG","07:15:54")</f>
      </c>
      <c r="U367" s="20">
        <f>HYPERLINK("https://vnm.spiral.com.vn//uploaded/20210513/8d8376e1-4271-4c64-b3b3-413fba78f478.JPEG","16:57:20")</f>
      </c>
      <c r="V367" s="18">
        <v>0.40377314814814813</v>
      </c>
      <c r="W367" s="15" t="s">
        <v>2764</v>
      </c>
      <c r="X367" s="15" t="s">
        <v>2765</v>
      </c>
      <c r="Y367" s="15" t="s">
        <v>35</v>
      </c>
      <c r="Z367" s="19">
        <v>0</v>
      </c>
      <c r="AA367" s="15">
        <v>0</v>
      </c>
      <c r="AB367" s="15" t="s">
        <v>35</v>
      </c>
    </row>
    <row r="368">
      <c r="A368" s="15">
        <v>364</v>
      </c>
      <c r="B368" s="15" t="s">
        <v>49</v>
      </c>
      <c r="C368" s="15" t="s">
        <v>162</v>
      </c>
      <c r="D368" s="15" t="s">
        <v>35</v>
      </c>
      <c r="E368" s="15" t="s">
        <v>35</v>
      </c>
      <c r="F368" s="15" t="s">
        <v>1850</v>
      </c>
      <c r="G368" s="15" t="s">
        <v>36</v>
      </c>
      <c r="H368" s="15" t="s">
        <v>2766</v>
      </c>
      <c r="I368" s="15" t="s">
        <v>2767</v>
      </c>
      <c r="J368" s="15" t="s">
        <v>2768</v>
      </c>
      <c r="K368" s="15" t="s">
        <v>40</v>
      </c>
      <c r="L368" s="15" t="s">
        <v>41</v>
      </c>
      <c r="M368" s="15" t="s">
        <v>55</v>
      </c>
      <c r="N368" s="15" t="s">
        <v>56</v>
      </c>
      <c r="O368" s="15" t="s">
        <v>44</v>
      </c>
      <c r="P368" s="15" t="s">
        <v>2769</v>
      </c>
      <c r="Q368" s="15" t="s">
        <v>2770</v>
      </c>
      <c r="R368" s="16">
        <v>44329</v>
      </c>
      <c r="S368" s="17" t="s">
        <v>1112</v>
      </c>
      <c r="T368" s="20">
        <f>HYPERLINK("https://vnm.spiral.com.vn//uploaded/20210513/eaf98048-57af-4c68-9517-2cc1cf891640.JPEG","07:28:18")</f>
      </c>
      <c r="U368" s="20">
        <f>HYPERLINK("https://vnm.spiral.com.vn//uploaded/20210513/7f2e0af7-2eba-416b-88d8-f16f3e0c1801.JPEG","16:56:59")</f>
      </c>
      <c r="V368" s="18">
        <v>0.39491898148148147</v>
      </c>
      <c r="W368" s="15" t="s">
        <v>2771</v>
      </c>
      <c r="X368" s="15" t="s">
        <v>2772</v>
      </c>
      <c r="Y368" s="15" t="s">
        <v>35</v>
      </c>
      <c r="Z368" s="19">
        <v>0</v>
      </c>
      <c r="AA368" s="15">
        <v>0</v>
      </c>
      <c r="AB368" s="15" t="s">
        <v>35</v>
      </c>
    </row>
    <row r="369">
      <c r="A369" s="15">
        <v>365</v>
      </c>
      <c r="B369" s="15" t="s">
        <v>87</v>
      </c>
      <c r="C369" s="15" t="s">
        <v>88</v>
      </c>
      <c r="D369" s="15" t="s">
        <v>35</v>
      </c>
      <c r="E369" s="15" t="s">
        <v>35</v>
      </c>
      <c r="F369" s="15" t="s">
        <v>2773</v>
      </c>
      <c r="G369" s="15" t="s">
        <v>36</v>
      </c>
      <c r="H369" s="15" t="s">
        <v>2774</v>
      </c>
      <c r="I369" s="15" t="s">
        <v>2775</v>
      </c>
      <c r="J369" s="15" t="s">
        <v>2776</v>
      </c>
      <c r="K369" s="15" t="s">
        <v>40</v>
      </c>
      <c r="L369" s="15" t="s">
        <v>41</v>
      </c>
      <c r="M369" s="15" t="s">
        <v>810</v>
      </c>
      <c r="N369" s="15" t="s">
        <v>811</v>
      </c>
      <c r="O369" s="15" t="s">
        <v>44</v>
      </c>
      <c r="P369" s="15" t="s">
        <v>2777</v>
      </c>
      <c r="Q369" s="15" t="s">
        <v>2778</v>
      </c>
      <c r="R369" s="16">
        <v>44329</v>
      </c>
      <c r="S369" s="17" t="s">
        <v>2779</v>
      </c>
      <c r="T369" s="20">
        <f>HYPERLINK("https://vnm.spiral.com.vn//uploaded/20210513/cff7ae76-d7b3-4688-be8b-8efa0ac8572f.JPEG","07:17:18")</f>
      </c>
      <c r="U369" s="20">
        <f>HYPERLINK("https://vnm.spiral.com.vn//uploaded/20210513/d67ea037-d0a3-4b3c-b23e-f4fb60d3b466.JPEG","16:56:53")</f>
      </c>
      <c r="V369" s="18">
        <v>0.40248842592592593</v>
      </c>
      <c r="W369" s="15" t="s">
        <v>2780</v>
      </c>
      <c r="X369" s="15" t="s">
        <v>2781</v>
      </c>
      <c r="Y369" s="15" t="s">
        <v>35</v>
      </c>
      <c r="Z369" s="19">
        <v>0</v>
      </c>
      <c r="AA369" s="15">
        <v>0</v>
      </c>
      <c r="AB369" s="15" t="s">
        <v>35</v>
      </c>
    </row>
    <row r="370">
      <c r="A370" s="15">
        <v>366</v>
      </c>
      <c r="B370" s="15" t="s">
        <v>103</v>
      </c>
      <c r="C370" s="15" t="s">
        <v>2116</v>
      </c>
      <c r="D370" s="15" t="s">
        <v>35</v>
      </c>
      <c r="E370" s="15" t="s">
        <v>35</v>
      </c>
      <c r="F370" s="15" t="s">
        <v>35</v>
      </c>
      <c r="G370" s="15" t="s">
        <v>36</v>
      </c>
      <c r="H370" s="15" t="s">
        <v>2782</v>
      </c>
      <c r="I370" s="15" t="s">
        <v>2783</v>
      </c>
      <c r="J370" s="15" t="s">
        <v>2784</v>
      </c>
      <c r="K370" s="15" t="s">
        <v>40</v>
      </c>
      <c r="L370" s="15" t="s">
        <v>41</v>
      </c>
      <c r="M370" s="15" t="s">
        <v>108</v>
      </c>
      <c r="N370" s="15" t="s">
        <v>109</v>
      </c>
      <c r="O370" s="15" t="s">
        <v>44</v>
      </c>
      <c r="P370" s="15" t="s">
        <v>2785</v>
      </c>
      <c r="Q370" s="15" t="s">
        <v>2786</v>
      </c>
      <c r="R370" s="16">
        <v>44329</v>
      </c>
      <c r="S370" s="17" t="s">
        <v>1409</v>
      </c>
      <c r="T370" s="20">
        <f>HYPERLINK("https://vnm.spiral.com.vn//uploaded/20210513/6F4EBC55-2267-4F5F-A2ED-1CC94FEAD624.jpg","06:30:56")</f>
      </c>
      <c r="U370" s="20">
        <f>HYPERLINK("https://vnm.spiral.com.vn//uploaded/20210513/E97AA998-0CCB-4B53-A5D6-C810F6C9234F.jpg","16:56:24")</f>
      </c>
      <c r="V370" s="18">
        <v>0.4343518518518519</v>
      </c>
      <c r="W370" s="15" t="s">
        <v>2787</v>
      </c>
      <c r="X370" s="15" t="s">
        <v>2788</v>
      </c>
      <c r="Y370" s="15" t="s">
        <v>35</v>
      </c>
      <c r="Z370" s="19">
        <v>0</v>
      </c>
      <c r="AA370" s="15">
        <v>0</v>
      </c>
      <c r="AB370" s="15" t="s">
        <v>35</v>
      </c>
    </row>
    <row r="371">
      <c r="A371" s="15">
        <v>367</v>
      </c>
      <c r="B371" s="15" t="s">
        <v>87</v>
      </c>
      <c r="C371" s="15" t="s">
        <v>88</v>
      </c>
      <c r="D371" s="15" t="s">
        <v>35</v>
      </c>
      <c r="E371" s="15" t="s">
        <v>35</v>
      </c>
      <c r="F371" s="15" t="s">
        <v>2789</v>
      </c>
      <c r="G371" s="15" t="s">
        <v>36</v>
      </c>
      <c r="H371" s="15" t="s">
        <v>2790</v>
      </c>
      <c r="I371" s="15" t="s">
        <v>2791</v>
      </c>
      <c r="J371" s="15" t="s">
        <v>2792</v>
      </c>
      <c r="K371" s="15" t="s">
        <v>40</v>
      </c>
      <c r="L371" s="15" t="s">
        <v>41</v>
      </c>
      <c r="M371" s="15" t="s">
        <v>289</v>
      </c>
      <c r="N371" s="15" t="s">
        <v>290</v>
      </c>
      <c r="O371" s="15" t="s">
        <v>44</v>
      </c>
      <c r="P371" s="15" t="s">
        <v>2793</v>
      </c>
      <c r="Q371" s="15" t="s">
        <v>2794</v>
      </c>
      <c r="R371" s="16">
        <v>44329</v>
      </c>
      <c r="S371" s="17" t="s">
        <v>1199</v>
      </c>
      <c r="T371" s="20">
        <f>HYPERLINK("https://vnm.spiral.com.vn//uploaded/20210513/0793c115-8dbb-4db3-b675-b051aabc9df6.JPEG","16:55:44")</f>
      </c>
      <c r="U371" s="18"/>
      <c r="V371" s="18" t="s">
        <v>35</v>
      </c>
      <c r="W371" s="15" t="s">
        <v>2795</v>
      </c>
      <c r="X371" s="15" t="s">
        <v>35</v>
      </c>
      <c r="Y371" s="15" t="s">
        <v>35</v>
      </c>
      <c r="Z371" s="19">
        <v>0</v>
      </c>
      <c r="AA371" s="15">
        <v>0</v>
      </c>
      <c r="AB371" s="15" t="s">
        <v>35</v>
      </c>
    </row>
    <row r="372">
      <c r="A372" s="15">
        <v>368</v>
      </c>
      <c r="B372" s="15" t="s">
        <v>343</v>
      </c>
      <c r="C372" s="15" t="s">
        <v>344</v>
      </c>
      <c r="D372" s="15" t="s">
        <v>1897</v>
      </c>
      <c r="E372" s="15" t="s">
        <v>90</v>
      </c>
      <c r="F372" s="15" t="s">
        <v>35</v>
      </c>
      <c r="G372" s="15" t="s">
        <v>74</v>
      </c>
      <c r="H372" s="15" t="s">
        <v>1898</v>
      </c>
      <c r="I372" s="15" t="s">
        <v>1899</v>
      </c>
      <c r="J372" s="15" t="s">
        <v>1900</v>
      </c>
      <c r="K372" s="15" t="s">
        <v>349</v>
      </c>
      <c r="L372" s="15" t="s">
        <v>350</v>
      </c>
      <c r="M372" s="15" t="s">
        <v>1524</v>
      </c>
      <c r="N372" s="15" t="s">
        <v>429</v>
      </c>
      <c r="O372" s="15" t="s">
        <v>156</v>
      </c>
      <c r="P372" s="15" t="s">
        <v>2796</v>
      </c>
      <c r="Q372" s="15" t="s">
        <v>2797</v>
      </c>
      <c r="R372" s="16">
        <v>44329</v>
      </c>
      <c r="S372" s="17" t="s">
        <v>159</v>
      </c>
      <c r="T372" s="20">
        <f>HYPERLINK("https://vnm.spiral.com.vn//uploaded/20210513/f675ba4c-c01e-4186-bf4e-ccf0473af066.JPEG","06:52:12")</f>
      </c>
      <c r="U372" s="20">
        <f>HYPERLINK("https://vnm.spiral.com.vn//uploaded/20210513/ac7a3fd3-89bc-4bc1-9e6e-ba9eb1b62fc8.JPEG","16:55:01")</f>
      </c>
      <c r="V372" s="18">
        <v>0.4186226851851852</v>
      </c>
      <c r="W372" s="15" t="s">
        <v>2798</v>
      </c>
      <c r="X372" s="15" t="s">
        <v>2799</v>
      </c>
      <c r="Y372" s="15" t="s">
        <v>35</v>
      </c>
      <c r="Z372" s="19">
        <v>0</v>
      </c>
      <c r="AA372" s="15">
        <v>0</v>
      </c>
      <c r="AB372" s="15" t="s">
        <v>35</v>
      </c>
    </row>
    <row r="373">
      <c r="A373" s="15">
        <v>369</v>
      </c>
      <c r="B373" s="15" t="s">
        <v>61</v>
      </c>
      <c r="C373" s="15" t="s">
        <v>320</v>
      </c>
      <c r="D373" s="15" t="s">
        <v>432</v>
      </c>
      <c r="E373" s="15" t="s">
        <v>116</v>
      </c>
      <c r="F373" s="15" t="s">
        <v>35</v>
      </c>
      <c r="G373" s="15" t="s">
        <v>74</v>
      </c>
      <c r="H373" s="15" t="s">
        <v>2800</v>
      </c>
      <c r="I373" s="15" t="s">
        <v>2801</v>
      </c>
      <c r="J373" s="15" t="s">
        <v>2802</v>
      </c>
      <c r="K373" s="15" t="s">
        <v>154</v>
      </c>
      <c r="L373" s="15" t="s">
        <v>155</v>
      </c>
      <c r="M373" s="15" t="s">
        <v>2458</v>
      </c>
      <c r="N373" s="15" t="s">
        <v>2459</v>
      </c>
      <c r="O373" s="15" t="s">
        <v>156</v>
      </c>
      <c r="P373" s="15" t="s">
        <v>2803</v>
      </c>
      <c r="Q373" s="15" t="s">
        <v>2804</v>
      </c>
      <c r="R373" s="16">
        <v>44329</v>
      </c>
      <c r="S373" s="17" t="s">
        <v>70</v>
      </c>
      <c r="T373" s="20">
        <f>HYPERLINK("https://vnm.spiral.com.vn//uploaded/20210513/3cfa7311-3b0b-4310-be4d-0e1cb1cf5e0a.JPEG","16:54:44")</f>
      </c>
      <c r="U373" s="18"/>
      <c r="V373" s="18" t="s">
        <v>35</v>
      </c>
      <c r="W373" s="15" t="s">
        <v>2805</v>
      </c>
      <c r="X373" s="15" t="s">
        <v>35</v>
      </c>
      <c r="Y373" s="15" t="s">
        <v>35</v>
      </c>
      <c r="Z373" s="19">
        <v>0</v>
      </c>
      <c r="AA373" s="15">
        <v>0</v>
      </c>
      <c r="AB373" s="15" t="s">
        <v>35</v>
      </c>
    </row>
    <row r="374">
      <c r="A374" s="15">
        <v>370</v>
      </c>
      <c r="B374" s="15" t="s">
        <v>61</v>
      </c>
      <c r="C374" s="15" t="s">
        <v>320</v>
      </c>
      <c r="D374" s="15" t="s">
        <v>35</v>
      </c>
      <c r="E374" s="15" t="s">
        <v>35</v>
      </c>
      <c r="F374" s="15" t="s">
        <v>35</v>
      </c>
      <c r="G374" s="15" t="s">
        <v>36</v>
      </c>
      <c r="H374" s="15" t="s">
        <v>2806</v>
      </c>
      <c r="I374" s="15" t="s">
        <v>2807</v>
      </c>
      <c r="J374" s="15" t="s">
        <v>2808</v>
      </c>
      <c r="K374" s="15" t="s">
        <v>40</v>
      </c>
      <c r="L374" s="15" t="s">
        <v>41</v>
      </c>
      <c r="M374" s="15" t="s">
        <v>205</v>
      </c>
      <c r="N374" s="15" t="s">
        <v>206</v>
      </c>
      <c r="O374" s="15" t="s">
        <v>44</v>
      </c>
      <c r="P374" s="15" t="s">
        <v>2809</v>
      </c>
      <c r="Q374" s="15" t="s">
        <v>2810</v>
      </c>
      <c r="R374" s="16">
        <v>44329</v>
      </c>
      <c r="S374" s="17" t="s">
        <v>1112</v>
      </c>
      <c r="T374" s="20">
        <f>HYPERLINK("https://vnm.spiral.com.vn//uploaded/20210513/2c0b86cb-b65d-4926-9f67-fb4c47cc84c8.JPEG","07:39:05")</f>
      </c>
      <c r="U374" s="20">
        <f>HYPERLINK("https://vnm.spiral.com.vn//uploaded/20210513/ebc68d9a-29d0-48cf-8958-3f9a737d69f1.JPEG","16:54:32")</f>
      </c>
      <c r="V374" s="18">
        <v>0.3857291666666667</v>
      </c>
      <c r="W374" s="15" t="s">
        <v>2811</v>
      </c>
      <c r="X374" s="15" t="s">
        <v>2812</v>
      </c>
      <c r="Y374" s="15" t="s">
        <v>35</v>
      </c>
      <c r="Z374" s="19">
        <v>0</v>
      </c>
      <c r="AA374" s="15">
        <v>0</v>
      </c>
      <c r="AB374" s="15" t="s">
        <v>35</v>
      </c>
    </row>
    <row r="375">
      <c r="A375" s="15">
        <v>371</v>
      </c>
      <c r="B375" s="15" t="s">
        <v>61</v>
      </c>
      <c r="C375" s="15" t="s">
        <v>62</v>
      </c>
      <c r="D375" s="15" t="s">
        <v>35</v>
      </c>
      <c r="E375" s="15" t="s">
        <v>35</v>
      </c>
      <c r="F375" s="15" t="s">
        <v>35</v>
      </c>
      <c r="G375" s="15" t="s">
        <v>36</v>
      </c>
      <c r="H375" s="15" t="s">
        <v>2813</v>
      </c>
      <c r="I375" s="15" t="s">
        <v>2814</v>
      </c>
      <c r="J375" s="15" t="s">
        <v>2815</v>
      </c>
      <c r="K375" s="15" t="s">
        <v>40</v>
      </c>
      <c r="L375" s="15" t="s">
        <v>41</v>
      </c>
      <c r="M375" s="15" t="s">
        <v>66</v>
      </c>
      <c r="N375" s="15" t="s">
        <v>67</v>
      </c>
      <c r="O375" s="15" t="s">
        <v>44</v>
      </c>
      <c r="P375" s="15" t="s">
        <v>2816</v>
      </c>
      <c r="Q375" s="15" t="s">
        <v>2817</v>
      </c>
      <c r="R375" s="16">
        <v>44329</v>
      </c>
      <c r="S375" s="17" t="s">
        <v>1112</v>
      </c>
      <c r="T375" s="20">
        <f>HYPERLINK("https://vnm.spiral.com.vn//uploaded/20210513/6C137048-F852-4D9E-B045-0243486F9115.jpg","07:45:20")</f>
      </c>
      <c r="U375" s="20">
        <f>HYPERLINK("https://vnm.spiral.com.vn//uploaded/20210513/0A881169-7091-48A1-8E75-B2B5FD5722C7.jpg","16:54:32")</f>
      </c>
      <c r="V375" s="18">
        <v>0.3813888888888889</v>
      </c>
      <c r="W375" s="15" t="s">
        <v>2818</v>
      </c>
      <c r="X375" s="15" t="s">
        <v>2819</v>
      </c>
      <c r="Y375" s="15" t="s">
        <v>35</v>
      </c>
      <c r="Z375" s="19">
        <v>0</v>
      </c>
      <c r="AA375" s="15">
        <v>0</v>
      </c>
      <c r="AB375" s="15" t="s">
        <v>35</v>
      </c>
    </row>
    <row r="376">
      <c r="A376" s="15">
        <v>372</v>
      </c>
      <c r="B376" s="15" t="s">
        <v>33</v>
      </c>
      <c r="C376" s="15" t="s">
        <v>219</v>
      </c>
      <c r="D376" s="15" t="s">
        <v>35</v>
      </c>
      <c r="E376" s="15" t="s">
        <v>35</v>
      </c>
      <c r="F376" s="15" t="s">
        <v>35</v>
      </c>
      <c r="G376" s="15" t="s">
        <v>74</v>
      </c>
      <c r="H376" s="15" t="s">
        <v>2820</v>
      </c>
      <c r="I376" s="15" t="s">
        <v>2821</v>
      </c>
      <c r="J376" s="15" t="s">
        <v>2822</v>
      </c>
      <c r="K376" s="15" t="s">
        <v>540</v>
      </c>
      <c r="L376" s="15" t="s">
        <v>541</v>
      </c>
      <c r="M376" s="15" t="s">
        <v>769</v>
      </c>
      <c r="N376" s="15" t="s">
        <v>770</v>
      </c>
      <c r="O376" s="15" t="s">
        <v>98</v>
      </c>
      <c r="P376" s="15" t="s">
        <v>2491</v>
      </c>
      <c r="Q376" s="15" t="s">
        <v>2492</v>
      </c>
      <c r="R376" s="16">
        <v>44329</v>
      </c>
      <c r="S376" s="17" t="s">
        <v>35</v>
      </c>
      <c r="T376" s="20">
        <f>HYPERLINK("https://vnm.spiral.com.vn//uploaded/20210513/b5f0f693-b6b2-42db-b36e-2c85df2f775f.JPEG","07:39:04")</f>
      </c>
      <c r="U376" s="20">
        <f>HYPERLINK("https://vnm.spiral.com.vn//uploaded/20210513/d60fdb5f-b707-40f6-804b-5396bf54fed2.JPEG","16:54:17")</f>
      </c>
      <c r="V376" s="18">
        <v>0.38556712962962963</v>
      </c>
      <c r="W376" s="15" t="s">
        <v>2823</v>
      </c>
      <c r="X376" s="15" t="s">
        <v>2823</v>
      </c>
      <c r="Y376" s="15" t="s">
        <v>35</v>
      </c>
      <c r="Z376" s="19">
        <v>0</v>
      </c>
      <c r="AA376" s="15">
        <v>0</v>
      </c>
      <c r="AB376" s="15" t="s">
        <v>35</v>
      </c>
    </row>
    <row r="377">
      <c r="A377" s="15">
        <v>373</v>
      </c>
      <c r="B377" s="15" t="s">
        <v>87</v>
      </c>
      <c r="C377" s="15" t="s">
        <v>88</v>
      </c>
      <c r="D377" s="15" t="s">
        <v>35</v>
      </c>
      <c r="E377" s="15" t="s">
        <v>35</v>
      </c>
      <c r="F377" s="15" t="s">
        <v>35</v>
      </c>
      <c r="G377" s="15" t="s">
        <v>36</v>
      </c>
      <c r="H377" s="15" t="s">
        <v>2824</v>
      </c>
      <c r="I377" s="15" t="s">
        <v>2825</v>
      </c>
      <c r="J377" s="15" t="s">
        <v>2826</v>
      </c>
      <c r="K377" s="15" t="s">
        <v>40</v>
      </c>
      <c r="L377" s="15" t="s">
        <v>41</v>
      </c>
      <c r="M377" s="15" t="s">
        <v>289</v>
      </c>
      <c r="N377" s="15" t="s">
        <v>290</v>
      </c>
      <c r="O377" s="15" t="s">
        <v>44</v>
      </c>
      <c r="P377" s="15" t="s">
        <v>2827</v>
      </c>
      <c r="Q377" s="15" t="s">
        <v>2828</v>
      </c>
      <c r="R377" s="16">
        <v>44329</v>
      </c>
      <c r="S377" s="17" t="s">
        <v>376</v>
      </c>
      <c r="T377" s="20">
        <f>HYPERLINK("https://vnm.spiral.com.vn//uploaded/20210513/E76D91CE-74C0-499D-B368-838DE0936A0D.jpg","08:49:54")</f>
      </c>
      <c r="U377" s="20">
        <f>HYPERLINK("https://vnm.spiral.com.vn//uploaded/20210513/3B81DAD7-E4C8-41B0-8E07-BDA7BB017ABC.jpg","16:53:56")</f>
      </c>
      <c r="V377" s="18">
        <v>0.33613425925925927</v>
      </c>
      <c r="W377" s="15" t="s">
        <v>2829</v>
      </c>
      <c r="X377" s="15" t="s">
        <v>2830</v>
      </c>
      <c r="Y377" s="15" t="s">
        <v>35</v>
      </c>
      <c r="Z377" s="19">
        <v>0</v>
      </c>
      <c r="AA377" s="15">
        <v>0</v>
      </c>
      <c r="AB377" s="15" t="s">
        <v>35</v>
      </c>
    </row>
    <row r="378">
      <c r="A378" s="15">
        <v>374</v>
      </c>
      <c r="B378" s="15" t="s">
        <v>61</v>
      </c>
      <c r="C378" s="15" t="s">
        <v>1106</v>
      </c>
      <c r="D378" s="15" t="s">
        <v>35</v>
      </c>
      <c r="E378" s="15" t="s">
        <v>35</v>
      </c>
      <c r="F378" s="15" t="s">
        <v>35</v>
      </c>
      <c r="G378" s="15" t="s">
        <v>36</v>
      </c>
      <c r="H378" s="15" t="s">
        <v>2831</v>
      </c>
      <c r="I378" s="15" t="s">
        <v>2832</v>
      </c>
      <c r="J378" s="15" t="s">
        <v>2833</v>
      </c>
      <c r="K378" s="15" t="s">
        <v>40</v>
      </c>
      <c r="L378" s="15" t="s">
        <v>41</v>
      </c>
      <c r="M378" s="15" t="s">
        <v>66</v>
      </c>
      <c r="N378" s="15" t="s">
        <v>67</v>
      </c>
      <c r="O378" s="15" t="s">
        <v>44</v>
      </c>
      <c r="P378" s="15" t="s">
        <v>2834</v>
      </c>
      <c r="Q378" s="15" t="s">
        <v>2835</v>
      </c>
      <c r="R378" s="16">
        <v>44329</v>
      </c>
      <c r="S378" s="17" t="s">
        <v>1112</v>
      </c>
      <c r="T378" s="20">
        <f>HYPERLINK("https://vnm.spiral.com.vn//uploaded/20210513/53fd128e-7f9f-4b5d-9271-6b6a3772bea7.JPEG","08:12:20")</f>
      </c>
      <c r="U378" s="20">
        <f>HYPERLINK("https://vnm.spiral.com.vn//uploaded/20210513/e59da17c-0780-4c0b-bb8a-4f591969f76d.JPEG","16:53:43")</f>
      </c>
      <c r="V378" s="18">
        <v>0.3620717592592593</v>
      </c>
      <c r="W378" s="15" t="s">
        <v>2836</v>
      </c>
      <c r="X378" s="15" t="s">
        <v>2837</v>
      </c>
      <c r="Y378" s="15" t="s">
        <v>35</v>
      </c>
      <c r="Z378" s="19">
        <v>0</v>
      </c>
      <c r="AA378" s="15">
        <v>0</v>
      </c>
      <c r="AB378" s="15" t="s">
        <v>35</v>
      </c>
    </row>
    <row r="379">
      <c r="A379" s="15">
        <v>375</v>
      </c>
      <c r="B379" s="15" t="s">
        <v>61</v>
      </c>
      <c r="C379" s="15" t="s">
        <v>904</v>
      </c>
      <c r="D379" s="15" t="s">
        <v>35</v>
      </c>
      <c r="E379" s="15" t="s">
        <v>35</v>
      </c>
      <c r="F379" s="15" t="s">
        <v>35</v>
      </c>
      <c r="G379" s="15" t="s">
        <v>36</v>
      </c>
      <c r="H379" s="15" t="s">
        <v>2838</v>
      </c>
      <c r="I379" s="15" t="s">
        <v>2839</v>
      </c>
      <c r="J379" s="15" t="s">
        <v>2840</v>
      </c>
      <c r="K379" s="15" t="s">
        <v>40</v>
      </c>
      <c r="L379" s="15" t="s">
        <v>41</v>
      </c>
      <c r="M379" s="15" t="s">
        <v>66</v>
      </c>
      <c r="N379" s="15" t="s">
        <v>67</v>
      </c>
      <c r="O379" s="15" t="s">
        <v>44</v>
      </c>
      <c r="P379" s="15" t="s">
        <v>2841</v>
      </c>
      <c r="Q379" s="15" t="s">
        <v>2842</v>
      </c>
      <c r="R379" s="16">
        <v>44329</v>
      </c>
      <c r="S379" s="17" t="s">
        <v>70</v>
      </c>
      <c r="T379" s="20">
        <f>HYPERLINK("https://vnm.spiral.com.vn//uploaded/20210513/0cd1c39d-f79b-4fea-a2f2-8c4c692e347c.JPEG","08:09:54")</f>
      </c>
      <c r="U379" s="20">
        <f>HYPERLINK("https://vnm.spiral.com.vn//uploaded/20210513/7a694ab9-77e2-41f6-9c94-7e7feed8bbd4.JPEG","16:53:33")</f>
      </c>
      <c r="V379" s="18">
        <v>0.36364583333333333</v>
      </c>
      <c r="W379" s="15" t="s">
        <v>2843</v>
      </c>
      <c r="X379" s="15" t="s">
        <v>2844</v>
      </c>
      <c r="Y379" s="15" t="s">
        <v>35</v>
      </c>
      <c r="Z379" s="19">
        <v>0</v>
      </c>
      <c r="AA379" s="15">
        <v>0</v>
      </c>
      <c r="AB379" s="15" t="s">
        <v>35</v>
      </c>
    </row>
    <row r="380">
      <c r="A380" s="15">
        <v>376</v>
      </c>
      <c r="B380" s="15" t="s">
        <v>246</v>
      </c>
      <c r="C380" s="15" t="s">
        <v>2845</v>
      </c>
      <c r="D380" s="15" t="s">
        <v>89</v>
      </c>
      <c r="E380" s="15" t="s">
        <v>90</v>
      </c>
      <c r="F380" s="15" t="s">
        <v>35</v>
      </c>
      <c r="G380" s="15" t="s">
        <v>74</v>
      </c>
      <c r="H380" s="15" t="s">
        <v>2846</v>
      </c>
      <c r="I380" s="15" t="s">
        <v>2847</v>
      </c>
      <c r="J380" s="15" t="s">
        <v>2848</v>
      </c>
      <c r="K380" s="15" t="s">
        <v>263</v>
      </c>
      <c r="L380" s="15" t="s">
        <v>264</v>
      </c>
      <c r="M380" s="15" t="s">
        <v>2009</v>
      </c>
      <c r="N380" s="15" t="s">
        <v>2010</v>
      </c>
      <c r="O380" s="15" t="s">
        <v>156</v>
      </c>
      <c r="P380" s="15" t="s">
        <v>2849</v>
      </c>
      <c r="Q380" s="15" t="s">
        <v>2850</v>
      </c>
      <c r="R380" s="16">
        <v>44329</v>
      </c>
      <c r="S380" s="17" t="s">
        <v>1199</v>
      </c>
      <c r="T380" s="20">
        <f>HYPERLINK("https://vnm.spiral.com.vn//uploaded/20210513/0407d3d7-a777-4ad4-bade-b1ee645019d8.JPEG","16:52:37")</f>
      </c>
      <c r="U380" s="18"/>
      <c r="V380" s="18" t="s">
        <v>35</v>
      </c>
      <c r="W380" s="15" t="s">
        <v>2851</v>
      </c>
      <c r="X380" s="15" t="s">
        <v>35</v>
      </c>
      <c r="Y380" s="15" t="s">
        <v>35</v>
      </c>
      <c r="Z380" s="19">
        <v>0</v>
      </c>
      <c r="AA380" s="15">
        <v>0</v>
      </c>
      <c r="AB380" s="15" t="s">
        <v>35</v>
      </c>
    </row>
    <row r="381">
      <c r="A381" s="15">
        <v>377</v>
      </c>
      <c r="B381" s="15" t="s">
        <v>246</v>
      </c>
      <c r="C381" s="15" t="s">
        <v>782</v>
      </c>
      <c r="D381" s="15" t="s">
        <v>89</v>
      </c>
      <c r="E381" s="15" t="s">
        <v>90</v>
      </c>
      <c r="F381" s="15" t="s">
        <v>35</v>
      </c>
      <c r="G381" s="15" t="s">
        <v>74</v>
      </c>
      <c r="H381" s="15" t="s">
        <v>2852</v>
      </c>
      <c r="I381" s="15" t="s">
        <v>2853</v>
      </c>
      <c r="J381" s="15" t="s">
        <v>2854</v>
      </c>
      <c r="K381" s="15" t="s">
        <v>263</v>
      </c>
      <c r="L381" s="15" t="s">
        <v>264</v>
      </c>
      <c r="M381" s="15" t="s">
        <v>280</v>
      </c>
      <c r="N381" s="15" t="s">
        <v>281</v>
      </c>
      <c r="O381" s="15" t="s">
        <v>156</v>
      </c>
      <c r="P381" s="15" t="s">
        <v>2855</v>
      </c>
      <c r="Q381" s="15" t="s">
        <v>283</v>
      </c>
      <c r="R381" s="16">
        <v>44329</v>
      </c>
      <c r="S381" s="17" t="s">
        <v>172</v>
      </c>
      <c r="T381" s="20">
        <f>HYPERLINK("https://vnm.spiral.com.vn//uploaded/20210513/73db4b93-4947-4511-bdb2-c4eba228d91b.JPEG","16:52:32")</f>
      </c>
      <c r="U381" s="18"/>
      <c r="V381" s="18" t="s">
        <v>35</v>
      </c>
      <c r="W381" s="15" t="s">
        <v>2856</v>
      </c>
      <c r="X381" s="15" t="s">
        <v>35</v>
      </c>
      <c r="Y381" s="15" t="s">
        <v>35</v>
      </c>
      <c r="Z381" s="19">
        <v>0</v>
      </c>
      <c r="AA381" s="15">
        <v>0</v>
      </c>
      <c r="AB381" s="15" t="s">
        <v>35</v>
      </c>
    </row>
    <row r="382">
      <c r="A382" s="15">
        <v>378</v>
      </c>
      <c r="B382" s="15" t="s">
        <v>49</v>
      </c>
      <c r="C382" s="15" t="s">
        <v>468</v>
      </c>
      <c r="D382" s="15" t="s">
        <v>35</v>
      </c>
      <c r="E382" s="15" t="s">
        <v>35</v>
      </c>
      <c r="F382" s="15" t="s">
        <v>2857</v>
      </c>
      <c r="G382" s="15" t="s">
        <v>36</v>
      </c>
      <c r="H382" s="15" t="s">
        <v>2858</v>
      </c>
      <c r="I382" s="15" t="s">
        <v>2859</v>
      </c>
      <c r="J382" s="15" t="s">
        <v>2860</v>
      </c>
      <c r="K382" s="15" t="s">
        <v>40</v>
      </c>
      <c r="L382" s="15" t="s">
        <v>41</v>
      </c>
      <c r="M382" s="15" t="s">
        <v>55</v>
      </c>
      <c r="N382" s="15" t="s">
        <v>56</v>
      </c>
      <c r="O382" s="15" t="s">
        <v>44</v>
      </c>
      <c r="P382" s="15" t="s">
        <v>2861</v>
      </c>
      <c r="Q382" s="15" t="s">
        <v>2862</v>
      </c>
      <c r="R382" s="16">
        <v>44329</v>
      </c>
      <c r="S382" s="17" t="s">
        <v>1112</v>
      </c>
      <c r="T382" s="20">
        <f>HYPERLINK("https://vnm.spiral.com.vn//uploaded/20210513/4942D294-FA6C-4D8D-9FFE-F0F35EEDAC8F.jpg","08:00:55")</f>
      </c>
      <c r="U382" s="20">
        <f>HYPERLINK("https://vnm.spiral.com.vn//uploaded/20210513/9E6604B7-B940-459D-82C7-6B8E6ECE43E2.jpg","16:52:23")</f>
      </c>
      <c r="V382" s="18">
        <v>0.36907407407407405</v>
      </c>
      <c r="W382" s="15" t="s">
        <v>2863</v>
      </c>
      <c r="X382" s="15" t="s">
        <v>2864</v>
      </c>
      <c r="Y382" s="15" t="s">
        <v>35</v>
      </c>
      <c r="Z382" s="19">
        <v>0</v>
      </c>
      <c r="AA382" s="15">
        <v>0</v>
      </c>
      <c r="AB382" s="15" t="s">
        <v>35</v>
      </c>
    </row>
    <row r="383">
      <c r="A383" s="15">
        <v>379</v>
      </c>
      <c r="B383" s="15" t="s">
        <v>87</v>
      </c>
      <c r="C383" s="15" t="s">
        <v>88</v>
      </c>
      <c r="D383" s="15" t="s">
        <v>35</v>
      </c>
      <c r="E383" s="15" t="s">
        <v>35</v>
      </c>
      <c r="F383" s="15" t="s">
        <v>2667</v>
      </c>
      <c r="G383" s="15" t="s">
        <v>36</v>
      </c>
      <c r="H383" s="15" t="s">
        <v>2865</v>
      </c>
      <c r="I383" s="15" t="s">
        <v>2866</v>
      </c>
      <c r="J383" s="15" t="s">
        <v>2867</v>
      </c>
      <c r="K383" s="15" t="s">
        <v>40</v>
      </c>
      <c r="L383" s="15" t="s">
        <v>41</v>
      </c>
      <c r="M383" s="15" t="s">
        <v>1195</v>
      </c>
      <c r="N383" s="15" t="s">
        <v>1196</v>
      </c>
      <c r="O383" s="15" t="s">
        <v>44</v>
      </c>
      <c r="P383" s="15" t="s">
        <v>2868</v>
      </c>
      <c r="Q383" s="15" t="s">
        <v>2869</v>
      </c>
      <c r="R383" s="16">
        <v>44329</v>
      </c>
      <c r="S383" s="17" t="s">
        <v>971</v>
      </c>
      <c r="T383" s="20">
        <f>HYPERLINK("https://vnm.spiral.com.vn//uploaded/20210513/64e3db7d-b548-439f-a19d-53fc383ea094.JPEG","07:03:27")</f>
      </c>
      <c r="U383" s="20">
        <f>HYPERLINK("https://vnm.spiral.com.vn//uploaded/20210513/1f673556-ea4d-41bb-affe-cb1f8d3d623b.JPEG","16:51:37")</f>
      </c>
      <c r="V383" s="18">
        <v>0.40844907407407405</v>
      </c>
      <c r="W383" s="15" t="s">
        <v>2870</v>
      </c>
      <c r="X383" s="15" t="s">
        <v>2871</v>
      </c>
      <c r="Y383" s="15" t="s">
        <v>35</v>
      </c>
      <c r="Z383" s="19">
        <v>0</v>
      </c>
      <c r="AA383" s="15">
        <v>0</v>
      </c>
      <c r="AB383" s="15" t="s">
        <v>35</v>
      </c>
    </row>
    <row r="384">
      <c r="A384" s="15">
        <v>380</v>
      </c>
      <c r="B384" s="15" t="s">
        <v>103</v>
      </c>
      <c r="C384" s="15" t="s">
        <v>104</v>
      </c>
      <c r="D384" s="15" t="s">
        <v>35</v>
      </c>
      <c r="E384" s="15" t="s">
        <v>35</v>
      </c>
      <c r="F384" s="15" t="s">
        <v>35</v>
      </c>
      <c r="G384" s="15" t="s">
        <v>36</v>
      </c>
      <c r="H384" s="15" t="s">
        <v>2872</v>
      </c>
      <c r="I384" s="15" t="s">
        <v>2873</v>
      </c>
      <c r="J384" s="15" t="s">
        <v>2874</v>
      </c>
      <c r="K384" s="15" t="s">
        <v>40</v>
      </c>
      <c r="L384" s="15" t="s">
        <v>41</v>
      </c>
      <c r="M384" s="15" t="s">
        <v>108</v>
      </c>
      <c r="N384" s="15" t="s">
        <v>109</v>
      </c>
      <c r="O384" s="15" t="s">
        <v>44</v>
      </c>
      <c r="P384" s="15" t="s">
        <v>2875</v>
      </c>
      <c r="Q384" s="15" t="s">
        <v>2876</v>
      </c>
      <c r="R384" s="16">
        <v>44329</v>
      </c>
      <c r="S384" s="17" t="s">
        <v>1199</v>
      </c>
      <c r="T384" s="20">
        <f>HYPERLINK("https://vnm.spiral.com.vn//uploaded/20210513/a6edf347-ded6-4a05-b9d0-2eaf8820d4b5.JPEG","16:51:22")</f>
      </c>
      <c r="U384" s="18"/>
      <c r="V384" s="18" t="s">
        <v>35</v>
      </c>
      <c r="W384" s="15" t="s">
        <v>2877</v>
      </c>
      <c r="X384" s="15" t="s">
        <v>35</v>
      </c>
      <c r="Y384" s="15" t="s">
        <v>35</v>
      </c>
      <c r="Z384" s="19">
        <v>0</v>
      </c>
      <c r="AA384" s="15">
        <v>0</v>
      </c>
      <c r="AB384" s="15" t="s">
        <v>35</v>
      </c>
    </row>
    <row r="385">
      <c r="A385" s="15">
        <v>381</v>
      </c>
      <c r="B385" s="15" t="s">
        <v>343</v>
      </c>
      <c r="C385" s="15" t="s">
        <v>344</v>
      </c>
      <c r="D385" s="15" t="s">
        <v>35</v>
      </c>
      <c r="E385" s="15" t="s">
        <v>35</v>
      </c>
      <c r="F385" s="15" t="s">
        <v>35</v>
      </c>
      <c r="G385" s="15" t="s">
        <v>74</v>
      </c>
      <c r="H385" s="15" t="s">
        <v>2878</v>
      </c>
      <c r="I385" s="15" t="s">
        <v>2879</v>
      </c>
      <c r="J385" s="15" t="s">
        <v>2880</v>
      </c>
      <c r="K385" s="15" t="s">
        <v>584</v>
      </c>
      <c r="L385" s="15" t="s">
        <v>585</v>
      </c>
      <c r="M385" s="15" t="s">
        <v>827</v>
      </c>
      <c r="N385" s="15" t="s">
        <v>828</v>
      </c>
      <c r="O385" s="15" t="s">
        <v>82</v>
      </c>
      <c r="P385" s="15" t="s">
        <v>829</v>
      </c>
      <c r="Q385" s="15" t="s">
        <v>830</v>
      </c>
      <c r="R385" s="16">
        <v>44329</v>
      </c>
      <c r="S385" s="17" t="s">
        <v>70</v>
      </c>
      <c r="T385" s="20">
        <f>HYPERLINK("https://vnm.spiral.com.vn//uploaded/20210513/2e7ce06a-0baf-4f79-8184-66d2737e8875.JPEG","16:35:11")</f>
      </c>
      <c r="U385" s="20">
        <f>HYPERLINK("https://vnm.spiral.com.vn//uploaded/20210513/5cf76d60-5097-489c-926b-0109def8d288.JPEG","16:51:10")</f>
      </c>
      <c r="V385" s="18">
        <v>0.011099537037037036</v>
      </c>
      <c r="W385" s="15" t="s">
        <v>2881</v>
      </c>
      <c r="X385" s="15" t="s">
        <v>2882</v>
      </c>
      <c r="Y385" s="15" t="s">
        <v>35</v>
      </c>
      <c r="Z385" s="19">
        <v>0</v>
      </c>
      <c r="AA385" s="15">
        <v>0</v>
      </c>
      <c r="AB385" s="15" t="s">
        <v>35</v>
      </c>
    </row>
    <row r="386">
      <c r="A386" s="15">
        <v>382</v>
      </c>
      <c r="B386" s="15" t="s">
        <v>33</v>
      </c>
      <c r="C386" s="15" t="s">
        <v>2883</v>
      </c>
      <c r="D386" s="15" t="s">
        <v>35</v>
      </c>
      <c r="E386" s="15" t="s">
        <v>35</v>
      </c>
      <c r="F386" s="15" t="s">
        <v>35</v>
      </c>
      <c r="G386" s="15" t="s">
        <v>74</v>
      </c>
      <c r="H386" s="15" t="s">
        <v>2884</v>
      </c>
      <c r="I386" s="15" t="s">
        <v>2885</v>
      </c>
      <c r="J386" s="15" t="s">
        <v>2886</v>
      </c>
      <c r="K386" s="15" t="s">
        <v>2887</v>
      </c>
      <c r="L386" s="15" t="s">
        <v>2888</v>
      </c>
      <c r="M386" s="15" t="s">
        <v>2889</v>
      </c>
      <c r="N386" s="15" t="s">
        <v>2890</v>
      </c>
      <c r="O386" s="15" t="s">
        <v>156</v>
      </c>
      <c r="P386" s="15" t="s">
        <v>2891</v>
      </c>
      <c r="Q386" s="15" t="s">
        <v>2892</v>
      </c>
      <c r="R386" s="16">
        <v>44329</v>
      </c>
      <c r="S386" s="17" t="s">
        <v>256</v>
      </c>
      <c r="T386" s="20">
        <f>HYPERLINK("https://vnm.spiral.com.vn//uploaded/20210513/408267ed-23c7-492c-9fee-239cd9a9c3e3.JPEG","06:54:35")</f>
      </c>
      <c r="U386" s="20">
        <f>HYPERLINK("https://vnm.spiral.com.vn//uploaded/20210513/aac0b1c3-28c8-49dd-a2b0-69aeaa7a340f.JPEG","16:50:58")</f>
      </c>
      <c r="V386" s="18">
        <v>0.4141550925925926</v>
      </c>
      <c r="W386" s="15" t="s">
        <v>2893</v>
      </c>
      <c r="X386" s="15" t="s">
        <v>2894</v>
      </c>
      <c r="Y386" s="15" t="s">
        <v>35</v>
      </c>
      <c r="Z386" s="19">
        <v>0</v>
      </c>
      <c r="AA386" s="15">
        <v>0</v>
      </c>
      <c r="AB386" s="15" t="s">
        <v>35</v>
      </c>
    </row>
    <row r="387">
      <c r="A387" s="15">
        <v>383</v>
      </c>
      <c r="B387" s="15" t="s">
        <v>343</v>
      </c>
      <c r="C387" s="15" t="s">
        <v>344</v>
      </c>
      <c r="D387" s="15" t="s">
        <v>2462</v>
      </c>
      <c r="E387" s="15" t="s">
        <v>116</v>
      </c>
      <c r="F387" s="15" t="s">
        <v>35</v>
      </c>
      <c r="G387" s="15" t="s">
        <v>74</v>
      </c>
      <c r="H387" s="15" t="s">
        <v>2463</v>
      </c>
      <c r="I387" s="15" t="s">
        <v>2464</v>
      </c>
      <c r="J387" s="15" t="s">
        <v>2465</v>
      </c>
      <c r="K387" s="15" t="s">
        <v>349</v>
      </c>
      <c r="L387" s="15" t="s">
        <v>350</v>
      </c>
      <c r="M387" s="15" t="s">
        <v>351</v>
      </c>
      <c r="N387" s="15" t="s">
        <v>352</v>
      </c>
      <c r="O387" s="15" t="s">
        <v>82</v>
      </c>
      <c r="P387" s="15" t="s">
        <v>2895</v>
      </c>
      <c r="Q387" s="15" t="s">
        <v>2896</v>
      </c>
      <c r="R387" s="16">
        <v>44329</v>
      </c>
      <c r="S387" s="17" t="s">
        <v>70</v>
      </c>
      <c r="T387" s="20">
        <f>HYPERLINK("https://vnm.spiral.com.vn//uploaded/20210513/c9e77e86-dda6-459b-8dc1-ecdb01e95a9c.JPEG","09:18:11")</f>
      </c>
      <c r="U387" s="20">
        <f>HYPERLINK("https://vnm.spiral.com.vn//uploaded/20210513/8d4f6a04-bf56-49fd-b553-8978b42b23db.JPEG","16:50:52")</f>
      </c>
      <c r="V387" s="18">
        <v>0.3143634259259259</v>
      </c>
      <c r="W387" s="15" t="s">
        <v>2897</v>
      </c>
      <c r="X387" s="15" t="s">
        <v>2898</v>
      </c>
      <c r="Y387" s="15" t="s">
        <v>35</v>
      </c>
      <c r="Z387" s="19">
        <v>0</v>
      </c>
      <c r="AA387" s="15">
        <v>0</v>
      </c>
      <c r="AB387" s="15" t="s">
        <v>35</v>
      </c>
    </row>
    <row r="388">
      <c r="A388" s="15">
        <v>384</v>
      </c>
      <c r="B388" s="15" t="s">
        <v>49</v>
      </c>
      <c r="C388" s="15" t="s">
        <v>50</v>
      </c>
      <c r="D388" s="15" t="s">
        <v>89</v>
      </c>
      <c r="E388" s="15" t="s">
        <v>90</v>
      </c>
      <c r="F388" s="15" t="s">
        <v>35</v>
      </c>
      <c r="G388" s="15" t="s">
        <v>74</v>
      </c>
      <c r="H388" s="15" t="s">
        <v>696</v>
      </c>
      <c r="I388" s="15" t="s">
        <v>697</v>
      </c>
      <c r="J388" s="15" t="s">
        <v>698</v>
      </c>
      <c r="K388" s="15" t="s">
        <v>168</v>
      </c>
      <c r="L388" s="15" t="s">
        <v>169</v>
      </c>
      <c r="M388" s="15" t="s">
        <v>383</v>
      </c>
      <c r="N388" s="15" t="s">
        <v>384</v>
      </c>
      <c r="O388" s="15" t="s">
        <v>156</v>
      </c>
      <c r="P388" s="15" t="s">
        <v>2899</v>
      </c>
      <c r="Q388" s="15" t="s">
        <v>2900</v>
      </c>
      <c r="R388" s="16">
        <v>44329</v>
      </c>
      <c r="S388" s="17" t="s">
        <v>1199</v>
      </c>
      <c r="T388" s="20">
        <f>HYPERLINK("https://vnm.spiral.com.vn//uploaded/20210513/f8118a7f-4ccd-4eb2-a294-6b80ea46af7d.JPEG","16:50:23")</f>
      </c>
      <c r="U388" s="18"/>
      <c r="V388" s="18" t="s">
        <v>35</v>
      </c>
      <c r="W388" s="15" t="s">
        <v>2901</v>
      </c>
      <c r="X388" s="15" t="s">
        <v>35</v>
      </c>
      <c r="Y388" s="15" t="s">
        <v>35</v>
      </c>
      <c r="Z388" s="19">
        <v>0</v>
      </c>
      <c r="AA388" s="15">
        <v>0</v>
      </c>
      <c r="AB388" s="15" t="s">
        <v>35</v>
      </c>
    </row>
    <row r="389">
      <c r="A389" s="15">
        <v>385</v>
      </c>
      <c r="B389" s="15" t="s">
        <v>49</v>
      </c>
      <c r="C389" s="15" t="s">
        <v>756</v>
      </c>
      <c r="D389" s="15" t="s">
        <v>135</v>
      </c>
      <c r="E389" s="15" t="s">
        <v>116</v>
      </c>
      <c r="F389" s="15" t="s">
        <v>35</v>
      </c>
      <c r="G389" s="15" t="s">
        <v>74</v>
      </c>
      <c r="H389" s="15" t="s">
        <v>2902</v>
      </c>
      <c r="I389" s="15" t="s">
        <v>2903</v>
      </c>
      <c r="J389" s="15" t="s">
        <v>2904</v>
      </c>
      <c r="K389" s="15" t="s">
        <v>166</v>
      </c>
      <c r="L389" s="15" t="s">
        <v>167</v>
      </c>
      <c r="M389" s="15" t="s">
        <v>168</v>
      </c>
      <c r="N389" s="15" t="s">
        <v>169</v>
      </c>
      <c r="O389" s="15" t="s">
        <v>98</v>
      </c>
      <c r="P389" s="15" t="s">
        <v>2640</v>
      </c>
      <c r="Q389" s="15" t="s">
        <v>2641</v>
      </c>
      <c r="R389" s="16">
        <v>44329</v>
      </c>
      <c r="S389" s="17" t="s">
        <v>70</v>
      </c>
      <c r="T389" s="20">
        <f>HYPERLINK("https://vnm.spiral.com.vn//uploaded/20210513/4fe00808-61d5-4193-86f5-5e0b42d57a73.JPEG","16:31:44")</f>
      </c>
      <c r="U389" s="20">
        <f>HYPERLINK("https://vnm.spiral.com.vn//uploaded/20210513/fe875aa2-34bd-4012-9d03-9491a96e5e7d.JPEG","16:50:13")</f>
      </c>
      <c r="V389" s="18">
        <v>0.012835648148148148</v>
      </c>
      <c r="W389" s="15" t="s">
        <v>2905</v>
      </c>
      <c r="X389" s="15" t="s">
        <v>2906</v>
      </c>
      <c r="Y389" s="15" t="s">
        <v>35</v>
      </c>
      <c r="Z389" s="19">
        <v>0</v>
      </c>
      <c r="AA389" s="15">
        <v>0</v>
      </c>
      <c r="AB389" s="15" t="s">
        <v>35</v>
      </c>
    </row>
    <row r="390">
      <c r="A390" s="15">
        <v>386</v>
      </c>
      <c r="B390" s="15" t="s">
        <v>103</v>
      </c>
      <c r="C390" s="15" t="s">
        <v>1078</v>
      </c>
      <c r="D390" s="15" t="s">
        <v>379</v>
      </c>
      <c r="E390" s="15" t="s">
        <v>90</v>
      </c>
      <c r="F390" s="15" t="s">
        <v>35</v>
      </c>
      <c r="G390" s="15" t="s">
        <v>74</v>
      </c>
      <c r="H390" s="15" t="s">
        <v>2907</v>
      </c>
      <c r="I390" s="15" t="s">
        <v>2908</v>
      </c>
      <c r="J390" s="15" t="s">
        <v>2909</v>
      </c>
      <c r="K390" s="15" t="s">
        <v>436</v>
      </c>
      <c r="L390" s="15" t="s">
        <v>437</v>
      </c>
      <c r="M390" s="15" t="s">
        <v>1429</v>
      </c>
      <c r="N390" s="15" t="s">
        <v>1430</v>
      </c>
      <c r="O390" s="15" t="s">
        <v>156</v>
      </c>
      <c r="P390" s="15" t="s">
        <v>2910</v>
      </c>
      <c r="Q390" s="15" t="s">
        <v>2911</v>
      </c>
      <c r="R390" s="16">
        <v>44329</v>
      </c>
      <c r="S390" s="17" t="s">
        <v>256</v>
      </c>
      <c r="T390" s="20">
        <f>HYPERLINK("https://vnm.spiral.com.vn//uploaded/20210513/5259AC49-4880-4045-BDB8-3EDCEE562D92.jpg","07:25:02")</f>
      </c>
      <c r="U390" s="20">
        <f>HYPERLINK("https://vnm.spiral.com.vn//uploaded/20210513/60F1A1C9-512D-45E7-BD84-CDBA51FBED9B.jpg","16:50:08")</f>
      </c>
      <c r="V390" s="18">
        <v>0.39243055555555556</v>
      </c>
      <c r="W390" s="15" t="s">
        <v>2912</v>
      </c>
      <c r="X390" s="15" t="s">
        <v>2913</v>
      </c>
      <c r="Y390" s="15" t="s">
        <v>35</v>
      </c>
      <c r="Z390" s="19">
        <v>0</v>
      </c>
      <c r="AA390" s="15">
        <v>0</v>
      </c>
      <c r="AB390" s="15" t="s">
        <v>35</v>
      </c>
    </row>
    <row r="391">
      <c r="A391" s="15">
        <v>387</v>
      </c>
      <c r="B391" s="15" t="s">
        <v>87</v>
      </c>
      <c r="C391" s="15" t="s">
        <v>88</v>
      </c>
      <c r="D391" s="15" t="s">
        <v>35</v>
      </c>
      <c r="E391" s="15" t="s">
        <v>35</v>
      </c>
      <c r="F391" s="15" t="s">
        <v>2077</v>
      </c>
      <c r="G391" s="15" t="s">
        <v>36</v>
      </c>
      <c r="H391" s="15" t="s">
        <v>2914</v>
      </c>
      <c r="I391" s="15" t="s">
        <v>2915</v>
      </c>
      <c r="J391" s="15" t="s">
        <v>2916</v>
      </c>
      <c r="K391" s="15" t="s">
        <v>40</v>
      </c>
      <c r="L391" s="15" t="s">
        <v>41</v>
      </c>
      <c r="M391" s="15" t="s">
        <v>289</v>
      </c>
      <c r="N391" s="15" t="s">
        <v>290</v>
      </c>
      <c r="O391" s="15" t="s">
        <v>44</v>
      </c>
      <c r="P391" s="15" t="s">
        <v>2917</v>
      </c>
      <c r="Q391" s="15" t="s">
        <v>2918</v>
      </c>
      <c r="R391" s="16">
        <v>44329</v>
      </c>
      <c r="S391" s="17" t="s">
        <v>1199</v>
      </c>
      <c r="T391" s="20">
        <f>HYPERLINK("https://vnm.spiral.com.vn//uploaded/20210513/8ebfabbf-6b9a-4330-bfe4-d6f5935d6ed4.JPEG","16:49:07")</f>
      </c>
      <c r="U391" s="18"/>
      <c r="V391" s="18" t="s">
        <v>35</v>
      </c>
      <c r="W391" s="15" t="s">
        <v>2919</v>
      </c>
      <c r="X391" s="15" t="s">
        <v>35</v>
      </c>
      <c r="Y391" s="15" t="s">
        <v>35</v>
      </c>
      <c r="Z391" s="19">
        <v>0</v>
      </c>
      <c r="AA391" s="15">
        <v>0</v>
      </c>
      <c r="AB391" s="15" t="s">
        <v>35</v>
      </c>
    </row>
    <row r="392">
      <c r="A392" s="15">
        <v>388</v>
      </c>
      <c r="B392" s="15" t="s">
        <v>87</v>
      </c>
      <c r="C392" s="15" t="s">
        <v>88</v>
      </c>
      <c r="D392" s="15" t="s">
        <v>35</v>
      </c>
      <c r="E392" s="15" t="s">
        <v>35</v>
      </c>
      <c r="F392" s="15" t="s">
        <v>2789</v>
      </c>
      <c r="G392" s="15" t="s">
        <v>36</v>
      </c>
      <c r="H392" s="15" t="s">
        <v>2920</v>
      </c>
      <c r="I392" s="15" t="s">
        <v>2921</v>
      </c>
      <c r="J392" s="15" t="s">
        <v>2922</v>
      </c>
      <c r="K392" s="15" t="s">
        <v>40</v>
      </c>
      <c r="L392" s="15" t="s">
        <v>41</v>
      </c>
      <c r="M392" s="15" t="s">
        <v>289</v>
      </c>
      <c r="N392" s="15" t="s">
        <v>290</v>
      </c>
      <c r="O392" s="15" t="s">
        <v>44</v>
      </c>
      <c r="P392" s="15" t="s">
        <v>2923</v>
      </c>
      <c r="Q392" s="15" t="s">
        <v>2924</v>
      </c>
      <c r="R392" s="16">
        <v>44329</v>
      </c>
      <c r="S392" s="17" t="s">
        <v>2925</v>
      </c>
      <c r="T392" s="20">
        <f>HYPERLINK("https://vnm.spiral.com.vn//uploaded/20210513/4b1083f2-aa59-409a-8d84-43e4c723ee2a.JPEG","16:48:18")</f>
      </c>
      <c r="U392" s="18"/>
      <c r="V392" s="18" t="s">
        <v>35</v>
      </c>
      <c r="W392" s="15" t="s">
        <v>2926</v>
      </c>
      <c r="X392" s="15" t="s">
        <v>35</v>
      </c>
      <c r="Y392" s="15" t="s">
        <v>35</v>
      </c>
      <c r="Z392" s="19">
        <v>0</v>
      </c>
      <c r="AA392" s="15">
        <v>0</v>
      </c>
      <c r="AB392" s="15" t="s">
        <v>35</v>
      </c>
    </row>
    <row r="393">
      <c r="A393" s="15">
        <v>389</v>
      </c>
      <c r="B393" s="15" t="s">
        <v>103</v>
      </c>
      <c r="C393" s="15" t="s">
        <v>104</v>
      </c>
      <c r="D393" s="15" t="s">
        <v>115</v>
      </c>
      <c r="E393" s="15" t="s">
        <v>116</v>
      </c>
      <c r="F393" s="15" t="s">
        <v>35</v>
      </c>
      <c r="G393" s="15" t="s">
        <v>74</v>
      </c>
      <c r="H393" s="15" t="s">
        <v>2927</v>
      </c>
      <c r="I393" s="15" t="s">
        <v>2928</v>
      </c>
      <c r="J393" s="15" t="s">
        <v>2929</v>
      </c>
      <c r="K393" s="15" t="s">
        <v>460</v>
      </c>
      <c r="L393" s="15" t="s">
        <v>461</v>
      </c>
      <c r="M393" s="15" t="s">
        <v>462</v>
      </c>
      <c r="N393" s="15" t="s">
        <v>463</v>
      </c>
      <c r="O393" s="15" t="s">
        <v>82</v>
      </c>
      <c r="P393" s="15" t="s">
        <v>2930</v>
      </c>
      <c r="Q393" s="15" t="s">
        <v>2931</v>
      </c>
      <c r="R393" s="16">
        <v>44329</v>
      </c>
      <c r="S393" s="17" t="s">
        <v>70</v>
      </c>
      <c r="T393" s="20">
        <f>HYPERLINK("https://vnm.spiral.com.vn//uploaded/20210513/dd6a3bd2-f896-4695-8342-7089bce677ed.JPEG","15:58:10")</f>
      </c>
      <c r="U393" s="20">
        <f>HYPERLINK("https://vnm.spiral.com.vn//uploaded/20210513/9a60190c-3149-445b-8d3d-38adf1db429a.JPEG","16:47:58")</f>
      </c>
      <c r="V393" s="18">
        <v>0.034583333333333334</v>
      </c>
      <c r="W393" s="15" t="s">
        <v>2932</v>
      </c>
      <c r="X393" s="15" t="s">
        <v>2933</v>
      </c>
      <c r="Y393" s="15" t="s">
        <v>35</v>
      </c>
      <c r="Z393" s="19">
        <v>0</v>
      </c>
      <c r="AA393" s="15">
        <v>0</v>
      </c>
      <c r="AB393" s="15" t="s">
        <v>35</v>
      </c>
    </row>
    <row r="394">
      <c r="A394" s="15">
        <v>390</v>
      </c>
      <c r="B394" s="15" t="s">
        <v>246</v>
      </c>
      <c r="C394" s="15" t="s">
        <v>2005</v>
      </c>
      <c r="D394" s="15" t="s">
        <v>89</v>
      </c>
      <c r="E394" s="15" t="s">
        <v>90</v>
      </c>
      <c r="F394" s="15" t="s">
        <v>35</v>
      </c>
      <c r="G394" s="15" t="s">
        <v>74</v>
      </c>
      <c r="H394" s="15" t="s">
        <v>2934</v>
      </c>
      <c r="I394" s="15" t="s">
        <v>2935</v>
      </c>
      <c r="J394" s="15" t="s">
        <v>2936</v>
      </c>
      <c r="K394" s="15" t="s">
        <v>263</v>
      </c>
      <c r="L394" s="15" t="s">
        <v>264</v>
      </c>
      <c r="M394" s="15" t="s">
        <v>2009</v>
      </c>
      <c r="N394" s="15" t="s">
        <v>2010</v>
      </c>
      <c r="O394" s="15" t="s">
        <v>156</v>
      </c>
      <c r="P394" s="15" t="s">
        <v>2937</v>
      </c>
      <c r="Q394" s="15" t="s">
        <v>2938</v>
      </c>
      <c r="R394" s="16">
        <v>44329</v>
      </c>
      <c r="S394" s="17" t="s">
        <v>1199</v>
      </c>
      <c r="T394" s="20">
        <f>HYPERLINK("https://vnm.spiral.com.vn//uploaded/20210513/fe8127a1-9810-4c02-8a52-1f806b78611f.JPEG","16:47:16")</f>
      </c>
      <c r="U394" s="18"/>
      <c r="V394" s="18" t="s">
        <v>35</v>
      </c>
      <c r="W394" s="15" t="s">
        <v>2939</v>
      </c>
      <c r="X394" s="15" t="s">
        <v>35</v>
      </c>
      <c r="Y394" s="15" t="s">
        <v>35</v>
      </c>
      <c r="Z394" s="19">
        <v>0</v>
      </c>
      <c r="AA394" s="15">
        <v>0</v>
      </c>
      <c r="AB394" s="15" t="s">
        <v>35</v>
      </c>
    </row>
    <row r="395">
      <c r="A395" s="15">
        <v>391</v>
      </c>
      <c r="B395" s="15" t="s">
        <v>87</v>
      </c>
      <c r="C395" s="15" t="s">
        <v>88</v>
      </c>
      <c r="D395" s="15" t="s">
        <v>35</v>
      </c>
      <c r="E395" s="15" t="s">
        <v>35</v>
      </c>
      <c r="F395" s="15" t="s">
        <v>2667</v>
      </c>
      <c r="G395" s="15" t="s">
        <v>36</v>
      </c>
      <c r="H395" s="15" t="s">
        <v>2940</v>
      </c>
      <c r="I395" s="15" t="s">
        <v>2941</v>
      </c>
      <c r="J395" s="15" t="s">
        <v>2942</v>
      </c>
      <c r="K395" s="15" t="s">
        <v>40</v>
      </c>
      <c r="L395" s="15" t="s">
        <v>41</v>
      </c>
      <c r="M395" s="15" t="s">
        <v>1195</v>
      </c>
      <c r="N395" s="15" t="s">
        <v>1196</v>
      </c>
      <c r="O395" s="15" t="s">
        <v>44</v>
      </c>
      <c r="P395" s="15" t="s">
        <v>2943</v>
      </c>
      <c r="Q395" s="15" t="s">
        <v>2944</v>
      </c>
      <c r="R395" s="16">
        <v>44329</v>
      </c>
      <c r="S395" s="17" t="s">
        <v>971</v>
      </c>
      <c r="T395" s="20">
        <f>HYPERLINK("https://vnm.spiral.com.vn//uploaded/20210513/E056791F-ADEB-44BD-831B-CB33DA8A3FCE.jpg","06:59:10")</f>
      </c>
      <c r="U395" s="20">
        <f>HYPERLINK("https://vnm.spiral.com.vn//uploaded/20210513/1714C376-34C1-4DAD-BF14-BC766B78F8C8.jpg","16:47:10")</f>
      </c>
      <c r="V395" s="18">
        <v>0.4083333333333333</v>
      </c>
      <c r="W395" s="15" t="s">
        <v>2945</v>
      </c>
      <c r="X395" s="15" t="s">
        <v>2946</v>
      </c>
      <c r="Y395" s="15" t="s">
        <v>35</v>
      </c>
      <c r="Z395" s="19">
        <v>0</v>
      </c>
      <c r="AA395" s="15">
        <v>0</v>
      </c>
      <c r="AB395" s="15" t="s">
        <v>35</v>
      </c>
    </row>
    <row r="396">
      <c r="A396" s="15">
        <v>392</v>
      </c>
      <c r="B396" s="15" t="s">
        <v>61</v>
      </c>
      <c r="C396" s="15" t="s">
        <v>320</v>
      </c>
      <c r="D396" s="15" t="s">
        <v>432</v>
      </c>
      <c r="E396" s="15" t="s">
        <v>116</v>
      </c>
      <c r="F396" s="15" t="s">
        <v>35</v>
      </c>
      <c r="G396" s="15" t="s">
        <v>74</v>
      </c>
      <c r="H396" s="15" t="s">
        <v>2947</v>
      </c>
      <c r="I396" s="15" t="s">
        <v>2948</v>
      </c>
      <c r="J396" s="15" t="s">
        <v>2949</v>
      </c>
      <c r="K396" s="15" t="s">
        <v>154</v>
      </c>
      <c r="L396" s="15" t="s">
        <v>155</v>
      </c>
      <c r="M396" s="15" t="s">
        <v>2458</v>
      </c>
      <c r="N396" s="15" t="s">
        <v>2459</v>
      </c>
      <c r="O396" s="15" t="s">
        <v>156</v>
      </c>
      <c r="P396" s="15" t="s">
        <v>2803</v>
      </c>
      <c r="Q396" s="15" t="s">
        <v>2804</v>
      </c>
      <c r="R396" s="16">
        <v>44329</v>
      </c>
      <c r="S396" s="17" t="s">
        <v>70</v>
      </c>
      <c r="T396" s="20">
        <f>HYPERLINK("https://vnm.spiral.com.vn//uploaded/20210513/ea88d66c-b47e-442a-a0d1-1127afa7f89a.JPEG","16:23:22")</f>
      </c>
      <c r="U396" s="20">
        <f>HYPERLINK("https://vnm.spiral.com.vn//uploaded/20210513/469d79a8-8771-4393-8684-e87b72cf1cb1.JPEG","16:47:03")</f>
      </c>
      <c r="V396" s="18">
        <v>0.016446759259259258</v>
      </c>
      <c r="W396" s="15" t="s">
        <v>2950</v>
      </c>
      <c r="X396" s="15" t="s">
        <v>2951</v>
      </c>
      <c r="Y396" s="15" t="s">
        <v>35</v>
      </c>
      <c r="Z396" s="19">
        <v>0</v>
      </c>
      <c r="AA396" s="15">
        <v>0</v>
      </c>
      <c r="AB396" s="15" t="s">
        <v>35</v>
      </c>
    </row>
    <row r="397">
      <c r="A397" s="15">
        <v>393</v>
      </c>
      <c r="B397" s="15" t="s">
        <v>87</v>
      </c>
      <c r="C397" s="15" t="s">
        <v>88</v>
      </c>
      <c r="D397" s="15" t="s">
        <v>115</v>
      </c>
      <c r="E397" s="15" t="s">
        <v>116</v>
      </c>
      <c r="F397" s="15" t="s">
        <v>35</v>
      </c>
      <c r="G397" s="15" t="s">
        <v>74</v>
      </c>
      <c r="H397" s="15" t="s">
        <v>2952</v>
      </c>
      <c r="I397" s="15" t="s">
        <v>2953</v>
      </c>
      <c r="J397" s="15" t="s">
        <v>2954</v>
      </c>
      <c r="K397" s="15" t="s">
        <v>120</v>
      </c>
      <c r="L397" s="15" t="s">
        <v>121</v>
      </c>
      <c r="M397" s="15" t="s">
        <v>1073</v>
      </c>
      <c r="N397" s="15" t="s">
        <v>1074</v>
      </c>
      <c r="O397" s="15" t="s">
        <v>82</v>
      </c>
      <c r="P397" s="15" t="s">
        <v>2955</v>
      </c>
      <c r="Q397" s="15" t="s">
        <v>2956</v>
      </c>
      <c r="R397" s="16">
        <v>44329</v>
      </c>
      <c r="S397" s="17" t="s">
        <v>70</v>
      </c>
      <c r="T397" s="20">
        <f>HYPERLINK("https://vnm.spiral.com.vn//uploaded/20210513/a4aa46ef-f0f7-4eeb-ae2b-0d0f8001dc64.jpg","16:46:41")</f>
      </c>
      <c r="U397" s="18"/>
      <c r="V397" s="18" t="s">
        <v>35</v>
      </c>
      <c r="W397" s="15" t="s">
        <v>2957</v>
      </c>
      <c r="X397" s="15" t="s">
        <v>35</v>
      </c>
      <c r="Y397" s="15" t="s">
        <v>35</v>
      </c>
      <c r="Z397" s="19">
        <v>0</v>
      </c>
      <c r="AA397" s="15">
        <v>0</v>
      </c>
      <c r="AB397" s="15" t="s">
        <v>35</v>
      </c>
    </row>
    <row r="398">
      <c r="A398" s="15">
        <v>394</v>
      </c>
      <c r="B398" s="15" t="s">
        <v>87</v>
      </c>
      <c r="C398" s="15" t="s">
        <v>88</v>
      </c>
      <c r="D398" s="15" t="s">
        <v>74</v>
      </c>
      <c r="E398" s="15" t="s">
        <v>90</v>
      </c>
      <c r="F398" s="15" t="s">
        <v>35</v>
      </c>
      <c r="G398" s="15" t="s">
        <v>74</v>
      </c>
      <c r="H398" s="15" t="s">
        <v>2958</v>
      </c>
      <c r="I398" s="15" t="s">
        <v>2959</v>
      </c>
      <c r="J398" s="15" t="s">
        <v>2960</v>
      </c>
      <c r="K398" s="15" t="s">
        <v>190</v>
      </c>
      <c r="L398" s="15" t="s">
        <v>191</v>
      </c>
      <c r="M398" s="15" t="s">
        <v>1031</v>
      </c>
      <c r="N398" s="15" t="s">
        <v>1032</v>
      </c>
      <c r="O398" s="15" t="s">
        <v>82</v>
      </c>
      <c r="P398" s="15" t="s">
        <v>2961</v>
      </c>
      <c r="Q398" s="15" t="s">
        <v>2962</v>
      </c>
      <c r="R398" s="16">
        <v>44329</v>
      </c>
      <c r="S398" s="17" t="s">
        <v>70</v>
      </c>
      <c r="T398" s="20">
        <f>HYPERLINK("https://vnm.spiral.com.vn//uploaded/20210513/820337D2-5AA4-4EDE-941E-E2844F89ADB7.jpg","15:16:00")</f>
      </c>
      <c r="U398" s="20">
        <f>HYPERLINK("https://vnm.spiral.com.vn//uploaded/20210513/4BFB3FA1-7AE5-43DE-8A47-3270E585CFFA.jpg","16:45:43")</f>
      </c>
      <c r="V398" s="18">
        <v>0.06230324074074074</v>
      </c>
      <c r="W398" s="15" t="s">
        <v>2963</v>
      </c>
      <c r="X398" s="15" t="s">
        <v>2964</v>
      </c>
      <c r="Y398" s="15" t="s">
        <v>35</v>
      </c>
      <c r="Z398" s="19">
        <v>0</v>
      </c>
      <c r="AA398" s="15">
        <v>0</v>
      </c>
      <c r="AB398" s="15" t="s">
        <v>35</v>
      </c>
    </row>
    <row r="399">
      <c r="A399" s="15">
        <v>395</v>
      </c>
      <c r="B399" s="15" t="s">
        <v>61</v>
      </c>
      <c r="C399" s="15" t="s">
        <v>442</v>
      </c>
      <c r="D399" s="15" t="s">
        <v>35</v>
      </c>
      <c r="E399" s="15" t="s">
        <v>35</v>
      </c>
      <c r="F399" s="15" t="s">
        <v>35</v>
      </c>
      <c r="G399" s="15" t="s">
        <v>36</v>
      </c>
      <c r="H399" s="15" t="s">
        <v>2965</v>
      </c>
      <c r="I399" s="15" t="s">
        <v>2966</v>
      </c>
      <c r="J399" s="15" t="s">
        <v>2967</v>
      </c>
      <c r="K399" s="15" t="s">
        <v>40</v>
      </c>
      <c r="L399" s="15" t="s">
        <v>41</v>
      </c>
      <c r="M399" s="15" t="s">
        <v>205</v>
      </c>
      <c r="N399" s="15" t="s">
        <v>206</v>
      </c>
      <c r="O399" s="15" t="s">
        <v>44</v>
      </c>
      <c r="P399" s="15" t="s">
        <v>2968</v>
      </c>
      <c r="Q399" s="15" t="s">
        <v>2969</v>
      </c>
      <c r="R399" s="16">
        <v>44329</v>
      </c>
      <c r="S399" s="17" t="s">
        <v>2003</v>
      </c>
      <c r="T399" s="20">
        <f>HYPERLINK("https://vnm.spiral.com.vn//uploaded/20210513/ef175f41-4bc9-426f-9e5f-e40cb6920e7d.JPEG","16:45:43")</f>
      </c>
      <c r="U399" s="18"/>
      <c r="V399" s="18" t="s">
        <v>35</v>
      </c>
      <c r="W399" s="15" t="s">
        <v>2970</v>
      </c>
      <c r="X399" s="15" t="s">
        <v>35</v>
      </c>
      <c r="Y399" s="15" t="s">
        <v>35</v>
      </c>
      <c r="Z399" s="19">
        <v>0</v>
      </c>
      <c r="AA399" s="15">
        <v>0</v>
      </c>
      <c r="AB399" s="15" t="s">
        <v>35</v>
      </c>
    </row>
    <row r="400">
      <c r="A400" s="15">
        <v>396</v>
      </c>
      <c r="B400" s="15" t="s">
        <v>87</v>
      </c>
      <c r="C400" s="15" t="s">
        <v>88</v>
      </c>
      <c r="D400" s="15" t="s">
        <v>610</v>
      </c>
      <c r="E400" s="15" t="s">
        <v>90</v>
      </c>
      <c r="F400" s="15" t="s">
        <v>35</v>
      </c>
      <c r="G400" s="15" t="s">
        <v>74</v>
      </c>
      <c r="H400" s="15" t="s">
        <v>2539</v>
      </c>
      <c r="I400" s="15" t="s">
        <v>2540</v>
      </c>
      <c r="J400" s="15" t="s">
        <v>2541</v>
      </c>
      <c r="K400" s="15" t="s">
        <v>614</v>
      </c>
      <c r="L400" s="15" t="s">
        <v>615</v>
      </c>
      <c r="M400" s="15" t="s">
        <v>616</v>
      </c>
      <c r="N400" s="15" t="s">
        <v>617</v>
      </c>
      <c r="O400" s="15" t="s">
        <v>82</v>
      </c>
      <c r="P400" s="15" t="s">
        <v>656</v>
      </c>
      <c r="Q400" s="15" t="s">
        <v>657</v>
      </c>
      <c r="R400" s="16">
        <v>44329</v>
      </c>
      <c r="S400" s="17" t="s">
        <v>70</v>
      </c>
      <c r="T400" s="20">
        <f>HYPERLINK("https://vnm.spiral.com.vn//uploaded/20210513/1fd4759b-cf8c-48e1-a2ae-95987aa2ff11.JPEG","16:25:36")</f>
      </c>
      <c r="U400" s="20">
        <f>HYPERLINK("https://vnm.spiral.com.vn//uploaded/20210513/49372d4c-1d7e-43ab-b8b8-7d330340e494.JPEG","16:45:42")</f>
      </c>
      <c r="V400" s="18">
        <v>0.013958333333333333</v>
      </c>
      <c r="W400" s="15" t="s">
        <v>2971</v>
      </c>
      <c r="X400" s="15" t="s">
        <v>2972</v>
      </c>
      <c r="Y400" s="15" t="s">
        <v>35</v>
      </c>
      <c r="Z400" s="19">
        <v>0</v>
      </c>
      <c r="AA400" s="15">
        <v>0</v>
      </c>
      <c r="AB400" s="15" t="s">
        <v>35</v>
      </c>
    </row>
    <row r="401">
      <c r="A401" s="15">
        <v>397</v>
      </c>
      <c r="B401" s="15" t="s">
        <v>103</v>
      </c>
      <c r="C401" s="15" t="s">
        <v>1078</v>
      </c>
      <c r="D401" s="15" t="s">
        <v>35</v>
      </c>
      <c r="E401" s="15" t="s">
        <v>35</v>
      </c>
      <c r="F401" s="15" t="s">
        <v>35</v>
      </c>
      <c r="G401" s="15" t="s">
        <v>35</v>
      </c>
      <c r="H401" s="15" t="s">
        <v>2973</v>
      </c>
      <c r="I401" s="15" t="s">
        <v>2974</v>
      </c>
      <c r="J401" s="15" t="s">
        <v>2975</v>
      </c>
      <c r="K401" s="15" t="s">
        <v>40</v>
      </c>
      <c r="L401" s="15" t="s">
        <v>41</v>
      </c>
      <c r="M401" s="15" t="s">
        <v>565</v>
      </c>
      <c r="N401" s="15" t="s">
        <v>566</v>
      </c>
      <c r="O401" s="15" t="s">
        <v>44</v>
      </c>
      <c r="P401" s="15" t="s">
        <v>2976</v>
      </c>
      <c r="Q401" s="15" t="s">
        <v>2977</v>
      </c>
      <c r="R401" s="16">
        <v>44329</v>
      </c>
      <c r="S401" s="17" t="s">
        <v>256</v>
      </c>
      <c r="T401" s="20">
        <f>HYPERLINK("https://vnm.spiral.com.vn//uploaded/20210513/f1ac7a16-f7e2-44f4-a5df-bf946d684a89.JPEG","07:42:04")</f>
      </c>
      <c r="U401" s="20">
        <f>HYPERLINK("https://vnm.spiral.com.vn//uploaded/20210513/c130a863-79b3-4a57-a152-db0536e56fdb.JPEG","16:45:34")</f>
      </c>
      <c r="V401" s="18">
        <v>0.37743055555555555</v>
      </c>
      <c r="W401" s="15" t="s">
        <v>2978</v>
      </c>
      <c r="X401" s="15" t="s">
        <v>2979</v>
      </c>
      <c r="Y401" s="15" t="s">
        <v>35</v>
      </c>
      <c r="Z401" s="19">
        <v>0</v>
      </c>
      <c r="AA401" s="15">
        <v>0</v>
      </c>
      <c r="AB401" s="15" t="s">
        <v>35</v>
      </c>
    </row>
    <row r="402">
      <c r="A402" s="15">
        <v>398</v>
      </c>
      <c r="B402" s="15" t="s">
        <v>87</v>
      </c>
      <c r="C402" s="15" t="s">
        <v>88</v>
      </c>
      <c r="D402" s="15" t="s">
        <v>35</v>
      </c>
      <c r="E402" s="15" t="s">
        <v>35</v>
      </c>
      <c r="F402" s="15" t="s">
        <v>1091</v>
      </c>
      <c r="G402" s="15" t="s">
        <v>36</v>
      </c>
      <c r="H402" s="15" t="s">
        <v>2980</v>
      </c>
      <c r="I402" s="15" t="s">
        <v>2981</v>
      </c>
      <c r="J402" s="15" t="s">
        <v>2982</v>
      </c>
      <c r="K402" s="15" t="s">
        <v>40</v>
      </c>
      <c r="L402" s="15" t="s">
        <v>41</v>
      </c>
      <c r="M402" s="15" t="s">
        <v>810</v>
      </c>
      <c r="N402" s="15" t="s">
        <v>811</v>
      </c>
      <c r="O402" s="15" t="s">
        <v>44</v>
      </c>
      <c r="P402" s="15" t="s">
        <v>2983</v>
      </c>
      <c r="Q402" s="15" t="s">
        <v>2984</v>
      </c>
      <c r="R402" s="16">
        <v>44329</v>
      </c>
      <c r="S402" s="17" t="s">
        <v>2985</v>
      </c>
      <c r="T402" s="20">
        <f>HYPERLINK("https://vnm.spiral.com.vn//uploaded/20210513/73dc760f-12c9-43c2-b70c-49beb9280fe0.JPEG","16:45:05")</f>
      </c>
      <c r="U402" s="18"/>
      <c r="V402" s="18" t="s">
        <v>35</v>
      </c>
      <c r="W402" s="15" t="s">
        <v>2986</v>
      </c>
      <c r="X402" s="15" t="s">
        <v>35</v>
      </c>
      <c r="Y402" s="15" t="s">
        <v>35</v>
      </c>
      <c r="Z402" s="19">
        <v>0</v>
      </c>
      <c r="AA402" s="15">
        <v>0</v>
      </c>
      <c r="AB402" s="15" t="s">
        <v>35</v>
      </c>
    </row>
    <row r="403">
      <c r="A403" s="15">
        <v>399</v>
      </c>
      <c r="B403" s="15" t="s">
        <v>61</v>
      </c>
      <c r="C403" s="15" t="s">
        <v>904</v>
      </c>
      <c r="D403" s="15" t="s">
        <v>35</v>
      </c>
      <c r="E403" s="15" t="s">
        <v>35</v>
      </c>
      <c r="F403" s="15" t="s">
        <v>35</v>
      </c>
      <c r="G403" s="15" t="s">
        <v>36</v>
      </c>
      <c r="H403" s="15" t="s">
        <v>2987</v>
      </c>
      <c r="I403" s="15" t="s">
        <v>2988</v>
      </c>
      <c r="J403" s="15" t="s">
        <v>2989</v>
      </c>
      <c r="K403" s="15" t="s">
        <v>40</v>
      </c>
      <c r="L403" s="15" t="s">
        <v>41</v>
      </c>
      <c r="M403" s="15" t="s">
        <v>66</v>
      </c>
      <c r="N403" s="15" t="s">
        <v>67</v>
      </c>
      <c r="O403" s="15" t="s">
        <v>44</v>
      </c>
      <c r="P403" s="15" t="s">
        <v>2990</v>
      </c>
      <c r="Q403" s="15" t="s">
        <v>2991</v>
      </c>
      <c r="R403" s="16">
        <v>44329</v>
      </c>
      <c r="S403" s="17" t="s">
        <v>1112</v>
      </c>
      <c r="T403" s="20">
        <f>HYPERLINK("https://vnm.spiral.com.vn//uploaded/20210513/28615a3f-af16-4185-b641-74bc0e06b66b.JPEG","07:51:49")</f>
      </c>
      <c r="U403" s="20">
        <f>HYPERLINK("https://vnm.spiral.com.vn//uploaded/20210513/147c4a87-1dbc-42dd-a2f8-59ed5f2076c4.JPEG","16:44:54")</f>
      </c>
      <c r="V403" s="18">
        <v>0.37019675925925927</v>
      </c>
      <c r="W403" s="15" t="s">
        <v>2992</v>
      </c>
      <c r="X403" s="15" t="s">
        <v>2993</v>
      </c>
      <c r="Y403" s="15" t="s">
        <v>35</v>
      </c>
      <c r="Z403" s="19">
        <v>0</v>
      </c>
      <c r="AA403" s="15">
        <v>0</v>
      </c>
      <c r="AB403" s="15" t="s">
        <v>35</v>
      </c>
    </row>
    <row r="404">
      <c r="A404" s="15">
        <v>400</v>
      </c>
      <c r="B404" s="15" t="s">
        <v>87</v>
      </c>
      <c r="C404" s="15" t="s">
        <v>88</v>
      </c>
      <c r="D404" s="15" t="s">
        <v>135</v>
      </c>
      <c r="E404" s="15" t="s">
        <v>116</v>
      </c>
      <c r="F404" s="15" t="s">
        <v>35</v>
      </c>
      <c r="G404" s="15" t="s">
        <v>74</v>
      </c>
      <c r="H404" s="15" t="s">
        <v>2994</v>
      </c>
      <c r="I404" s="15" t="s">
        <v>2995</v>
      </c>
      <c r="J404" s="15" t="s">
        <v>2996</v>
      </c>
      <c r="K404" s="15" t="s">
        <v>390</v>
      </c>
      <c r="L404" s="15" t="s">
        <v>391</v>
      </c>
      <c r="M404" s="15" t="s">
        <v>392</v>
      </c>
      <c r="N404" s="15" t="s">
        <v>393</v>
      </c>
      <c r="O404" s="15" t="s">
        <v>82</v>
      </c>
      <c r="P404" s="15" t="s">
        <v>481</v>
      </c>
      <c r="Q404" s="15" t="s">
        <v>482</v>
      </c>
      <c r="R404" s="16">
        <v>44329</v>
      </c>
      <c r="S404" s="17" t="s">
        <v>70</v>
      </c>
      <c r="T404" s="20">
        <f>HYPERLINK("https://vnm.spiral.com.vn//uploaded/20210513/d893d829-b976-419d-a1bf-b86b1ae895ba.JPEG","15:43:28")</f>
      </c>
      <c r="U404" s="20">
        <f>HYPERLINK("https://vnm.spiral.com.vn//uploaded/20210513/3fdc9ffa-045e-4d90-ae4c-0e37edde8add.JPEG","16:44:07")</f>
      </c>
      <c r="V404" s="18">
        <v>0.042118055555555554</v>
      </c>
      <c r="W404" s="15" t="s">
        <v>2997</v>
      </c>
      <c r="X404" s="15" t="s">
        <v>2998</v>
      </c>
      <c r="Y404" s="15" t="s">
        <v>35</v>
      </c>
      <c r="Z404" s="19">
        <v>0</v>
      </c>
      <c r="AA404" s="15">
        <v>0</v>
      </c>
      <c r="AB404" s="15" t="s">
        <v>35</v>
      </c>
    </row>
    <row r="405">
      <c r="A405" s="15">
        <v>401</v>
      </c>
      <c r="B405" s="15" t="s">
        <v>33</v>
      </c>
      <c r="C405" s="15" t="s">
        <v>2999</v>
      </c>
      <c r="D405" s="15" t="s">
        <v>35</v>
      </c>
      <c r="E405" s="15" t="s">
        <v>35</v>
      </c>
      <c r="F405" s="15" t="s">
        <v>35</v>
      </c>
      <c r="G405" s="15" t="s">
        <v>74</v>
      </c>
      <c r="H405" s="15" t="s">
        <v>3000</v>
      </c>
      <c r="I405" s="15" t="s">
        <v>3001</v>
      </c>
      <c r="J405" s="15" t="s">
        <v>3002</v>
      </c>
      <c r="K405" s="15" t="s">
        <v>2887</v>
      </c>
      <c r="L405" s="15" t="s">
        <v>2888</v>
      </c>
      <c r="M405" s="15" t="s">
        <v>2889</v>
      </c>
      <c r="N405" s="15" t="s">
        <v>2890</v>
      </c>
      <c r="O405" s="15" t="s">
        <v>82</v>
      </c>
      <c r="P405" s="15" t="s">
        <v>3003</v>
      </c>
      <c r="Q405" s="15" t="s">
        <v>1155</v>
      </c>
      <c r="R405" s="16">
        <v>44329</v>
      </c>
      <c r="S405" s="17" t="s">
        <v>70</v>
      </c>
      <c r="T405" s="20">
        <f>HYPERLINK("https://vnm.spiral.com.vn//uploaded/20210513/8b9a1d2e-7d0f-40cf-abe3-bcc34dfe0a58.JPEG","15:44:26")</f>
      </c>
      <c r="U405" s="20">
        <f>HYPERLINK("https://vnm.spiral.com.vn//uploaded/20210513/893d8b29-1818-4465-bdde-7b55e7124035.JPEG","16:43:58")</f>
      </c>
      <c r="V405" s="18">
        <v>0.04134259259259259</v>
      </c>
      <c r="W405" s="15" t="s">
        <v>3004</v>
      </c>
      <c r="X405" s="15" t="s">
        <v>3005</v>
      </c>
      <c r="Y405" s="15" t="s">
        <v>35</v>
      </c>
      <c r="Z405" s="19">
        <v>0</v>
      </c>
      <c r="AA405" s="15">
        <v>0</v>
      </c>
      <c r="AB405" s="15" t="s">
        <v>35</v>
      </c>
    </row>
    <row r="406">
      <c r="A406" s="15">
        <v>402</v>
      </c>
      <c r="B406" s="15" t="s">
        <v>61</v>
      </c>
      <c r="C406" s="15" t="s">
        <v>201</v>
      </c>
      <c r="D406" s="15" t="s">
        <v>89</v>
      </c>
      <c r="E406" s="15" t="s">
        <v>90</v>
      </c>
      <c r="F406" s="15" t="s">
        <v>35</v>
      </c>
      <c r="G406" s="15" t="s">
        <v>74</v>
      </c>
      <c r="H406" s="15" t="s">
        <v>3006</v>
      </c>
      <c r="I406" s="15" t="s">
        <v>3007</v>
      </c>
      <c r="J406" s="15" t="s">
        <v>3008</v>
      </c>
      <c r="K406" s="15" t="s">
        <v>152</v>
      </c>
      <c r="L406" s="15" t="s">
        <v>153</v>
      </c>
      <c r="M406" s="15" t="s">
        <v>154</v>
      </c>
      <c r="N406" s="15" t="s">
        <v>155</v>
      </c>
      <c r="O406" s="15" t="s">
        <v>156</v>
      </c>
      <c r="P406" s="15" t="s">
        <v>3009</v>
      </c>
      <c r="Q406" s="15" t="s">
        <v>3010</v>
      </c>
      <c r="R406" s="16">
        <v>44329</v>
      </c>
      <c r="S406" s="17" t="s">
        <v>172</v>
      </c>
      <c r="T406" s="20">
        <f>HYPERLINK("https://vnm.spiral.com.vn//uploaded/20210513/3b5bf746-af4d-43ed-809a-1ef180320f91.JPEG","16:43:56")</f>
      </c>
      <c r="U406" s="18"/>
      <c r="V406" s="18" t="s">
        <v>35</v>
      </c>
      <c r="W406" s="15" t="s">
        <v>3011</v>
      </c>
      <c r="X406" s="15" t="s">
        <v>35</v>
      </c>
      <c r="Y406" s="15" t="s">
        <v>35</v>
      </c>
      <c r="Z406" s="19">
        <v>0</v>
      </c>
      <c r="AA406" s="15">
        <v>0</v>
      </c>
      <c r="AB406" s="15" t="s">
        <v>35</v>
      </c>
    </row>
    <row r="407">
      <c r="A407" s="15">
        <v>403</v>
      </c>
      <c r="B407" s="15" t="s">
        <v>246</v>
      </c>
      <c r="C407" s="15" t="s">
        <v>2005</v>
      </c>
      <c r="D407" s="15" t="s">
        <v>35</v>
      </c>
      <c r="E407" s="15" t="s">
        <v>35</v>
      </c>
      <c r="F407" s="15" t="s">
        <v>3012</v>
      </c>
      <c r="G407" s="15" t="s">
        <v>36</v>
      </c>
      <c r="H407" s="15" t="s">
        <v>3013</v>
      </c>
      <c r="I407" s="15" t="s">
        <v>3014</v>
      </c>
      <c r="J407" s="15" t="s">
        <v>3015</v>
      </c>
      <c r="K407" s="15" t="s">
        <v>40</v>
      </c>
      <c r="L407" s="15" t="s">
        <v>41</v>
      </c>
      <c r="M407" s="15" t="s">
        <v>252</v>
      </c>
      <c r="N407" s="15" t="s">
        <v>253</v>
      </c>
      <c r="O407" s="15" t="s">
        <v>44</v>
      </c>
      <c r="P407" s="15" t="s">
        <v>3016</v>
      </c>
      <c r="Q407" s="15" t="s">
        <v>3017</v>
      </c>
      <c r="R407" s="16">
        <v>44329</v>
      </c>
      <c r="S407" s="17" t="s">
        <v>3018</v>
      </c>
      <c r="T407" s="20">
        <f>HYPERLINK("https://vnm.spiral.com.vn//uploaded/20210513/dee73d5b-68a0-4483-a271-94f06c193ef8.JPEG","16:43:36")</f>
      </c>
      <c r="U407" s="18"/>
      <c r="V407" s="18" t="s">
        <v>35</v>
      </c>
      <c r="W407" s="15" t="s">
        <v>3019</v>
      </c>
      <c r="X407" s="15" t="s">
        <v>35</v>
      </c>
      <c r="Y407" s="15" t="s">
        <v>35</v>
      </c>
      <c r="Z407" s="19">
        <v>0</v>
      </c>
      <c r="AA407" s="15">
        <v>0</v>
      </c>
      <c r="AB407" s="15" t="s">
        <v>35</v>
      </c>
    </row>
    <row r="408">
      <c r="A408" s="15">
        <v>404</v>
      </c>
      <c r="B408" s="15" t="s">
        <v>49</v>
      </c>
      <c r="C408" s="15" t="s">
        <v>162</v>
      </c>
      <c r="D408" s="15" t="s">
        <v>89</v>
      </c>
      <c r="E408" s="15" t="s">
        <v>90</v>
      </c>
      <c r="F408" s="15" t="s">
        <v>35</v>
      </c>
      <c r="G408" s="15" t="s">
        <v>74</v>
      </c>
      <c r="H408" s="15" t="s">
        <v>163</v>
      </c>
      <c r="I408" s="15" t="s">
        <v>164</v>
      </c>
      <c r="J408" s="15" t="s">
        <v>165</v>
      </c>
      <c r="K408" s="15" t="s">
        <v>166</v>
      </c>
      <c r="L408" s="15" t="s">
        <v>167</v>
      </c>
      <c r="M408" s="15" t="s">
        <v>168</v>
      </c>
      <c r="N408" s="15" t="s">
        <v>169</v>
      </c>
      <c r="O408" s="15" t="s">
        <v>156</v>
      </c>
      <c r="P408" s="15" t="s">
        <v>3020</v>
      </c>
      <c r="Q408" s="15" t="s">
        <v>3021</v>
      </c>
      <c r="R408" s="16">
        <v>44329</v>
      </c>
      <c r="S408" s="17" t="s">
        <v>256</v>
      </c>
      <c r="T408" s="20">
        <f>HYPERLINK("https://vnm.spiral.com.vn//uploaded/20210513/2B3FC14C-D046-4F18-BC26-F318E0EC9BBB.jpg","07:28:58")</f>
      </c>
      <c r="U408" s="20">
        <f>HYPERLINK("https://vnm.spiral.com.vn//uploaded/20210513/907CA6AF-B0D5-45B4-BBA7-906ABAF5061F.jpg","16:43:15")</f>
      </c>
      <c r="V408" s="18">
        <v>0.38491898148148146</v>
      </c>
      <c r="W408" s="15" t="s">
        <v>3022</v>
      </c>
      <c r="X408" s="15" t="s">
        <v>3023</v>
      </c>
      <c r="Y408" s="15" t="s">
        <v>35</v>
      </c>
      <c r="Z408" s="19">
        <v>0</v>
      </c>
      <c r="AA408" s="15">
        <v>0</v>
      </c>
      <c r="AB408" s="15" t="s">
        <v>35</v>
      </c>
    </row>
    <row r="409">
      <c r="A409" s="15">
        <v>405</v>
      </c>
      <c r="B409" s="15" t="s">
        <v>49</v>
      </c>
      <c r="C409" s="15" t="s">
        <v>756</v>
      </c>
      <c r="D409" s="15" t="s">
        <v>35</v>
      </c>
      <c r="E409" s="15" t="s">
        <v>35</v>
      </c>
      <c r="F409" s="15" t="s">
        <v>757</v>
      </c>
      <c r="G409" s="15" t="s">
        <v>36</v>
      </c>
      <c r="H409" s="15" t="s">
        <v>3024</v>
      </c>
      <c r="I409" s="15" t="s">
        <v>3025</v>
      </c>
      <c r="J409" s="15" t="s">
        <v>3026</v>
      </c>
      <c r="K409" s="15" t="s">
        <v>40</v>
      </c>
      <c r="L409" s="15" t="s">
        <v>41</v>
      </c>
      <c r="M409" s="15" t="s">
        <v>55</v>
      </c>
      <c r="N409" s="15" t="s">
        <v>56</v>
      </c>
      <c r="O409" s="15" t="s">
        <v>44</v>
      </c>
      <c r="P409" s="15" t="s">
        <v>3027</v>
      </c>
      <c r="Q409" s="15" t="s">
        <v>3028</v>
      </c>
      <c r="R409" s="16">
        <v>44329</v>
      </c>
      <c r="S409" s="17" t="s">
        <v>475</v>
      </c>
      <c r="T409" s="20">
        <f>HYPERLINK("https://vnm.spiral.com.vn//uploaded/20210513/e19b5fd1-0ec6-46dd-94b7-3066a9a83d0d.JPEG","07:37:53")</f>
      </c>
      <c r="U409" s="20">
        <f>HYPERLINK("https://vnm.spiral.com.vn//uploaded/20210513/bb6b6f60-65cb-4bab-9b1c-f59382174057.JPEG","16:43:06")</f>
      </c>
      <c r="V409" s="18">
        <v>0.37862268518518516</v>
      </c>
      <c r="W409" s="15" t="s">
        <v>3029</v>
      </c>
      <c r="X409" s="15" t="s">
        <v>3030</v>
      </c>
      <c r="Y409" s="15" t="s">
        <v>35</v>
      </c>
      <c r="Z409" s="19">
        <v>0</v>
      </c>
      <c r="AA409" s="15">
        <v>0</v>
      </c>
      <c r="AB409" s="15" t="s">
        <v>35</v>
      </c>
    </row>
    <row r="410">
      <c r="A410" s="15">
        <v>406</v>
      </c>
      <c r="B410" s="15" t="s">
        <v>33</v>
      </c>
      <c r="C410" s="15" t="s">
        <v>979</v>
      </c>
      <c r="D410" s="15" t="s">
        <v>35</v>
      </c>
      <c r="E410" s="15" t="s">
        <v>35</v>
      </c>
      <c r="F410" s="15" t="s">
        <v>35</v>
      </c>
      <c r="G410" s="15" t="s">
        <v>74</v>
      </c>
      <c r="H410" s="15" t="s">
        <v>3031</v>
      </c>
      <c r="I410" s="15" t="s">
        <v>3032</v>
      </c>
      <c r="J410" s="15" t="s">
        <v>3033</v>
      </c>
      <c r="K410" s="15" t="s">
        <v>540</v>
      </c>
      <c r="L410" s="15" t="s">
        <v>541</v>
      </c>
      <c r="M410" s="15" t="s">
        <v>769</v>
      </c>
      <c r="N410" s="15" t="s">
        <v>770</v>
      </c>
      <c r="O410" s="15" t="s">
        <v>82</v>
      </c>
      <c r="P410" s="15" t="s">
        <v>3034</v>
      </c>
      <c r="Q410" s="15" t="s">
        <v>3035</v>
      </c>
      <c r="R410" s="16">
        <v>44329</v>
      </c>
      <c r="S410" s="17" t="s">
        <v>70</v>
      </c>
      <c r="T410" s="20">
        <f>HYPERLINK("https://vnm.spiral.com.vn//uploaded/20210513/444f213a-be20-4c9b-b5ed-fdd4a2fffa09.JPEG","15:31:06")</f>
      </c>
      <c r="U410" s="20">
        <f>HYPERLINK("https://vnm.spiral.com.vn//uploaded/20210513/60259653-54c7-46fe-aeff-ed8d46557bbd.JPEG","16:42:50")</f>
      </c>
      <c r="V410" s="18">
        <v>0.04981481481481481</v>
      </c>
      <c r="W410" s="15" t="s">
        <v>3036</v>
      </c>
      <c r="X410" s="15" t="s">
        <v>3037</v>
      </c>
      <c r="Y410" s="15" t="s">
        <v>35</v>
      </c>
      <c r="Z410" s="19">
        <v>0</v>
      </c>
      <c r="AA410" s="15">
        <v>0</v>
      </c>
      <c r="AB410" s="15" t="s">
        <v>35</v>
      </c>
    </row>
    <row r="411">
      <c r="A411" s="15">
        <v>407</v>
      </c>
      <c r="B411" s="15" t="s">
        <v>87</v>
      </c>
      <c r="C411" s="15" t="s">
        <v>88</v>
      </c>
      <c r="D411" s="15" t="s">
        <v>35</v>
      </c>
      <c r="E411" s="15" t="s">
        <v>35</v>
      </c>
      <c r="F411" s="15" t="s">
        <v>2773</v>
      </c>
      <c r="G411" s="15" t="s">
        <v>36</v>
      </c>
      <c r="H411" s="15" t="s">
        <v>3038</v>
      </c>
      <c r="I411" s="15" t="s">
        <v>3039</v>
      </c>
      <c r="J411" s="15" t="s">
        <v>3040</v>
      </c>
      <c r="K411" s="15" t="s">
        <v>40</v>
      </c>
      <c r="L411" s="15" t="s">
        <v>41</v>
      </c>
      <c r="M411" s="15" t="s">
        <v>810</v>
      </c>
      <c r="N411" s="15" t="s">
        <v>811</v>
      </c>
      <c r="O411" s="15" t="s">
        <v>44</v>
      </c>
      <c r="P411" s="15" t="s">
        <v>3041</v>
      </c>
      <c r="Q411" s="15" t="s">
        <v>3042</v>
      </c>
      <c r="R411" s="16">
        <v>44329</v>
      </c>
      <c r="S411" s="17" t="s">
        <v>2003</v>
      </c>
      <c r="T411" s="20">
        <f>HYPERLINK("https://vnm.spiral.com.vn//uploaded/20210513/019e50d7-2fbf-49bc-9298-e40800bd6d71.JPEG","16:42:44")</f>
      </c>
      <c r="U411" s="18"/>
      <c r="V411" s="18" t="s">
        <v>35</v>
      </c>
      <c r="W411" s="15" t="s">
        <v>3043</v>
      </c>
      <c r="X411" s="15" t="s">
        <v>35</v>
      </c>
      <c r="Y411" s="15" t="s">
        <v>35</v>
      </c>
      <c r="Z411" s="19">
        <v>0</v>
      </c>
      <c r="AA411" s="15">
        <v>0</v>
      </c>
      <c r="AB411" s="15" t="s">
        <v>35</v>
      </c>
    </row>
    <row r="412">
      <c r="A412" s="15">
        <v>408</v>
      </c>
      <c r="B412" s="15" t="s">
        <v>61</v>
      </c>
      <c r="C412" s="15" t="s">
        <v>398</v>
      </c>
      <c r="D412" s="15" t="s">
        <v>35</v>
      </c>
      <c r="E412" s="15" t="s">
        <v>35</v>
      </c>
      <c r="F412" s="15" t="s">
        <v>35</v>
      </c>
      <c r="G412" s="15" t="s">
        <v>36</v>
      </c>
      <c r="H412" s="15" t="s">
        <v>3044</v>
      </c>
      <c r="I412" s="15" t="s">
        <v>3045</v>
      </c>
      <c r="J412" s="15" t="s">
        <v>3046</v>
      </c>
      <c r="K412" s="15" t="s">
        <v>40</v>
      </c>
      <c r="L412" s="15" t="s">
        <v>41</v>
      </c>
      <c r="M412" s="15" t="s">
        <v>66</v>
      </c>
      <c r="N412" s="15" t="s">
        <v>67</v>
      </c>
      <c r="O412" s="15" t="s">
        <v>44</v>
      </c>
      <c r="P412" s="15" t="s">
        <v>3047</v>
      </c>
      <c r="Q412" s="15" t="s">
        <v>3048</v>
      </c>
      <c r="R412" s="16">
        <v>44329</v>
      </c>
      <c r="S412" s="17" t="s">
        <v>1112</v>
      </c>
      <c r="T412" s="20">
        <f>HYPERLINK("https://vnm.spiral.com.vn//uploaded/20210513/911fc171-ddcf-4616-a642-ae42d74c65a9.JPEG","08:01:48")</f>
      </c>
      <c r="U412" s="20">
        <f>HYPERLINK("https://vnm.spiral.com.vn//uploaded/20210513/30cd305f-7291-47a7-b36f-ea85559c174f.JPEG","16:42:34")</f>
      </c>
      <c r="V412" s="18">
        <v>0.3616435185185185</v>
      </c>
      <c r="W412" s="15" t="s">
        <v>3049</v>
      </c>
      <c r="X412" s="15" t="s">
        <v>3050</v>
      </c>
      <c r="Y412" s="15" t="s">
        <v>35</v>
      </c>
      <c r="Z412" s="19">
        <v>0</v>
      </c>
      <c r="AA412" s="15">
        <v>0</v>
      </c>
      <c r="AB412" s="15" t="s">
        <v>35</v>
      </c>
    </row>
    <row r="413">
      <c r="A413" s="15">
        <v>409</v>
      </c>
      <c r="B413" s="15" t="s">
        <v>87</v>
      </c>
      <c r="C413" s="15" t="s">
        <v>88</v>
      </c>
      <c r="D413" s="15" t="s">
        <v>357</v>
      </c>
      <c r="E413" s="15" t="s">
        <v>90</v>
      </c>
      <c r="F413" s="15" t="s">
        <v>35</v>
      </c>
      <c r="G413" s="15" t="s">
        <v>74</v>
      </c>
      <c r="H413" s="15" t="s">
        <v>3051</v>
      </c>
      <c r="I413" s="15" t="s">
        <v>3052</v>
      </c>
      <c r="J413" s="15" t="s">
        <v>3053</v>
      </c>
      <c r="K413" s="15" t="s">
        <v>1570</v>
      </c>
      <c r="L413" s="15" t="s">
        <v>1571</v>
      </c>
      <c r="M413" s="15" t="s">
        <v>2024</v>
      </c>
      <c r="N413" s="15" t="s">
        <v>2025</v>
      </c>
      <c r="O413" s="15" t="s">
        <v>82</v>
      </c>
      <c r="P413" s="15" t="s">
        <v>2172</v>
      </c>
      <c r="Q413" s="15" t="s">
        <v>2173</v>
      </c>
      <c r="R413" s="16">
        <v>44329</v>
      </c>
      <c r="S413" s="17" t="s">
        <v>70</v>
      </c>
      <c r="T413" s="20">
        <f>HYPERLINK("https://vnm.spiral.com.vn//uploaded/20210513/1d20158d-eb92-4412-9c3a-cc10df2c220b.JPEG","16:22:13")</f>
      </c>
      <c r="U413" s="20">
        <f>HYPERLINK("https://vnm.spiral.com.vn//uploaded/20210513/08d77981-8737-4630-9e10-a6f6980c2ea2.JPEG","16:42:23")</f>
      </c>
      <c r="V413" s="18">
        <v>0.014004629629629629</v>
      </c>
      <c r="W413" s="15" t="s">
        <v>3054</v>
      </c>
      <c r="X413" s="15" t="s">
        <v>3055</v>
      </c>
      <c r="Y413" s="15" t="s">
        <v>35</v>
      </c>
      <c r="Z413" s="19">
        <v>0</v>
      </c>
      <c r="AA413" s="15">
        <v>0</v>
      </c>
      <c r="AB413" s="15" t="s">
        <v>35</v>
      </c>
    </row>
    <row r="414">
      <c r="A414" s="15">
        <v>410</v>
      </c>
      <c r="B414" s="15" t="s">
        <v>49</v>
      </c>
      <c r="C414" s="15" t="s">
        <v>50</v>
      </c>
      <c r="D414" s="15" t="s">
        <v>35</v>
      </c>
      <c r="E414" s="15" t="s">
        <v>35</v>
      </c>
      <c r="F414" s="15" t="s">
        <v>3056</v>
      </c>
      <c r="G414" s="15" t="s">
        <v>36</v>
      </c>
      <c r="H414" s="15" t="s">
        <v>3057</v>
      </c>
      <c r="I414" s="15" t="s">
        <v>3058</v>
      </c>
      <c r="J414" s="15" t="s">
        <v>3059</v>
      </c>
      <c r="K414" s="15" t="s">
        <v>40</v>
      </c>
      <c r="L414" s="15" t="s">
        <v>41</v>
      </c>
      <c r="M414" s="15" t="s">
        <v>55</v>
      </c>
      <c r="N414" s="15" t="s">
        <v>56</v>
      </c>
      <c r="O414" s="15" t="s">
        <v>44</v>
      </c>
      <c r="P414" s="15" t="s">
        <v>3060</v>
      </c>
      <c r="Q414" s="15" t="s">
        <v>3061</v>
      </c>
      <c r="R414" s="16">
        <v>44329</v>
      </c>
      <c r="S414" s="17" t="s">
        <v>1112</v>
      </c>
      <c r="T414" s="20">
        <f>HYPERLINK("https://vnm.spiral.com.vn//uploaded/20210513/cf51ac53-1960-4cc5-a7b2-731571035793.JPEG","07:37:11")</f>
      </c>
      <c r="U414" s="20">
        <f>HYPERLINK("https://vnm.spiral.com.vn//uploaded/20210513/481a0694-9cd9-49e5-9d4a-2cba31576f3e.JPEG","16:42:02")</f>
      </c>
      <c r="V414" s="18">
        <v>0.3783680555555556</v>
      </c>
      <c r="W414" s="15" t="s">
        <v>3062</v>
      </c>
      <c r="X414" s="15" t="s">
        <v>3063</v>
      </c>
      <c r="Y414" s="15" t="s">
        <v>35</v>
      </c>
      <c r="Z414" s="19">
        <v>0</v>
      </c>
      <c r="AA414" s="15">
        <v>0</v>
      </c>
      <c r="AB414" s="15" t="s">
        <v>35</v>
      </c>
    </row>
    <row r="415">
      <c r="A415" s="15">
        <v>411</v>
      </c>
      <c r="B415" s="15" t="s">
        <v>246</v>
      </c>
      <c r="C415" s="15" t="s">
        <v>247</v>
      </c>
      <c r="D415" s="15" t="s">
        <v>148</v>
      </c>
      <c r="E415" s="15" t="s">
        <v>90</v>
      </c>
      <c r="F415" s="15" t="s">
        <v>35</v>
      </c>
      <c r="G415" s="15" t="s">
        <v>74</v>
      </c>
      <c r="H415" s="15" t="s">
        <v>3064</v>
      </c>
      <c r="I415" s="15" t="s">
        <v>3065</v>
      </c>
      <c r="J415" s="15" t="s">
        <v>3066</v>
      </c>
      <c r="K415" s="15" t="s">
        <v>263</v>
      </c>
      <c r="L415" s="15" t="s">
        <v>264</v>
      </c>
      <c r="M415" s="15" t="s">
        <v>339</v>
      </c>
      <c r="N415" s="15" t="s">
        <v>340</v>
      </c>
      <c r="O415" s="15" t="s">
        <v>156</v>
      </c>
      <c r="P415" s="15" t="s">
        <v>3067</v>
      </c>
      <c r="Q415" s="15" t="s">
        <v>283</v>
      </c>
      <c r="R415" s="16">
        <v>44329</v>
      </c>
      <c r="S415" s="17" t="s">
        <v>256</v>
      </c>
      <c r="T415" s="18"/>
      <c r="U415" s="20">
        <f>HYPERLINK("https://vnm.spiral.com.vn//uploaded/20210513/84b79df3-33a8-4ee4-9f44-93cc07132bed.JPEG","16:41:50")</f>
      </c>
      <c r="V415" s="18" t="s">
        <v>35</v>
      </c>
      <c r="W415" s="15" t="s">
        <v>35</v>
      </c>
      <c r="X415" s="15" t="s">
        <v>3068</v>
      </c>
      <c r="Y415" s="15" t="s">
        <v>35</v>
      </c>
      <c r="Z415" s="19">
        <v>0</v>
      </c>
      <c r="AA415" s="15">
        <v>0</v>
      </c>
      <c r="AB415" s="15" t="s">
        <v>35</v>
      </c>
    </row>
    <row r="416">
      <c r="A416" s="15">
        <v>412</v>
      </c>
      <c r="B416" s="15" t="s">
        <v>343</v>
      </c>
      <c r="C416" s="15" t="s">
        <v>344</v>
      </c>
      <c r="D416" s="15" t="s">
        <v>432</v>
      </c>
      <c r="E416" s="15" t="s">
        <v>116</v>
      </c>
      <c r="F416" s="15" t="s">
        <v>35</v>
      </c>
      <c r="G416" s="15" t="s">
        <v>74</v>
      </c>
      <c r="H416" s="15" t="s">
        <v>3069</v>
      </c>
      <c r="I416" s="15" t="s">
        <v>3070</v>
      </c>
      <c r="J416" s="15" t="s">
        <v>3071</v>
      </c>
      <c r="K416" s="15" t="s">
        <v>1168</v>
      </c>
      <c r="L416" s="15" t="s">
        <v>1169</v>
      </c>
      <c r="M416" s="15" t="s">
        <v>1170</v>
      </c>
      <c r="N416" s="15" t="s">
        <v>1171</v>
      </c>
      <c r="O416" s="15" t="s">
        <v>82</v>
      </c>
      <c r="P416" s="15" t="s">
        <v>1726</v>
      </c>
      <c r="Q416" s="15" t="s">
        <v>1727</v>
      </c>
      <c r="R416" s="16">
        <v>44329</v>
      </c>
      <c r="S416" s="17" t="s">
        <v>70</v>
      </c>
      <c r="T416" s="20">
        <f>HYPERLINK("https://vnm.spiral.com.vn//uploaded/20210513/068d1f61-7f01-44ec-bc56-43e246b28fad.JPEG","14:00:34")</f>
      </c>
      <c r="U416" s="20">
        <f>HYPERLINK("https://vnm.spiral.com.vn//uploaded/20210513/71b4215a-c3cc-486f-b9d3-1391ab2c5742.JPEG","16:41:44")</f>
      </c>
      <c r="V416" s="18">
        <v>0.1119212962962963</v>
      </c>
      <c r="W416" s="15" t="s">
        <v>3072</v>
      </c>
      <c r="X416" s="15" t="s">
        <v>3073</v>
      </c>
      <c r="Y416" s="15" t="s">
        <v>35</v>
      </c>
      <c r="Z416" s="19">
        <v>0</v>
      </c>
      <c r="AA416" s="15">
        <v>0</v>
      </c>
      <c r="AB416" s="15" t="s">
        <v>35</v>
      </c>
    </row>
    <row r="417">
      <c r="A417" s="15">
        <v>413</v>
      </c>
      <c r="B417" s="15" t="s">
        <v>103</v>
      </c>
      <c r="C417" s="15" t="s">
        <v>1078</v>
      </c>
      <c r="D417" s="15" t="s">
        <v>89</v>
      </c>
      <c r="E417" s="15" t="s">
        <v>90</v>
      </c>
      <c r="F417" s="15" t="s">
        <v>35</v>
      </c>
      <c r="G417" s="15" t="s">
        <v>74</v>
      </c>
      <c r="H417" s="15" t="s">
        <v>3074</v>
      </c>
      <c r="I417" s="15" t="s">
        <v>3075</v>
      </c>
      <c r="J417" s="15" t="s">
        <v>3076</v>
      </c>
      <c r="K417" s="15" t="s">
        <v>190</v>
      </c>
      <c r="L417" s="15" t="s">
        <v>191</v>
      </c>
      <c r="M417" s="15" t="s">
        <v>436</v>
      </c>
      <c r="N417" s="15" t="s">
        <v>437</v>
      </c>
      <c r="O417" s="15" t="s">
        <v>98</v>
      </c>
      <c r="P417" s="15" t="s">
        <v>1429</v>
      </c>
      <c r="Q417" s="15" t="s">
        <v>1430</v>
      </c>
      <c r="R417" s="16">
        <v>44329</v>
      </c>
      <c r="S417" s="17" t="s">
        <v>35</v>
      </c>
      <c r="T417" s="20">
        <f>HYPERLINK("https://vnm.spiral.com.vn//uploaded/20210513/f7677cdc-b4f9-4fe5-9757-f586d2d08334.JPEG","12:31:47")</f>
      </c>
      <c r="U417" s="20">
        <f>HYPERLINK("https://vnm.spiral.com.vn//uploaded/20210513/ed71b77b-f063-4f7c-a0d8-60dd79708b6c.JPEG","16:41:27")</f>
      </c>
      <c r="V417" s="18">
        <v>0.17337962962962963</v>
      </c>
      <c r="W417" s="15" t="s">
        <v>3077</v>
      </c>
      <c r="X417" s="15" t="s">
        <v>3077</v>
      </c>
      <c r="Y417" s="15" t="s">
        <v>35</v>
      </c>
      <c r="Z417" s="19">
        <v>0</v>
      </c>
      <c r="AA417" s="15">
        <v>0</v>
      </c>
      <c r="AB417" s="15" t="s">
        <v>35</v>
      </c>
    </row>
    <row r="418">
      <c r="A418" s="15">
        <v>414</v>
      </c>
      <c r="B418" s="15" t="s">
        <v>49</v>
      </c>
      <c r="C418" s="15" t="s">
        <v>162</v>
      </c>
      <c r="D418" s="15" t="s">
        <v>35</v>
      </c>
      <c r="E418" s="15" t="s">
        <v>35</v>
      </c>
      <c r="F418" s="15" t="s">
        <v>1969</v>
      </c>
      <c r="G418" s="15" t="s">
        <v>36</v>
      </c>
      <c r="H418" s="15" t="s">
        <v>3078</v>
      </c>
      <c r="I418" s="15" t="s">
        <v>3079</v>
      </c>
      <c r="J418" s="15" t="s">
        <v>3080</v>
      </c>
      <c r="K418" s="15" t="s">
        <v>40</v>
      </c>
      <c r="L418" s="15" t="s">
        <v>41</v>
      </c>
      <c r="M418" s="15" t="s">
        <v>55</v>
      </c>
      <c r="N418" s="15" t="s">
        <v>56</v>
      </c>
      <c r="O418" s="15" t="s">
        <v>44</v>
      </c>
      <c r="P418" s="15" t="s">
        <v>3081</v>
      </c>
      <c r="Q418" s="15" t="s">
        <v>3082</v>
      </c>
      <c r="R418" s="16">
        <v>44329</v>
      </c>
      <c r="S418" s="17" t="s">
        <v>256</v>
      </c>
      <c r="T418" s="20">
        <f>HYPERLINK("https://vnm.spiral.com.vn//uploaded/20210513/5628BC5C-60FB-420E-901C-E4AA861DA0EF.jpg","07:14:39")</f>
      </c>
      <c r="U418" s="20">
        <f>HYPERLINK("https://vnm.spiral.com.vn//uploaded/20210513/0A5B37EC-9505-45AE-A03C-E05F586AEA1B.jpg","16:41:27")</f>
      </c>
      <c r="V418" s="18">
        <v>0.39361111111111113</v>
      </c>
      <c r="W418" s="15" t="s">
        <v>3083</v>
      </c>
      <c r="X418" s="15" t="s">
        <v>3084</v>
      </c>
      <c r="Y418" s="15" t="s">
        <v>35</v>
      </c>
      <c r="Z418" s="19">
        <v>0</v>
      </c>
      <c r="AA418" s="15">
        <v>0</v>
      </c>
      <c r="AB418" s="15" t="s">
        <v>35</v>
      </c>
    </row>
    <row r="419">
      <c r="A419" s="15">
        <v>415</v>
      </c>
      <c r="B419" s="15" t="s">
        <v>49</v>
      </c>
      <c r="C419" s="15" t="s">
        <v>756</v>
      </c>
      <c r="D419" s="15" t="s">
        <v>35</v>
      </c>
      <c r="E419" s="15" t="s">
        <v>35</v>
      </c>
      <c r="F419" s="15" t="s">
        <v>757</v>
      </c>
      <c r="G419" s="15" t="s">
        <v>36</v>
      </c>
      <c r="H419" s="15" t="s">
        <v>3085</v>
      </c>
      <c r="I419" s="15" t="s">
        <v>3086</v>
      </c>
      <c r="J419" s="15" t="s">
        <v>3087</v>
      </c>
      <c r="K419" s="15" t="s">
        <v>40</v>
      </c>
      <c r="L419" s="15" t="s">
        <v>41</v>
      </c>
      <c r="M419" s="15" t="s">
        <v>55</v>
      </c>
      <c r="N419" s="15" t="s">
        <v>56</v>
      </c>
      <c r="O419" s="15" t="s">
        <v>44</v>
      </c>
      <c r="P419" s="15" t="s">
        <v>3088</v>
      </c>
      <c r="Q419" s="15" t="s">
        <v>3089</v>
      </c>
      <c r="R419" s="16">
        <v>44329</v>
      </c>
      <c r="S419" s="17" t="s">
        <v>1188</v>
      </c>
      <c r="T419" s="20">
        <f>HYPERLINK("https://vnm.spiral.com.vn//uploaded/20210513/c2f4e8e3-e89d-47d9-9134-06753fbbd19d.JPEG","07:42:38")</f>
      </c>
      <c r="U419" s="20">
        <f>HYPERLINK("https://vnm.spiral.com.vn//uploaded/20210513/de62e2df-b3f7-4f7f-a4a9-e44e2bcba737.JPEG","16:40:33")</f>
      </c>
      <c r="V419" s="18">
        <v>0.37355324074074076</v>
      </c>
      <c r="W419" s="15" t="s">
        <v>3090</v>
      </c>
      <c r="X419" s="15" t="s">
        <v>3090</v>
      </c>
      <c r="Y419" s="15" t="s">
        <v>35</v>
      </c>
      <c r="Z419" s="19">
        <v>0</v>
      </c>
      <c r="AA419" s="15">
        <v>0</v>
      </c>
      <c r="AB419" s="15" t="s">
        <v>35</v>
      </c>
    </row>
    <row r="420">
      <c r="A420" s="15">
        <v>416</v>
      </c>
      <c r="B420" s="15" t="s">
        <v>103</v>
      </c>
      <c r="C420" s="15" t="s">
        <v>1078</v>
      </c>
      <c r="D420" s="15" t="s">
        <v>89</v>
      </c>
      <c r="E420" s="15" t="s">
        <v>90</v>
      </c>
      <c r="F420" s="15" t="s">
        <v>35</v>
      </c>
      <c r="G420" s="15" t="s">
        <v>74</v>
      </c>
      <c r="H420" s="15" t="s">
        <v>1426</v>
      </c>
      <c r="I420" s="15" t="s">
        <v>1427</v>
      </c>
      <c r="J420" s="15" t="s">
        <v>1428</v>
      </c>
      <c r="K420" s="15" t="s">
        <v>436</v>
      </c>
      <c r="L420" s="15" t="s">
        <v>437</v>
      </c>
      <c r="M420" s="15" t="s">
        <v>1429</v>
      </c>
      <c r="N420" s="15" t="s">
        <v>1430</v>
      </c>
      <c r="O420" s="15" t="s">
        <v>156</v>
      </c>
      <c r="P420" s="15" t="s">
        <v>3091</v>
      </c>
      <c r="Q420" s="15" t="s">
        <v>3092</v>
      </c>
      <c r="R420" s="16">
        <v>44329</v>
      </c>
      <c r="S420" s="17" t="s">
        <v>256</v>
      </c>
      <c r="T420" s="20">
        <f>HYPERLINK("https://vnm.spiral.com.vn//uploaded/20210513/a99c5197-1812-42da-93a7-b03c26fbb442.JPEG","07:27:04")</f>
      </c>
      <c r="U420" s="20">
        <f>HYPERLINK("https://vnm.spiral.com.vn//uploaded/20210513/512350d1-cabe-401c-8571-0fa7cfbb9ac6.JPEG","16:40:23")</f>
      </c>
      <c r="V420" s="18">
        <v>0.3842476851851852</v>
      </c>
      <c r="W420" s="15" t="s">
        <v>3093</v>
      </c>
      <c r="X420" s="15" t="s">
        <v>3094</v>
      </c>
      <c r="Y420" s="15" t="s">
        <v>35</v>
      </c>
      <c r="Z420" s="19">
        <v>0</v>
      </c>
      <c r="AA420" s="15">
        <v>0</v>
      </c>
      <c r="AB420" s="15" t="s">
        <v>35</v>
      </c>
    </row>
    <row r="421">
      <c r="A421" s="15">
        <v>417</v>
      </c>
      <c r="B421" s="15" t="s">
        <v>87</v>
      </c>
      <c r="C421" s="15" t="s">
        <v>88</v>
      </c>
      <c r="D421" s="15" t="s">
        <v>115</v>
      </c>
      <c r="E421" s="15" t="s">
        <v>116</v>
      </c>
      <c r="F421" s="15" t="s">
        <v>35</v>
      </c>
      <c r="G421" s="15" t="s">
        <v>74</v>
      </c>
      <c r="H421" s="15" t="s">
        <v>3095</v>
      </c>
      <c r="I421" s="15" t="s">
        <v>3096</v>
      </c>
      <c r="J421" s="15" t="s">
        <v>3097</v>
      </c>
      <c r="K421" s="15" t="s">
        <v>120</v>
      </c>
      <c r="L421" s="15" t="s">
        <v>121</v>
      </c>
      <c r="M421" s="15" t="s">
        <v>1073</v>
      </c>
      <c r="N421" s="15" t="s">
        <v>1074</v>
      </c>
      <c r="O421" s="15" t="s">
        <v>82</v>
      </c>
      <c r="P421" s="15" t="s">
        <v>2955</v>
      </c>
      <c r="Q421" s="15" t="s">
        <v>2956</v>
      </c>
      <c r="R421" s="16">
        <v>44329</v>
      </c>
      <c r="S421" s="17" t="s">
        <v>70</v>
      </c>
      <c r="T421" s="20">
        <f>HYPERLINK("https://vnm.spiral.com.vn//uploaded/20210513/66641431-7a5b-4431-b07c-a977849d1b86.jpg","11:15:06")</f>
      </c>
      <c r="U421" s="20">
        <f>HYPERLINK("https://vnm.spiral.com.vn//uploaded/20210513/bed7b54a-9c2d-4911-aa4e-77546855a164.jpg","16:40:14")</f>
      </c>
      <c r="V421" s="18">
        <v>0.22578703703703704</v>
      </c>
      <c r="W421" s="15" t="s">
        <v>3098</v>
      </c>
      <c r="X421" s="15" t="s">
        <v>2957</v>
      </c>
      <c r="Y421" s="15" t="s">
        <v>35</v>
      </c>
      <c r="Z421" s="19">
        <v>0</v>
      </c>
      <c r="AA421" s="15">
        <v>0</v>
      </c>
      <c r="AB421" s="15" t="s">
        <v>35</v>
      </c>
    </row>
    <row r="422">
      <c r="A422" s="15">
        <v>418</v>
      </c>
      <c r="B422" s="15" t="s">
        <v>103</v>
      </c>
      <c r="C422" s="15" t="s">
        <v>174</v>
      </c>
      <c r="D422" s="15" t="s">
        <v>135</v>
      </c>
      <c r="E422" s="15" t="s">
        <v>116</v>
      </c>
      <c r="F422" s="15" t="s">
        <v>35</v>
      </c>
      <c r="G422" s="15" t="s">
        <v>74</v>
      </c>
      <c r="H422" s="15" t="s">
        <v>3099</v>
      </c>
      <c r="I422" s="15" t="s">
        <v>3100</v>
      </c>
      <c r="J422" s="15" t="s">
        <v>3101</v>
      </c>
      <c r="K422" s="15" t="s">
        <v>178</v>
      </c>
      <c r="L422" s="15" t="s">
        <v>179</v>
      </c>
      <c r="M422" s="15" t="s">
        <v>180</v>
      </c>
      <c r="N422" s="15" t="s">
        <v>181</v>
      </c>
      <c r="O422" s="15" t="s">
        <v>82</v>
      </c>
      <c r="P422" s="15" t="s">
        <v>182</v>
      </c>
      <c r="Q422" s="15" t="s">
        <v>183</v>
      </c>
      <c r="R422" s="16">
        <v>44329</v>
      </c>
      <c r="S422" s="17" t="s">
        <v>70</v>
      </c>
      <c r="T422" s="20">
        <f>HYPERLINK("https://vnm.spiral.com.vn//uploaded/20210513/17ef0b78-bac5-459d-b8c4-82dc7c478212.JPEG","16:00:28")</f>
      </c>
      <c r="U422" s="20">
        <f>HYPERLINK("https://vnm.spiral.com.vn//uploaded/20210513/7ab6ad1f-9d47-4b21-afc6-7153c534c880.JPEG","16:39:43")</f>
      </c>
      <c r="V422" s="18">
        <v>0.027256944444444445</v>
      </c>
      <c r="W422" s="15" t="s">
        <v>3102</v>
      </c>
      <c r="X422" s="15" t="s">
        <v>3103</v>
      </c>
      <c r="Y422" s="15" t="s">
        <v>35</v>
      </c>
      <c r="Z422" s="19">
        <v>0</v>
      </c>
      <c r="AA422" s="15">
        <v>0</v>
      </c>
      <c r="AB422" s="15" t="s">
        <v>35</v>
      </c>
    </row>
    <row r="423">
      <c r="A423" s="15">
        <v>419</v>
      </c>
      <c r="B423" s="15" t="s">
        <v>87</v>
      </c>
      <c r="C423" s="15" t="s">
        <v>88</v>
      </c>
      <c r="D423" s="15" t="s">
        <v>35</v>
      </c>
      <c r="E423" s="15" t="s">
        <v>35</v>
      </c>
      <c r="F423" s="15" t="s">
        <v>35</v>
      </c>
      <c r="G423" s="15" t="s">
        <v>36</v>
      </c>
      <c r="H423" s="15" t="s">
        <v>3104</v>
      </c>
      <c r="I423" s="15" t="s">
        <v>792</v>
      </c>
      <c r="J423" s="15" t="s">
        <v>3105</v>
      </c>
      <c r="K423" s="15" t="s">
        <v>40</v>
      </c>
      <c r="L423" s="15" t="s">
        <v>41</v>
      </c>
      <c r="M423" s="15" t="s">
        <v>289</v>
      </c>
      <c r="N423" s="15" t="s">
        <v>290</v>
      </c>
      <c r="O423" s="15" t="s">
        <v>44</v>
      </c>
      <c r="P423" s="15" t="s">
        <v>3106</v>
      </c>
      <c r="Q423" s="15" t="s">
        <v>3107</v>
      </c>
      <c r="R423" s="16">
        <v>44329</v>
      </c>
      <c r="S423" s="17" t="s">
        <v>475</v>
      </c>
      <c r="T423" s="20">
        <f>HYPERLINK("https://vnm.spiral.com.vn//uploaded/20210513/82f75273-e3cc-4a8f-b28b-6bae817cbbfc.JPEG","07:19:07")</f>
      </c>
      <c r="U423" s="20">
        <f>HYPERLINK("https://vnm.spiral.com.vn//uploaded/20210513/c07ab68c-9b30-48de-9c56-6cc151b1d968.JPEG","16:39:43")</f>
      </c>
      <c r="V423" s="18">
        <v>0.38930555555555557</v>
      </c>
      <c r="W423" s="15" t="s">
        <v>3108</v>
      </c>
      <c r="X423" s="15" t="s">
        <v>3109</v>
      </c>
      <c r="Y423" s="15" t="s">
        <v>35</v>
      </c>
      <c r="Z423" s="19">
        <v>0</v>
      </c>
      <c r="AA423" s="15">
        <v>0</v>
      </c>
      <c r="AB423" s="15" t="s">
        <v>35</v>
      </c>
    </row>
    <row r="424">
      <c r="A424" s="15">
        <v>420</v>
      </c>
      <c r="B424" s="15" t="s">
        <v>343</v>
      </c>
      <c r="C424" s="15" t="s">
        <v>344</v>
      </c>
      <c r="D424" s="15" t="s">
        <v>1897</v>
      </c>
      <c r="E424" s="15" t="s">
        <v>90</v>
      </c>
      <c r="F424" s="15" t="s">
        <v>35</v>
      </c>
      <c r="G424" s="15" t="s">
        <v>74</v>
      </c>
      <c r="H424" s="15" t="s">
        <v>3110</v>
      </c>
      <c r="I424" s="15" t="s">
        <v>3111</v>
      </c>
      <c r="J424" s="15" t="s">
        <v>3112</v>
      </c>
      <c r="K424" s="15" t="s">
        <v>349</v>
      </c>
      <c r="L424" s="15" t="s">
        <v>350</v>
      </c>
      <c r="M424" s="15" t="s">
        <v>1524</v>
      </c>
      <c r="N424" s="15" t="s">
        <v>429</v>
      </c>
      <c r="O424" s="15" t="s">
        <v>156</v>
      </c>
      <c r="P424" s="15" t="s">
        <v>3113</v>
      </c>
      <c r="Q424" s="15" t="s">
        <v>3114</v>
      </c>
      <c r="R424" s="16">
        <v>44329</v>
      </c>
      <c r="S424" s="17" t="s">
        <v>256</v>
      </c>
      <c r="T424" s="20">
        <f>HYPERLINK("https://vnm.spiral.com.vn//uploaded/20210513/23fcb982-5d97-4e9b-9953-c4977614a370.JPEG","07:27:15")</f>
      </c>
      <c r="U424" s="20">
        <f>HYPERLINK("https://vnm.spiral.com.vn//uploaded/20210513/3a5fa848-1135-4df0-ba04-435d1fa659f6.JPEG","16:39:28")</f>
      </c>
      <c r="V424" s="18">
        <v>0.3834837962962963</v>
      </c>
      <c r="W424" s="15" t="s">
        <v>3115</v>
      </c>
      <c r="X424" s="15" t="s">
        <v>3116</v>
      </c>
      <c r="Y424" s="15" t="s">
        <v>35</v>
      </c>
      <c r="Z424" s="19">
        <v>0</v>
      </c>
      <c r="AA424" s="15">
        <v>0</v>
      </c>
      <c r="AB424" s="15" t="s">
        <v>35</v>
      </c>
    </row>
    <row r="425">
      <c r="A425" s="15">
        <v>421</v>
      </c>
      <c r="B425" s="15" t="s">
        <v>343</v>
      </c>
      <c r="C425" s="15" t="s">
        <v>3117</v>
      </c>
      <c r="D425" s="15" t="s">
        <v>357</v>
      </c>
      <c r="E425" s="15" t="s">
        <v>90</v>
      </c>
      <c r="F425" s="15" t="s">
        <v>35</v>
      </c>
      <c r="G425" s="15" t="s">
        <v>74</v>
      </c>
      <c r="H425" s="15" t="s">
        <v>3118</v>
      </c>
      <c r="I425" s="15" t="s">
        <v>3119</v>
      </c>
      <c r="J425" s="15" t="s">
        <v>3120</v>
      </c>
      <c r="K425" s="15" t="s">
        <v>1168</v>
      </c>
      <c r="L425" s="15" t="s">
        <v>1169</v>
      </c>
      <c r="M425" s="15" t="s">
        <v>1170</v>
      </c>
      <c r="N425" s="15" t="s">
        <v>1171</v>
      </c>
      <c r="O425" s="15" t="s">
        <v>82</v>
      </c>
      <c r="P425" s="15" t="s">
        <v>3121</v>
      </c>
      <c r="Q425" s="15" t="s">
        <v>3122</v>
      </c>
      <c r="R425" s="16">
        <v>44329</v>
      </c>
      <c r="S425" s="17" t="s">
        <v>70</v>
      </c>
      <c r="T425" s="20">
        <f>HYPERLINK("https://vnm.spiral.com.vn//uploaded/20210513/78fc53b5-d5de-4ec0-9b78-0bbaeffedefb.JPEG","11:13:33")</f>
      </c>
      <c r="U425" s="20">
        <f>HYPERLINK("https://vnm.spiral.com.vn//uploaded/20210513/bb663f1e-f4b8-49b8-b838-d45ffc12db3d.JPEG","16:39:21")</f>
      </c>
      <c r="V425" s="18">
        <v>0.22625</v>
      </c>
      <c r="W425" s="15" t="s">
        <v>3123</v>
      </c>
      <c r="X425" s="15" t="s">
        <v>3124</v>
      </c>
      <c r="Y425" s="15" t="s">
        <v>35</v>
      </c>
      <c r="Z425" s="19">
        <v>0</v>
      </c>
      <c r="AA425" s="15">
        <v>0</v>
      </c>
      <c r="AB425" s="15" t="s">
        <v>35</v>
      </c>
    </row>
    <row r="426">
      <c r="A426" s="15">
        <v>422</v>
      </c>
      <c r="B426" s="15" t="s">
        <v>49</v>
      </c>
      <c r="C426" s="15" t="s">
        <v>369</v>
      </c>
      <c r="D426" s="15" t="s">
        <v>89</v>
      </c>
      <c r="E426" s="15" t="s">
        <v>90</v>
      </c>
      <c r="F426" s="15" t="s">
        <v>35</v>
      </c>
      <c r="G426" s="15" t="s">
        <v>74</v>
      </c>
      <c r="H426" s="15" t="s">
        <v>3125</v>
      </c>
      <c r="I426" s="15" t="s">
        <v>3126</v>
      </c>
      <c r="J426" s="15" t="s">
        <v>3127</v>
      </c>
      <c r="K426" s="15" t="s">
        <v>166</v>
      </c>
      <c r="L426" s="15" t="s">
        <v>167</v>
      </c>
      <c r="M426" s="15" t="s">
        <v>168</v>
      </c>
      <c r="N426" s="15" t="s">
        <v>169</v>
      </c>
      <c r="O426" s="15" t="s">
        <v>156</v>
      </c>
      <c r="P426" s="15" t="s">
        <v>3128</v>
      </c>
      <c r="Q426" s="15" t="s">
        <v>3129</v>
      </c>
      <c r="R426" s="16">
        <v>44329</v>
      </c>
      <c r="S426" s="17" t="s">
        <v>35</v>
      </c>
      <c r="T426" s="20">
        <f>HYPERLINK("https://vnm.spiral.com.vn//uploaded/20210513/9193BA9E-7DA7-4668-88D7-7FC2DF2E65B5.jpg","07:29:33")</f>
      </c>
      <c r="U426" s="20">
        <f>HYPERLINK("https://vnm.spiral.com.vn//uploaded/20210513/775F0FD2-A3E0-43B3-AE6B-F64ABE5FFD7D.jpg","16:39:10")</f>
      </c>
      <c r="V426" s="18">
        <v>0.38167824074074075</v>
      </c>
      <c r="W426" s="15" t="s">
        <v>3130</v>
      </c>
      <c r="X426" s="15" t="s">
        <v>3131</v>
      </c>
      <c r="Y426" s="15" t="s">
        <v>35</v>
      </c>
      <c r="Z426" s="19">
        <v>0</v>
      </c>
      <c r="AA426" s="15">
        <v>0</v>
      </c>
      <c r="AB426" s="15" t="s">
        <v>35</v>
      </c>
    </row>
    <row r="427">
      <c r="A427" s="15">
        <v>423</v>
      </c>
      <c r="B427" s="15" t="s">
        <v>87</v>
      </c>
      <c r="C427" s="15" t="s">
        <v>88</v>
      </c>
      <c r="D427" s="15" t="s">
        <v>89</v>
      </c>
      <c r="E427" s="15" t="s">
        <v>90</v>
      </c>
      <c r="F427" s="15" t="s">
        <v>35</v>
      </c>
      <c r="G427" s="15" t="s">
        <v>74</v>
      </c>
      <c r="H427" s="15" t="s">
        <v>3132</v>
      </c>
      <c r="I427" s="15" t="s">
        <v>3133</v>
      </c>
      <c r="J427" s="15" t="s">
        <v>3134</v>
      </c>
      <c r="K427" s="15" t="s">
        <v>96</v>
      </c>
      <c r="L427" s="15" t="s">
        <v>97</v>
      </c>
      <c r="M427" s="15" t="s">
        <v>1831</v>
      </c>
      <c r="N427" s="15" t="s">
        <v>1832</v>
      </c>
      <c r="O427" s="15" t="s">
        <v>156</v>
      </c>
      <c r="P427" s="15" t="s">
        <v>3135</v>
      </c>
      <c r="Q427" s="15" t="s">
        <v>3136</v>
      </c>
      <c r="R427" s="16">
        <v>44329</v>
      </c>
      <c r="S427" s="17" t="s">
        <v>70</v>
      </c>
      <c r="T427" s="20">
        <f>HYPERLINK("https://vnm.spiral.com.vn//uploaded/20210513/52ba0fa2-e844-40ec-a7e2-5424875204cb.JPEG","07:21:26")</f>
      </c>
      <c r="U427" s="20">
        <f>HYPERLINK("https://vnm.spiral.com.vn//uploaded/20210513/474a5a5b-cb9b-4d68-add0-2391db3e6158.JPEG","16:39:09")</f>
      </c>
      <c r="V427" s="18">
        <v>0.38730324074074074</v>
      </c>
      <c r="W427" s="15" t="s">
        <v>3137</v>
      </c>
      <c r="X427" s="15" t="s">
        <v>3138</v>
      </c>
      <c r="Y427" s="15" t="s">
        <v>35</v>
      </c>
      <c r="Z427" s="19">
        <v>0</v>
      </c>
      <c r="AA427" s="15">
        <v>0</v>
      </c>
      <c r="AB427" s="15" t="s">
        <v>35</v>
      </c>
    </row>
    <row r="428">
      <c r="A428" s="15">
        <v>424</v>
      </c>
      <c r="B428" s="15" t="s">
        <v>61</v>
      </c>
      <c r="C428" s="15" t="s">
        <v>228</v>
      </c>
      <c r="D428" s="15" t="s">
        <v>89</v>
      </c>
      <c r="E428" s="15" t="s">
        <v>90</v>
      </c>
      <c r="F428" s="15" t="s">
        <v>35</v>
      </c>
      <c r="G428" s="15" t="s">
        <v>74</v>
      </c>
      <c r="H428" s="15" t="s">
        <v>3139</v>
      </c>
      <c r="I428" s="15" t="s">
        <v>3140</v>
      </c>
      <c r="J428" s="15" t="s">
        <v>3141</v>
      </c>
      <c r="K428" s="15" t="s">
        <v>232</v>
      </c>
      <c r="L428" s="15" t="s">
        <v>233</v>
      </c>
      <c r="M428" s="15" t="s">
        <v>453</v>
      </c>
      <c r="N428" s="15" t="s">
        <v>454</v>
      </c>
      <c r="O428" s="15" t="s">
        <v>156</v>
      </c>
      <c r="P428" s="15" t="s">
        <v>3142</v>
      </c>
      <c r="Q428" s="15" t="s">
        <v>3143</v>
      </c>
      <c r="R428" s="16">
        <v>44329</v>
      </c>
      <c r="S428" s="17" t="s">
        <v>256</v>
      </c>
      <c r="T428" s="20">
        <f>HYPERLINK("https://vnm.spiral.com.vn//uploaded/20210513/cb2c177d-3e8c-4927-bebc-34098ad05be7.JPEG","07:19:57")</f>
      </c>
      <c r="U428" s="20">
        <f>HYPERLINK("https://vnm.spiral.com.vn//uploaded/20210513/344d4f9d-89de-4542-b9e3-a4311209c5b1.JPEG","16:39:01")</f>
      </c>
      <c r="V428" s="18">
        <v>0.3882407407407407</v>
      </c>
      <c r="W428" s="15" t="s">
        <v>3144</v>
      </c>
      <c r="X428" s="15" t="s">
        <v>3145</v>
      </c>
      <c r="Y428" s="15" t="s">
        <v>35</v>
      </c>
      <c r="Z428" s="19">
        <v>0</v>
      </c>
      <c r="AA428" s="15">
        <v>0</v>
      </c>
      <c r="AB428" s="15" t="s">
        <v>35</v>
      </c>
    </row>
    <row r="429">
      <c r="A429" s="15">
        <v>425</v>
      </c>
      <c r="B429" s="15" t="s">
        <v>343</v>
      </c>
      <c r="C429" s="15" t="s">
        <v>721</v>
      </c>
      <c r="D429" s="15" t="s">
        <v>35</v>
      </c>
      <c r="E429" s="15" t="s">
        <v>35</v>
      </c>
      <c r="F429" s="15" t="s">
        <v>35</v>
      </c>
      <c r="G429" s="15" t="s">
        <v>36</v>
      </c>
      <c r="H429" s="15" t="s">
        <v>3146</v>
      </c>
      <c r="I429" s="15" t="s">
        <v>3147</v>
      </c>
      <c r="J429" s="15" t="s">
        <v>3148</v>
      </c>
      <c r="K429" s="15" t="s">
        <v>40</v>
      </c>
      <c r="L429" s="15" t="s">
        <v>41</v>
      </c>
      <c r="M429" s="15" t="s">
        <v>595</v>
      </c>
      <c r="N429" s="15" t="s">
        <v>596</v>
      </c>
      <c r="O429" s="15" t="s">
        <v>44</v>
      </c>
      <c r="P429" s="15" t="s">
        <v>3149</v>
      </c>
      <c r="Q429" s="15" t="s">
        <v>3150</v>
      </c>
      <c r="R429" s="16">
        <v>44329</v>
      </c>
      <c r="S429" s="17" t="s">
        <v>256</v>
      </c>
      <c r="T429" s="20">
        <f>HYPERLINK("https://vnm.spiral.com.vn//uploaded/20210513/9F8D5DC3-EA67-4F5D-9ED9-038B147EBE44.jpg","07:41:12")</f>
      </c>
      <c r="U429" s="20">
        <f>HYPERLINK("https://vnm.spiral.com.vn//uploaded/20210513/B2A3ACBB-826C-4091-95EA-7D35EA45D5B4.jpg","16:38:19")</f>
      </c>
      <c r="V429" s="18">
        <v>0.37299768518518517</v>
      </c>
      <c r="W429" s="15" t="s">
        <v>3151</v>
      </c>
      <c r="X429" s="15" t="s">
        <v>3152</v>
      </c>
      <c r="Y429" s="15" t="s">
        <v>35</v>
      </c>
      <c r="Z429" s="19">
        <v>0</v>
      </c>
      <c r="AA429" s="15">
        <v>0</v>
      </c>
      <c r="AB429" s="15" t="s">
        <v>35</v>
      </c>
    </row>
    <row r="430">
      <c r="A430" s="15">
        <v>426</v>
      </c>
      <c r="B430" s="15" t="s">
        <v>49</v>
      </c>
      <c r="C430" s="15" t="s">
        <v>162</v>
      </c>
      <c r="D430" s="15" t="s">
        <v>35</v>
      </c>
      <c r="E430" s="15" t="s">
        <v>35</v>
      </c>
      <c r="F430" s="15" t="s">
        <v>1221</v>
      </c>
      <c r="G430" s="15" t="s">
        <v>36</v>
      </c>
      <c r="H430" s="15" t="s">
        <v>3153</v>
      </c>
      <c r="I430" s="15" t="s">
        <v>3154</v>
      </c>
      <c r="J430" s="15" t="s">
        <v>3155</v>
      </c>
      <c r="K430" s="15" t="s">
        <v>40</v>
      </c>
      <c r="L430" s="15" t="s">
        <v>41</v>
      </c>
      <c r="M430" s="15" t="s">
        <v>55</v>
      </c>
      <c r="N430" s="15" t="s">
        <v>56</v>
      </c>
      <c r="O430" s="15" t="s">
        <v>44</v>
      </c>
      <c r="P430" s="15" t="s">
        <v>3156</v>
      </c>
      <c r="Q430" s="15" t="s">
        <v>3157</v>
      </c>
      <c r="R430" s="16">
        <v>44329</v>
      </c>
      <c r="S430" s="17" t="s">
        <v>475</v>
      </c>
      <c r="T430" s="20">
        <f>HYPERLINK("https://vnm.spiral.com.vn//uploaded/20210513/2D722878-3B0B-4FCB-8E88-E364769668B7.jpg","08:00:40")</f>
      </c>
      <c r="U430" s="20">
        <f>HYPERLINK("https://vnm.spiral.com.vn//uploaded/20210513/9016F592-E5D4-4877-9077-8BFC61F70C98.jpg","16:38:12")</f>
      </c>
      <c r="V430" s="18">
        <v>0.35939814814814813</v>
      </c>
      <c r="W430" s="15" t="s">
        <v>3158</v>
      </c>
      <c r="X430" s="15" t="s">
        <v>3159</v>
      </c>
      <c r="Y430" s="15" t="s">
        <v>35</v>
      </c>
      <c r="Z430" s="19">
        <v>0</v>
      </c>
      <c r="AA430" s="15">
        <v>0</v>
      </c>
      <c r="AB430" s="15" t="s">
        <v>35</v>
      </c>
    </row>
    <row r="431">
      <c r="A431" s="15">
        <v>427</v>
      </c>
      <c r="B431" s="15" t="s">
        <v>87</v>
      </c>
      <c r="C431" s="15" t="s">
        <v>88</v>
      </c>
      <c r="D431" s="15" t="s">
        <v>357</v>
      </c>
      <c r="E431" s="15" t="s">
        <v>90</v>
      </c>
      <c r="F431" s="15" t="s">
        <v>35</v>
      </c>
      <c r="G431" s="15" t="s">
        <v>74</v>
      </c>
      <c r="H431" s="15" t="s">
        <v>3160</v>
      </c>
      <c r="I431" s="15" t="s">
        <v>3161</v>
      </c>
      <c r="J431" s="15" t="s">
        <v>3162</v>
      </c>
      <c r="K431" s="15" t="s">
        <v>1570</v>
      </c>
      <c r="L431" s="15" t="s">
        <v>1571</v>
      </c>
      <c r="M431" s="15" t="s">
        <v>2024</v>
      </c>
      <c r="N431" s="15" t="s">
        <v>2025</v>
      </c>
      <c r="O431" s="15" t="s">
        <v>82</v>
      </c>
      <c r="P431" s="15" t="s">
        <v>2026</v>
      </c>
      <c r="Q431" s="15" t="s">
        <v>2027</v>
      </c>
      <c r="R431" s="16">
        <v>44329</v>
      </c>
      <c r="S431" s="17" t="s">
        <v>70</v>
      </c>
      <c r="T431" s="20">
        <f>HYPERLINK("https://vnm.spiral.com.vn//uploaded/20210513/fa57d823-fcc4-4b62-83fa-c484918920b3.JPEG","16:17:59")</f>
      </c>
      <c r="U431" s="20">
        <f>HYPERLINK("https://vnm.spiral.com.vn//uploaded/20210513/657003ab-ae08-4cc8-b70a-e6a61fba479b.JPEG","16:37:45")</f>
      </c>
      <c r="V431" s="18">
        <v>0.013726851851851851</v>
      </c>
      <c r="W431" s="15" t="s">
        <v>3163</v>
      </c>
      <c r="X431" s="15" t="s">
        <v>3164</v>
      </c>
      <c r="Y431" s="15" t="s">
        <v>35</v>
      </c>
      <c r="Z431" s="19">
        <v>0</v>
      </c>
      <c r="AA431" s="15">
        <v>0</v>
      </c>
      <c r="AB431" s="15" t="s">
        <v>35</v>
      </c>
    </row>
    <row r="432">
      <c r="A432" s="15">
        <v>428</v>
      </c>
      <c r="B432" s="15" t="s">
        <v>103</v>
      </c>
      <c r="C432" s="15" t="s">
        <v>104</v>
      </c>
      <c r="D432" s="15" t="s">
        <v>148</v>
      </c>
      <c r="E432" s="15" t="s">
        <v>90</v>
      </c>
      <c r="F432" s="15" t="s">
        <v>35</v>
      </c>
      <c r="G432" s="15" t="s">
        <v>74</v>
      </c>
      <c r="H432" s="15" t="s">
        <v>3165</v>
      </c>
      <c r="I432" s="15" t="s">
        <v>3166</v>
      </c>
      <c r="J432" s="15" t="s">
        <v>3167</v>
      </c>
      <c r="K432" s="15" t="s">
        <v>460</v>
      </c>
      <c r="L432" s="15" t="s">
        <v>461</v>
      </c>
      <c r="M432" s="15" t="s">
        <v>2395</v>
      </c>
      <c r="N432" s="15" t="s">
        <v>2396</v>
      </c>
      <c r="O432" s="15" t="s">
        <v>156</v>
      </c>
      <c r="P432" s="15" t="s">
        <v>3168</v>
      </c>
      <c r="Q432" s="15" t="s">
        <v>3169</v>
      </c>
      <c r="R432" s="16">
        <v>44329</v>
      </c>
      <c r="S432" s="17" t="s">
        <v>159</v>
      </c>
      <c r="T432" s="20">
        <f>HYPERLINK("https://vnm.spiral.com.vn//uploaded/20210513/E37D5FA5-A87D-4CB1-8109-52C55CB0E52E.jpg","07:37:21")</f>
      </c>
      <c r="U432" s="20">
        <f>HYPERLINK("https://vnm.spiral.com.vn//uploaded/20210513/9FBBB7B2-862A-4245-9CB8-50C962B01AAC.jpg","16:37:36")</f>
      </c>
      <c r="V432" s="18">
        <v>0.37517361111111114</v>
      </c>
      <c r="W432" s="15" t="s">
        <v>3170</v>
      </c>
      <c r="X432" s="15" t="s">
        <v>3171</v>
      </c>
      <c r="Y432" s="15" t="s">
        <v>35</v>
      </c>
      <c r="Z432" s="19">
        <v>0</v>
      </c>
      <c r="AA432" s="15">
        <v>0</v>
      </c>
      <c r="AB432" s="15" t="s">
        <v>35</v>
      </c>
    </row>
    <row r="433">
      <c r="A433" s="15">
        <v>429</v>
      </c>
      <c r="B433" s="15" t="s">
        <v>61</v>
      </c>
      <c r="C433" s="15" t="s">
        <v>201</v>
      </c>
      <c r="D433" s="15" t="s">
        <v>35</v>
      </c>
      <c r="E433" s="15" t="s">
        <v>35</v>
      </c>
      <c r="F433" s="15" t="s">
        <v>3172</v>
      </c>
      <c r="G433" s="15" t="s">
        <v>36</v>
      </c>
      <c r="H433" s="15" t="s">
        <v>3173</v>
      </c>
      <c r="I433" s="15" t="s">
        <v>3174</v>
      </c>
      <c r="J433" s="15" t="s">
        <v>3175</v>
      </c>
      <c r="K433" s="15" t="s">
        <v>40</v>
      </c>
      <c r="L433" s="15" t="s">
        <v>41</v>
      </c>
      <c r="M433" s="15" t="s">
        <v>66</v>
      </c>
      <c r="N433" s="15" t="s">
        <v>67</v>
      </c>
      <c r="O433" s="15" t="s">
        <v>44</v>
      </c>
      <c r="P433" s="15" t="s">
        <v>3176</v>
      </c>
      <c r="Q433" s="15" t="s">
        <v>3177</v>
      </c>
      <c r="R433" s="16">
        <v>44329</v>
      </c>
      <c r="S433" s="17" t="s">
        <v>70</v>
      </c>
      <c r="T433" s="20">
        <f>HYPERLINK("https://vnm.spiral.com.vn//uploaded/20210513/9115AE1D-264F-4668-89A1-131E592F3785.jpg","07:07:45")</f>
      </c>
      <c r="U433" s="20">
        <f>HYPERLINK("https://vnm.spiral.com.vn//uploaded/20210513/026B2D1A-D074-43A0-A11F-F240AF77AE6D.jpg","16:37:12")</f>
      </c>
      <c r="V433" s="18">
        <v>0.39545138888888887</v>
      </c>
      <c r="W433" s="15" t="s">
        <v>3178</v>
      </c>
      <c r="X433" s="15" t="s">
        <v>3179</v>
      </c>
      <c r="Y433" s="15" t="s">
        <v>35</v>
      </c>
      <c r="Z433" s="19">
        <v>0</v>
      </c>
      <c r="AA433" s="15">
        <v>0</v>
      </c>
      <c r="AB433" s="15" t="s">
        <v>35</v>
      </c>
    </row>
    <row r="434">
      <c r="A434" s="15">
        <v>430</v>
      </c>
      <c r="B434" s="15" t="s">
        <v>103</v>
      </c>
      <c r="C434" s="15" t="s">
        <v>104</v>
      </c>
      <c r="D434" s="15" t="s">
        <v>35</v>
      </c>
      <c r="E434" s="15" t="s">
        <v>35</v>
      </c>
      <c r="F434" s="15" t="s">
        <v>35</v>
      </c>
      <c r="G434" s="15" t="s">
        <v>36</v>
      </c>
      <c r="H434" s="15" t="s">
        <v>3180</v>
      </c>
      <c r="I434" s="15" t="s">
        <v>3181</v>
      </c>
      <c r="J434" s="15" t="s">
        <v>3182</v>
      </c>
      <c r="K434" s="15" t="s">
        <v>40</v>
      </c>
      <c r="L434" s="15" t="s">
        <v>41</v>
      </c>
      <c r="M434" s="15" t="s">
        <v>108</v>
      </c>
      <c r="N434" s="15" t="s">
        <v>109</v>
      </c>
      <c r="O434" s="15" t="s">
        <v>44</v>
      </c>
      <c r="P434" s="15" t="s">
        <v>3183</v>
      </c>
      <c r="Q434" s="15" t="s">
        <v>3184</v>
      </c>
      <c r="R434" s="16">
        <v>44329</v>
      </c>
      <c r="S434" s="17" t="s">
        <v>256</v>
      </c>
      <c r="T434" s="20">
        <f>HYPERLINK("https://vnm.spiral.com.vn//uploaded/20210513/16a584c2-ee87-4014-8b24-1e9e39f90f32.JPEG","07:28:58")</f>
      </c>
      <c r="U434" s="20">
        <f>HYPERLINK("https://vnm.spiral.com.vn//uploaded/20210513/3cedb09e-339f-4e9a-8cf3-8c9b8d4cdeeb.JPEG","16:37:05")</f>
      </c>
      <c r="V434" s="18">
        <v>0.3806365740740741</v>
      </c>
      <c r="W434" s="15" t="s">
        <v>3185</v>
      </c>
      <c r="X434" s="15" t="s">
        <v>3186</v>
      </c>
      <c r="Y434" s="15" t="s">
        <v>35</v>
      </c>
      <c r="Z434" s="19">
        <v>0</v>
      </c>
      <c r="AA434" s="15">
        <v>0</v>
      </c>
      <c r="AB434" s="15" t="s">
        <v>35</v>
      </c>
    </row>
    <row r="435">
      <c r="A435" s="15">
        <v>431</v>
      </c>
      <c r="B435" s="15" t="s">
        <v>246</v>
      </c>
      <c r="C435" s="15" t="s">
        <v>259</v>
      </c>
      <c r="D435" s="15" t="s">
        <v>35</v>
      </c>
      <c r="E435" s="15" t="s">
        <v>35</v>
      </c>
      <c r="F435" s="15" t="s">
        <v>1352</v>
      </c>
      <c r="G435" s="15" t="s">
        <v>36</v>
      </c>
      <c r="H435" s="15" t="s">
        <v>3187</v>
      </c>
      <c r="I435" s="15" t="s">
        <v>3188</v>
      </c>
      <c r="J435" s="15" t="s">
        <v>3189</v>
      </c>
      <c r="K435" s="15" t="s">
        <v>40</v>
      </c>
      <c r="L435" s="15" t="s">
        <v>41</v>
      </c>
      <c r="M435" s="15" t="s">
        <v>252</v>
      </c>
      <c r="N435" s="15" t="s">
        <v>253</v>
      </c>
      <c r="O435" s="15" t="s">
        <v>44</v>
      </c>
      <c r="P435" s="15" t="s">
        <v>3190</v>
      </c>
      <c r="Q435" s="15" t="s">
        <v>3191</v>
      </c>
      <c r="R435" s="16">
        <v>44329</v>
      </c>
      <c r="S435" s="17" t="s">
        <v>256</v>
      </c>
      <c r="T435" s="20">
        <f>HYPERLINK("https://vnm.spiral.com.vn//uploaded/20210513/59201b00-9ce0-4340-9602-58224e7cdf2a.JPEG","07:51:27")</f>
      </c>
      <c r="U435" s="20">
        <f>HYPERLINK("https://vnm.spiral.com.vn//uploaded/20210513/3ad02cd9-8c05-4a5f-86e6-d1763b68ca44.JPEG","16:37:04")</f>
      </c>
      <c r="V435" s="18">
        <v>0.3650115740740741</v>
      </c>
      <c r="W435" s="15" t="s">
        <v>3192</v>
      </c>
      <c r="X435" s="15" t="s">
        <v>3193</v>
      </c>
      <c r="Y435" s="15" t="s">
        <v>35</v>
      </c>
      <c r="Z435" s="19">
        <v>0</v>
      </c>
      <c r="AA435" s="15">
        <v>0</v>
      </c>
      <c r="AB435" s="15" t="s">
        <v>35</v>
      </c>
    </row>
    <row r="436">
      <c r="A436" s="15">
        <v>432</v>
      </c>
      <c r="B436" s="15" t="s">
        <v>61</v>
      </c>
      <c r="C436" s="15" t="s">
        <v>1106</v>
      </c>
      <c r="D436" s="15" t="s">
        <v>35</v>
      </c>
      <c r="E436" s="15" t="s">
        <v>35</v>
      </c>
      <c r="F436" s="15" t="s">
        <v>35</v>
      </c>
      <c r="G436" s="15" t="s">
        <v>36</v>
      </c>
      <c r="H436" s="15" t="s">
        <v>3194</v>
      </c>
      <c r="I436" s="15" t="s">
        <v>3195</v>
      </c>
      <c r="J436" s="15" t="s">
        <v>3196</v>
      </c>
      <c r="K436" s="15" t="s">
        <v>40</v>
      </c>
      <c r="L436" s="15" t="s">
        <v>41</v>
      </c>
      <c r="M436" s="15" t="s">
        <v>66</v>
      </c>
      <c r="N436" s="15" t="s">
        <v>67</v>
      </c>
      <c r="O436" s="15" t="s">
        <v>44</v>
      </c>
      <c r="P436" s="15" t="s">
        <v>3197</v>
      </c>
      <c r="Q436" s="15" t="s">
        <v>3198</v>
      </c>
      <c r="R436" s="16">
        <v>44329</v>
      </c>
      <c r="S436" s="17" t="s">
        <v>1112</v>
      </c>
      <c r="T436" s="20">
        <f>HYPERLINK("https://vnm.spiral.com.vn//uploaded/20210513/549a2e0c-cc96-431d-a35e-cf9ac3feb671.JPEG","07:59:23")</f>
      </c>
      <c r="U436" s="20">
        <f>HYPERLINK("https://vnm.spiral.com.vn//uploaded/20210513/fca19f9a-20be-4131-a1b6-b18ef382b7a1.JPEG","16:37:01")</f>
      </c>
      <c r="V436" s="18">
        <v>0.3594675925925926</v>
      </c>
      <c r="W436" s="15" t="s">
        <v>3199</v>
      </c>
      <c r="X436" s="15" t="s">
        <v>3200</v>
      </c>
      <c r="Y436" s="15" t="s">
        <v>35</v>
      </c>
      <c r="Z436" s="19">
        <v>0</v>
      </c>
      <c r="AA436" s="15">
        <v>0</v>
      </c>
      <c r="AB436" s="15" t="s">
        <v>35</v>
      </c>
    </row>
    <row r="437">
      <c r="A437" s="15">
        <v>433</v>
      </c>
      <c r="B437" s="15" t="s">
        <v>61</v>
      </c>
      <c r="C437" s="15" t="s">
        <v>303</v>
      </c>
      <c r="D437" s="15" t="s">
        <v>35</v>
      </c>
      <c r="E437" s="15" t="s">
        <v>35</v>
      </c>
      <c r="F437" s="15" t="s">
        <v>1947</v>
      </c>
      <c r="G437" s="15" t="s">
        <v>36</v>
      </c>
      <c r="H437" s="15" t="s">
        <v>3201</v>
      </c>
      <c r="I437" s="15" t="s">
        <v>3202</v>
      </c>
      <c r="J437" s="15" t="s">
        <v>3203</v>
      </c>
      <c r="K437" s="15" t="s">
        <v>40</v>
      </c>
      <c r="L437" s="15" t="s">
        <v>41</v>
      </c>
      <c r="M437" s="15" t="s">
        <v>205</v>
      </c>
      <c r="N437" s="15" t="s">
        <v>206</v>
      </c>
      <c r="O437" s="15" t="s">
        <v>44</v>
      </c>
      <c r="P437" s="15" t="s">
        <v>3204</v>
      </c>
      <c r="Q437" s="15" t="s">
        <v>3205</v>
      </c>
      <c r="R437" s="16">
        <v>44329</v>
      </c>
      <c r="S437" s="17" t="s">
        <v>1112</v>
      </c>
      <c r="T437" s="20">
        <f>HYPERLINK("https://vnm.spiral.com.vn//uploaded/20210513/5B30B0AD-DDB6-4EF3-AC61-CE56D4B64DF5.jpg","07:49:36")</f>
      </c>
      <c r="U437" s="20">
        <f>HYPERLINK("https://vnm.spiral.com.vn//uploaded/20210513/F96F660F-DB78-40D1-A2E8-96277C82AC1C.jpg","16:36:51")</f>
      </c>
      <c r="V437" s="18">
        <v>0.36614583333333334</v>
      </c>
      <c r="W437" s="15" t="s">
        <v>3206</v>
      </c>
      <c r="X437" s="15" t="s">
        <v>3207</v>
      </c>
      <c r="Y437" s="15" t="s">
        <v>35</v>
      </c>
      <c r="Z437" s="19">
        <v>0</v>
      </c>
      <c r="AA437" s="15">
        <v>0</v>
      </c>
      <c r="AB437" s="15" t="s">
        <v>35</v>
      </c>
    </row>
    <row r="438">
      <c r="A438" s="15">
        <v>434</v>
      </c>
      <c r="B438" s="15" t="s">
        <v>61</v>
      </c>
      <c r="C438" s="15" t="s">
        <v>320</v>
      </c>
      <c r="D438" s="15" t="s">
        <v>35</v>
      </c>
      <c r="E438" s="15" t="s">
        <v>35</v>
      </c>
      <c r="F438" s="15" t="s">
        <v>35</v>
      </c>
      <c r="G438" s="15" t="s">
        <v>36</v>
      </c>
      <c r="H438" s="15" t="s">
        <v>3208</v>
      </c>
      <c r="I438" s="15" t="s">
        <v>3209</v>
      </c>
      <c r="J438" s="15" t="s">
        <v>3210</v>
      </c>
      <c r="K438" s="15" t="s">
        <v>40</v>
      </c>
      <c r="L438" s="15" t="s">
        <v>41</v>
      </c>
      <c r="M438" s="15" t="s">
        <v>205</v>
      </c>
      <c r="N438" s="15" t="s">
        <v>206</v>
      </c>
      <c r="O438" s="15" t="s">
        <v>44</v>
      </c>
      <c r="P438" s="15" t="s">
        <v>3211</v>
      </c>
      <c r="Q438" s="15" t="s">
        <v>3212</v>
      </c>
      <c r="R438" s="16">
        <v>44329</v>
      </c>
      <c r="S438" s="17" t="s">
        <v>2925</v>
      </c>
      <c r="T438" s="20">
        <f>HYPERLINK("https://vnm.spiral.com.vn//uploaded/20210513/d02f9e0c-c74d-4b81-baf5-e46f924a422a.JPEG","16:36:25")</f>
      </c>
      <c r="U438" s="18"/>
      <c r="V438" s="18" t="s">
        <v>35</v>
      </c>
      <c r="W438" s="15" t="s">
        <v>3213</v>
      </c>
      <c r="X438" s="15" t="s">
        <v>35</v>
      </c>
      <c r="Y438" s="15" t="s">
        <v>35</v>
      </c>
      <c r="Z438" s="19">
        <v>0</v>
      </c>
      <c r="AA438" s="15">
        <v>0</v>
      </c>
      <c r="AB438" s="15" t="s">
        <v>35</v>
      </c>
    </row>
    <row r="439">
      <c r="A439" s="15">
        <v>435</v>
      </c>
      <c r="B439" s="15" t="s">
        <v>87</v>
      </c>
      <c r="C439" s="15" t="s">
        <v>88</v>
      </c>
      <c r="D439" s="15" t="s">
        <v>135</v>
      </c>
      <c r="E439" s="15" t="s">
        <v>116</v>
      </c>
      <c r="F439" s="15" t="s">
        <v>35</v>
      </c>
      <c r="G439" s="15" t="s">
        <v>74</v>
      </c>
      <c r="H439" s="15" t="s">
        <v>3214</v>
      </c>
      <c r="I439" s="15" t="s">
        <v>3215</v>
      </c>
      <c r="J439" s="15" t="s">
        <v>3216</v>
      </c>
      <c r="K439" s="15" t="s">
        <v>390</v>
      </c>
      <c r="L439" s="15" t="s">
        <v>391</v>
      </c>
      <c r="M439" s="15" t="s">
        <v>392</v>
      </c>
      <c r="N439" s="15" t="s">
        <v>393</v>
      </c>
      <c r="O439" s="15" t="s">
        <v>82</v>
      </c>
      <c r="P439" s="15" t="s">
        <v>394</v>
      </c>
      <c r="Q439" s="15" t="s">
        <v>395</v>
      </c>
      <c r="R439" s="16">
        <v>44329</v>
      </c>
      <c r="S439" s="17" t="s">
        <v>70</v>
      </c>
      <c r="T439" s="20">
        <f>HYPERLINK("https://vnm.spiral.com.vn//uploaded/20210513/e24983f3-b154-42ce-959b-3a8f06665b0a.JPEG","15:23:28")</f>
      </c>
      <c r="U439" s="20">
        <f>HYPERLINK("https://vnm.spiral.com.vn//uploaded/20210513/9548b60a-55d0-4230-b4a6-e63e1ace6b40.JPEG","16:36:20")</f>
      </c>
      <c r="V439" s="18">
        <v>0.05060185185185185</v>
      </c>
      <c r="W439" s="15" t="s">
        <v>3217</v>
      </c>
      <c r="X439" s="15" t="s">
        <v>3218</v>
      </c>
      <c r="Y439" s="15" t="s">
        <v>35</v>
      </c>
      <c r="Z439" s="19">
        <v>0</v>
      </c>
      <c r="AA439" s="15">
        <v>0</v>
      </c>
      <c r="AB439" s="15" t="s">
        <v>35</v>
      </c>
    </row>
    <row r="440">
      <c r="A440" s="15">
        <v>436</v>
      </c>
      <c r="B440" s="15" t="s">
        <v>61</v>
      </c>
      <c r="C440" s="15" t="s">
        <v>442</v>
      </c>
      <c r="D440" s="15" t="s">
        <v>89</v>
      </c>
      <c r="E440" s="15" t="s">
        <v>90</v>
      </c>
      <c r="F440" s="15" t="s">
        <v>35</v>
      </c>
      <c r="G440" s="15" t="s">
        <v>74</v>
      </c>
      <c r="H440" s="15" t="s">
        <v>3219</v>
      </c>
      <c r="I440" s="15" t="s">
        <v>3220</v>
      </c>
      <c r="J440" s="15" t="s">
        <v>3221</v>
      </c>
      <c r="K440" s="15" t="s">
        <v>232</v>
      </c>
      <c r="L440" s="15" t="s">
        <v>233</v>
      </c>
      <c r="M440" s="15" t="s">
        <v>453</v>
      </c>
      <c r="N440" s="15" t="s">
        <v>454</v>
      </c>
      <c r="O440" s="15" t="s">
        <v>156</v>
      </c>
      <c r="P440" s="15" t="s">
        <v>3222</v>
      </c>
      <c r="Q440" s="15" t="s">
        <v>3223</v>
      </c>
      <c r="R440" s="16">
        <v>44329</v>
      </c>
      <c r="S440" s="17" t="s">
        <v>256</v>
      </c>
      <c r="T440" s="20">
        <f>HYPERLINK("https://vnm.spiral.com.vn//uploaded/20210513/346C2734-E48E-43BA-998F-681715DD6A52.jpg","07:27:02")</f>
      </c>
      <c r="U440" s="20">
        <f>HYPERLINK("https://vnm.spiral.com.vn//uploaded/20210513/6CE224A3-C3C4-4CF7-8418-D54E8313F8B9.jpg","16:36:16")</f>
      </c>
      <c r="V440" s="18">
        <v>0.381412037037037</v>
      </c>
      <c r="W440" s="15" t="s">
        <v>3224</v>
      </c>
      <c r="X440" s="15" t="s">
        <v>3225</v>
      </c>
      <c r="Y440" s="15" t="s">
        <v>35</v>
      </c>
      <c r="Z440" s="19">
        <v>0</v>
      </c>
      <c r="AA440" s="15">
        <v>0</v>
      </c>
      <c r="AB440" s="15" t="s">
        <v>35</v>
      </c>
    </row>
    <row r="441">
      <c r="A441" s="15">
        <v>437</v>
      </c>
      <c r="B441" s="15" t="s">
        <v>87</v>
      </c>
      <c r="C441" s="15" t="s">
        <v>88</v>
      </c>
      <c r="D441" s="15" t="s">
        <v>357</v>
      </c>
      <c r="E441" s="15" t="s">
        <v>90</v>
      </c>
      <c r="F441" s="15" t="s">
        <v>35</v>
      </c>
      <c r="G441" s="15" t="s">
        <v>74</v>
      </c>
      <c r="H441" s="15" t="s">
        <v>3226</v>
      </c>
      <c r="I441" s="15" t="s">
        <v>3227</v>
      </c>
      <c r="J441" s="15" t="s">
        <v>3228</v>
      </c>
      <c r="K441" s="15" t="s">
        <v>1570</v>
      </c>
      <c r="L441" s="15" t="s">
        <v>1571</v>
      </c>
      <c r="M441" s="15" t="s">
        <v>1572</v>
      </c>
      <c r="N441" s="15" t="s">
        <v>1573</v>
      </c>
      <c r="O441" s="15" t="s">
        <v>82</v>
      </c>
      <c r="P441" s="15" t="s">
        <v>1579</v>
      </c>
      <c r="Q441" s="15" t="s">
        <v>1580</v>
      </c>
      <c r="R441" s="16">
        <v>44329</v>
      </c>
      <c r="S441" s="17" t="s">
        <v>70</v>
      </c>
      <c r="T441" s="20">
        <f>HYPERLINK("https://vnm.spiral.com.vn//uploaded/20210513/00E1F787-437A-4F84-8628-5BBF4269601B.jpg","16:11:24")</f>
      </c>
      <c r="U441" s="20">
        <f>HYPERLINK("https://vnm.spiral.com.vn//uploaded/20210513/92667426-6720-4DFA-B9AC-7850BA216594.jpg","16:36:10")</f>
      </c>
      <c r="V441" s="18">
        <v>0.017199074074074075</v>
      </c>
      <c r="W441" s="15" t="s">
        <v>3229</v>
      </c>
      <c r="X441" s="15" t="s">
        <v>3230</v>
      </c>
      <c r="Y441" s="15" t="s">
        <v>35</v>
      </c>
      <c r="Z441" s="19">
        <v>0</v>
      </c>
      <c r="AA441" s="15">
        <v>0</v>
      </c>
      <c r="AB441" s="15" t="s">
        <v>35</v>
      </c>
    </row>
    <row r="442">
      <c r="A442" s="15">
        <v>438</v>
      </c>
      <c r="B442" s="15" t="s">
        <v>343</v>
      </c>
      <c r="C442" s="15" t="s">
        <v>3231</v>
      </c>
      <c r="D442" s="15" t="s">
        <v>35</v>
      </c>
      <c r="E442" s="15" t="s">
        <v>35</v>
      </c>
      <c r="F442" s="15" t="s">
        <v>35</v>
      </c>
      <c r="G442" s="15" t="s">
        <v>36</v>
      </c>
      <c r="H442" s="15" t="s">
        <v>3232</v>
      </c>
      <c r="I442" s="15" t="s">
        <v>3233</v>
      </c>
      <c r="J442" s="15" t="s">
        <v>3234</v>
      </c>
      <c r="K442" s="15" t="s">
        <v>40</v>
      </c>
      <c r="L442" s="15" t="s">
        <v>41</v>
      </c>
      <c r="M442" s="15" t="s">
        <v>409</v>
      </c>
      <c r="N442" s="15" t="s">
        <v>410</v>
      </c>
      <c r="O442" s="15" t="s">
        <v>44</v>
      </c>
      <c r="P442" s="15" t="s">
        <v>3235</v>
      </c>
      <c r="Q442" s="15" t="s">
        <v>3236</v>
      </c>
      <c r="R442" s="16">
        <v>44329</v>
      </c>
      <c r="S442" s="17" t="s">
        <v>1112</v>
      </c>
      <c r="T442" s="20">
        <f>HYPERLINK("https://vnm.spiral.com.vn//uploaded/20210513/F5726CA8-E6F7-496C-98CF-6E067D1CF243.jpg","08:01:27")</f>
      </c>
      <c r="U442" s="20">
        <f>HYPERLINK("https://vnm.spiral.com.vn//uploaded/20210513/7AA0920E-757C-4CC3-8CD6-3C91BCF098AA.jpg","16:36:06")</f>
      </c>
      <c r="V442" s="18">
        <v>0.35739583333333336</v>
      </c>
      <c r="W442" s="15" t="s">
        <v>3237</v>
      </c>
      <c r="X442" s="15" t="s">
        <v>3238</v>
      </c>
      <c r="Y442" s="15" t="s">
        <v>35</v>
      </c>
      <c r="Z442" s="19">
        <v>0</v>
      </c>
      <c r="AA442" s="15">
        <v>0</v>
      </c>
      <c r="AB442" s="15" t="s">
        <v>35</v>
      </c>
    </row>
    <row r="443">
      <c r="A443" s="15">
        <v>439</v>
      </c>
      <c r="B443" s="15" t="s">
        <v>87</v>
      </c>
      <c r="C443" s="15" t="s">
        <v>88</v>
      </c>
      <c r="D443" s="15" t="s">
        <v>35</v>
      </c>
      <c r="E443" s="15" t="s">
        <v>35</v>
      </c>
      <c r="F443" s="15" t="s">
        <v>2667</v>
      </c>
      <c r="G443" s="15" t="s">
        <v>36</v>
      </c>
      <c r="H443" s="15" t="s">
        <v>3239</v>
      </c>
      <c r="I443" s="15" t="s">
        <v>203</v>
      </c>
      <c r="J443" s="15" t="s">
        <v>3240</v>
      </c>
      <c r="K443" s="15" t="s">
        <v>40</v>
      </c>
      <c r="L443" s="15" t="s">
        <v>41</v>
      </c>
      <c r="M443" s="15" t="s">
        <v>1195</v>
      </c>
      <c r="N443" s="15" t="s">
        <v>1196</v>
      </c>
      <c r="O443" s="15" t="s">
        <v>44</v>
      </c>
      <c r="P443" s="15" t="s">
        <v>3241</v>
      </c>
      <c r="Q443" s="15" t="s">
        <v>3242</v>
      </c>
      <c r="R443" s="16">
        <v>44329</v>
      </c>
      <c r="S443" s="17" t="s">
        <v>686</v>
      </c>
      <c r="T443" s="20">
        <f>HYPERLINK("https://vnm.spiral.com.vn//uploaded/20210513/8dbd846d-8aac-4af1-96be-6e1a8a200899.JPEG","16:35:54")</f>
      </c>
      <c r="U443" s="18"/>
      <c r="V443" s="18" t="s">
        <v>35</v>
      </c>
      <c r="W443" s="15" t="s">
        <v>3243</v>
      </c>
      <c r="X443" s="15" t="s">
        <v>35</v>
      </c>
      <c r="Y443" s="15" t="s">
        <v>35</v>
      </c>
      <c r="Z443" s="19">
        <v>0</v>
      </c>
      <c r="AA443" s="15">
        <v>0</v>
      </c>
      <c r="AB443" s="15" t="s">
        <v>35</v>
      </c>
    </row>
    <row r="444">
      <c r="A444" s="15">
        <v>440</v>
      </c>
      <c r="B444" s="15" t="s">
        <v>103</v>
      </c>
      <c r="C444" s="15" t="s">
        <v>186</v>
      </c>
      <c r="D444" s="15" t="s">
        <v>148</v>
      </c>
      <c r="E444" s="15" t="s">
        <v>90</v>
      </c>
      <c r="F444" s="15" t="s">
        <v>35</v>
      </c>
      <c r="G444" s="15" t="s">
        <v>74</v>
      </c>
      <c r="H444" s="15" t="s">
        <v>3244</v>
      </c>
      <c r="I444" s="15" t="s">
        <v>3245</v>
      </c>
      <c r="J444" s="15" t="s">
        <v>3246</v>
      </c>
      <c r="K444" s="15" t="s">
        <v>178</v>
      </c>
      <c r="L444" s="15" t="s">
        <v>179</v>
      </c>
      <c r="M444" s="15" t="s">
        <v>3247</v>
      </c>
      <c r="N444" s="15" t="s">
        <v>3248</v>
      </c>
      <c r="O444" s="15" t="s">
        <v>156</v>
      </c>
      <c r="P444" s="15" t="s">
        <v>3249</v>
      </c>
      <c r="Q444" s="15" t="s">
        <v>3250</v>
      </c>
      <c r="R444" s="16">
        <v>44329</v>
      </c>
      <c r="S444" s="17" t="s">
        <v>256</v>
      </c>
      <c r="T444" s="20">
        <f>HYPERLINK("https://vnm.spiral.com.vn//uploaded/20210513/685A3166-CFA0-4B98-AE5D-87F2121A2CF4.jpg","07:24:47")</f>
      </c>
      <c r="U444" s="20">
        <f>HYPERLINK("https://vnm.spiral.com.vn//uploaded/20210513/C6FB5B47-0DB9-46A7-8C9E-AC7E974142F2.jpg","16:35:53")</f>
      </c>
      <c r="V444" s="18">
        <v>0.3827083333333333</v>
      </c>
      <c r="W444" s="15" t="s">
        <v>3251</v>
      </c>
      <c r="X444" s="15" t="s">
        <v>3252</v>
      </c>
      <c r="Y444" s="15" t="s">
        <v>35</v>
      </c>
      <c r="Z444" s="19">
        <v>0</v>
      </c>
      <c r="AA444" s="15">
        <v>0</v>
      </c>
      <c r="AB444" s="15" t="s">
        <v>35</v>
      </c>
    </row>
    <row r="445">
      <c r="A445" s="15">
        <v>441</v>
      </c>
      <c r="B445" s="15" t="s">
        <v>61</v>
      </c>
      <c r="C445" s="15" t="s">
        <v>201</v>
      </c>
      <c r="D445" s="15" t="s">
        <v>35</v>
      </c>
      <c r="E445" s="15" t="s">
        <v>35</v>
      </c>
      <c r="F445" s="15" t="s">
        <v>35</v>
      </c>
      <c r="G445" s="15" t="s">
        <v>36</v>
      </c>
      <c r="H445" s="15" t="s">
        <v>3253</v>
      </c>
      <c r="I445" s="15" t="s">
        <v>3254</v>
      </c>
      <c r="J445" s="15" t="s">
        <v>3255</v>
      </c>
      <c r="K445" s="15" t="s">
        <v>40</v>
      </c>
      <c r="L445" s="15" t="s">
        <v>41</v>
      </c>
      <c r="M445" s="15" t="s">
        <v>205</v>
      </c>
      <c r="N445" s="15" t="s">
        <v>206</v>
      </c>
      <c r="O445" s="15" t="s">
        <v>44</v>
      </c>
      <c r="P445" s="15" t="s">
        <v>3256</v>
      </c>
      <c r="Q445" s="15" t="s">
        <v>3257</v>
      </c>
      <c r="R445" s="16">
        <v>44329</v>
      </c>
      <c r="S445" s="17" t="s">
        <v>1112</v>
      </c>
      <c r="T445" s="20">
        <f>HYPERLINK("https://vnm.spiral.com.vn//uploaded/20210513/16A51094-2694-42F4-A85D-59A8CDB4D22A.jpg","08:04:35")</f>
      </c>
      <c r="U445" s="20">
        <f>HYPERLINK("https://vnm.spiral.com.vn//uploaded/20210513/17698ED2-7CAD-4673-9EA3-2B16953D301E.jpg","16:35:46")</f>
      </c>
      <c r="V445" s="18">
        <v>0.35498842592592594</v>
      </c>
      <c r="W445" s="15" t="s">
        <v>3258</v>
      </c>
      <c r="X445" s="15" t="s">
        <v>3258</v>
      </c>
      <c r="Y445" s="15" t="s">
        <v>35</v>
      </c>
      <c r="Z445" s="19">
        <v>0</v>
      </c>
      <c r="AA445" s="15">
        <v>0</v>
      </c>
      <c r="AB445" s="15" t="s">
        <v>35</v>
      </c>
    </row>
    <row r="446">
      <c r="A446" s="15">
        <v>442</v>
      </c>
      <c r="B446" s="15" t="s">
        <v>49</v>
      </c>
      <c r="C446" s="15" t="s">
        <v>162</v>
      </c>
      <c r="D446" s="15" t="s">
        <v>35</v>
      </c>
      <c r="E446" s="15" t="s">
        <v>35</v>
      </c>
      <c r="F446" s="15" t="s">
        <v>1850</v>
      </c>
      <c r="G446" s="15" t="s">
        <v>36</v>
      </c>
      <c r="H446" s="15" t="s">
        <v>3259</v>
      </c>
      <c r="I446" s="15" t="s">
        <v>3260</v>
      </c>
      <c r="J446" s="15" t="s">
        <v>3261</v>
      </c>
      <c r="K446" s="15" t="s">
        <v>40</v>
      </c>
      <c r="L446" s="15" t="s">
        <v>41</v>
      </c>
      <c r="M446" s="15" t="s">
        <v>55</v>
      </c>
      <c r="N446" s="15" t="s">
        <v>56</v>
      </c>
      <c r="O446" s="15" t="s">
        <v>44</v>
      </c>
      <c r="P446" s="15" t="s">
        <v>3262</v>
      </c>
      <c r="Q446" s="15" t="s">
        <v>3263</v>
      </c>
      <c r="R446" s="16">
        <v>44329</v>
      </c>
      <c r="S446" s="17" t="s">
        <v>1188</v>
      </c>
      <c r="T446" s="20">
        <f>HYPERLINK("https://vnm.spiral.com.vn//uploaded/20210513/29a0a62e-7c1f-48b2-93bf-b7617e74641b.JPEG","08:17:10")</f>
      </c>
      <c r="U446" s="20">
        <f>HYPERLINK("https://vnm.spiral.com.vn//uploaded/20210513/bab341eb-08a6-42ca-9703-4e02879b687b.JPEG","16:35:45")</f>
      </c>
      <c r="V446" s="18">
        <v>0.3462384259259259</v>
      </c>
      <c r="W446" s="15" t="s">
        <v>3264</v>
      </c>
      <c r="X446" s="15" t="s">
        <v>3265</v>
      </c>
      <c r="Y446" s="15" t="s">
        <v>35</v>
      </c>
      <c r="Z446" s="19">
        <v>0</v>
      </c>
      <c r="AA446" s="15">
        <v>0</v>
      </c>
      <c r="AB446" s="15" t="s">
        <v>35</v>
      </c>
    </row>
    <row r="447">
      <c r="A447" s="15">
        <v>443</v>
      </c>
      <c r="B447" s="15" t="s">
        <v>87</v>
      </c>
      <c r="C447" s="15" t="s">
        <v>88</v>
      </c>
      <c r="D447" s="15" t="s">
        <v>432</v>
      </c>
      <c r="E447" s="15" t="s">
        <v>116</v>
      </c>
      <c r="F447" s="15" t="s">
        <v>35</v>
      </c>
      <c r="G447" s="15" t="s">
        <v>74</v>
      </c>
      <c r="H447" s="15" t="s">
        <v>3266</v>
      </c>
      <c r="I447" s="15" t="s">
        <v>3267</v>
      </c>
      <c r="J447" s="15" t="s">
        <v>3268</v>
      </c>
      <c r="K447" s="15" t="s">
        <v>625</v>
      </c>
      <c r="L447" s="15" t="s">
        <v>626</v>
      </c>
      <c r="M447" s="15" t="s">
        <v>627</v>
      </c>
      <c r="N447" s="15" t="s">
        <v>628</v>
      </c>
      <c r="O447" s="15" t="s">
        <v>82</v>
      </c>
      <c r="P447" s="15" t="s">
        <v>1804</v>
      </c>
      <c r="Q447" s="15" t="s">
        <v>1805</v>
      </c>
      <c r="R447" s="16">
        <v>44329</v>
      </c>
      <c r="S447" s="17" t="s">
        <v>70</v>
      </c>
      <c r="T447" s="20">
        <f>HYPERLINK("https://vnm.spiral.com.vn//uploaded/20210513/2fd38a96-bad5-43f2-aa8c-0dc4847e6bb1.JPEG","15:30:37")</f>
      </c>
      <c r="U447" s="20">
        <f>HYPERLINK("https://vnm.spiral.com.vn//uploaded/20210513/cf5fc5ed-0d98-4c91-b602-bd411473649c.JPEG","16:35:44")</f>
      </c>
      <c r="V447" s="18">
        <v>0.04521990740740741</v>
      </c>
      <c r="W447" s="15" t="s">
        <v>3269</v>
      </c>
      <c r="X447" s="15" t="s">
        <v>3270</v>
      </c>
      <c r="Y447" s="15" t="s">
        <v>35</v>
      </c>
      <c r="Z447" s="19">
        <v>0</v>
      </c>
      <c r="AA447" s="15">
        <v>0</v>
      </c>
      <c r="AB447" s="15" t="s">
        <v>35</v>
      </c>
    </row>
    <row r="448">
      <c r="A448" s="15">
        <v>444</v>
      </c>
      <c r="B448" s="15" t="s">
        <v>61</v>
      </c>
      <c r="C448" s="15" t="s">
        <v>904</v>
      </c>
      <c r="D448" s="15" t="s">
        <v>35</v>
      </c>
      <c r="E448" s="15" t="s">
        <v>35</v>
      </c>
      <c r="F448" s="15" t="s">
        <v>35</v>
      </c>
      <c r="G448" s="15" t="s">
        <v>36</v>
      </c>
      <c r="H448" s="15" t="s">
        <v>3271</v>
      </c>
      <c r="I448" s="15" t="s">
        <v>3272</v>
      </c>
      <c r="J448" s="15" t="s">
        <v>3273</v>
      </c>
      <c r="K448" s="15" t="s">
        <v>40</v>
      </c>
      <c r="L448" s="15" t="s">
        <v>41</v>
      </c>
      <c r="M448" s="15" t="s">
        <v>66</v>
      </c>
      <c r="N448" s="15" t="s">
        <v>67</v>
      </c>
      <c r="O448" s="15" t="s">
        <v>44</v>
      </c>
      <c r="P448" s="15" t="s">
        <v>3274</v>
      </c>
      <c r="Q448" s="15" t="s">
        <v>3275</v>
      </c>
      <c r="R448" s="16">
        <v>44329</v>
      </c>
      <c r="S448" s="17" t="s">
        <v>1112</v>
      </c>
      <c r="T448" s="20">
        <f>HYPERLINK("https://vnm.spiral.com.vn//uploaded/20210513/eaa499f5-13d9-4148-81c3-16b259d1fdb6.JPEG","08:03:39")</f>
      </c>
      <c r="U448" s="20">
        <f>HYPERLINK("https://vnm.spiral.com.vn//uploaded/20210513/cf546d18-45fa-4dab-a7f3-40e5112558bc.JPEG","16:35:43")</f>
      </c>
      <c r="V448" s="18">
        <v>0.35560185185185184</v>
      </c>
      <c r="W448" s="15" t="s">
        <v>3276</v>
      </c>
      <c r="X448" s="15" t="s">
        <v>3277</v>
      </c>
      <c r="Y448" s="15" t="s">
        <v>35</v>
      </c>
      <c r="Z448" s="19">
        <v>0</v>
      </c>
      <c r="AA448" s="15">
        <v>0</v>
      </c>
      <c r="AB448" s="15" t="s">
        <v>35</v>
      </c>
    </row>
    <row r="449">
      <c r="A449" s="15">
        <v>445</v>
      </c>
      <c r="B449" s="15" t="s">
        <v>87</v>
      </c>
      <c r="C449" s="15" t="s">
        <v>88</v>
      </c>
      <c r="D449" s="15" t="s">
        <v>89</v>
      </c>
      <c r="E449" s="15" t="s">
        <v>90</v>
      </c>
      <c r="F449" s="15" t="s">
        <v>35</v>
      </c>
      <c r="G449" s="15" t="s">
        <v>74</v>
      </c>
      <c r="H449" s="15" t="s">
        <v>3278</v>
      </c>
      <c r="I449" s="15" t="s">
        <v>3279</v>
      </c>
      <c r="J449" s="15" t="s">
        <v>3280</v>
      </c>
      <c r="K449" s="15" t="s">
        <v>96</v>
      </c>
      <c r="L449" s="15" t="s">
        <v>97</v>
      </c>
      <c r="M449" s="15" t="s">
        <v>2333</v>
      </c>
      <c r="N449" s="15" t="s">
        <v>2334</v>
      </c>
      <c r="O449" s="15" t="s">
        <v>156</v>
      </c>
      <c r="P449" s="15" t="s">
        <v>3281</v>
      </c>
      <c r="Q449" s="15" t="s">
        <v>3282</v>
      </c>
      <c r="R449" s="16">
        <v>44329</v>
      </c>
      <c r="S449" s="17" t="s">
        <v>256</v>
      </c>
      <c r="T449" s="20">
        <f>HYPERLINK("https://vnm.spiral.com.vn//uploaded/20210513/20E6904F-BA4C-4B86-8D93-BFCDD5800BD7.jpg","07:38:38")</f>
      </c>
      <c r="U449" s="20">
        <f>HYPERLINK("https://vnm.spiral.com.vn//uploaded/20210513/4DA5B6A4-0B44-4587-9AD5-8D05EE53DB57.jpg","16:35:36")</f>
      </c>
      <c r="V449" s="18">
        <v>0.37289351851851854</v>
      </c>
      <c r="W449" s="15" t="s">
        <v>3283</v>
      </c>
      <c r="X449" s="15" t="s">
        <v>3284</v>
      </c>
      <c r="Y449" s="15" t="s">
        <v>35</v>
      </c>
      <c r="Z449" s="19">
        <v>0</v>
      </c>
      <c r="AA449" s="15">
        <v>0</v>
      </c>
      <c r="AB449" s="15" t="s">
        <v>35</v>
      </c>
    </row>
    <row r="450">
      <c r="A450" s="15">
        <v>446</v>
      </c>
      <c r="B450" s="15" t="s">
        <v>343</v>
      </c>
      <c r="C450" s="15" t="s">
        <v>344</v>
      </c>
      <c r="D450" s="15" t="s">
        <v>1897</v>
      </c>
      <c r="E450" s="15" t="s">
        <v>90</v>
      </c>
      <c r="F450" s="15" t="s">
        <v>35</v>
      </c>
      <c r="G450" s="15" t="s">
        <v>74</v>
      </c>
      <c r="H450" s="15" t="s">
        <v>3110</v>
      </c>
      <c r="I450" s="15" t="s">
        <v>3111</v>
      </c>
      <c r="J450" s="15" t="s">
        <v>3112</v>
      </c>
      <c r="K450" s="15" t="s">
        <v>349</v>
      </c>
      <c r="L450" s="15" t="s">
        <v>350</v>
      </c>
      <c r="M450" s="15" t="s">
        <v>1524</v>
      </c>
      <c r="N450" s="15" t="s">
        <v>429</v>
      </c>
      <c r="O450" s="15" t="s">
        <v>156</v>
      </c>
      <c r="P450" s="15" t="s">
        <v>3285</v>
      </c>
      <c r="Q450" s="15" t="s">
        <v>3286</v>
      </c>
      <c r="R450" s="16">
        <v>44329</v>
      </c>
      <c r="S450" s="17" t="s">
        <v>256</v>
      </c>
      <c r="T450" s="20">
        <f>HYPERLINK("https://vnm.spiral.com.vn//uploaded/20210513/FC74BEF7-7D98-42C0-8AAC-B342A8747AD4.jpg","07:29:35")</f>
      </c>
      <c r="U450" s="20">
        <f>HYPERLINK("https://vnm.spiral.com.vn//uploaded/20210513/94368CC3-0AE6-4264-AEB9-DF8FE83CCDBB.jpg","16:35:26")</f>
      </c>
      <c r="V450" s="18">
        <v>0.3790625</v>
      </c>
      <c r="W450" s="15" t="s">
        <v>3287</v>
      </c>
      <c r="X450" s="15" t="s">
        <v>3288</v>
      </c>
      <c r="Y450" s="15" t="s">
        <v>35</v>
      </c>
      <c r="Z450" s="19">
        <v>0</v>
      </c>
      <c r="AA450" s="15">
        <v>0</v>
      </c>
      <c r="AB450" s="15" t="s">
        <v>35</v>
      </c>
    </row>
    <row r="451">
      <c r="A451" s="15">
        <v>447</v>
      </c>
      <c r="B451" s="15" t="s">
        <v>49</v>
      </c>
      <c r="C451" s="15" t="s">
        <v>162</v>
      </c>
      <c r="D451" s="15" t="s">
        <v>35</v>
      </c>
      <c r="E451" s="15" t="s">
        <v>35</v>
      </c>
      <c r="F451" s="15" t="s">
        <v>1969</v>
      </c>
      <c r="G451" s="15" t="s">
        <v>36</v>
      </c>
      <c r="H451" s="15" t="s">
        <v>3289</v>
      </c>
      <c r="I451" s="15" t="s">
        <v>3290</v>
      </c>
      <c r="J451" s="15" t="s">
        <v>3291</v>
      </c>
      <c r="K451" s="15" t="s">
        <v>40</v>
      </c>
      <c r="L451" s="15" t="s">
        <v>41</v>
      </c>
      <c r="M451" s="15" t="s">
        <v>55</v>
      </c>
      <c r="N451" s="15" t="s">
        <v>56</v>
      </c>
      <c r="O451" s="15" t="s">
        <v>44</v>
      </c>
      <c r="P451" s="15" t="s">
        <v>3292</v>
      </c>
      <c r="Q451" s="15" t="s">
        <v>3293</v>
      </c>
      <c r="R451" s="16">
        <v>44329</v>
      </c>
      <c r="S451" s="17" t="s">
        <v>475</v>
      </c>
      <c r="T451" s="20">
        <f>HYPERLINK("https://vnm.spiral.com.vn//uploaded/20210513/3af0eb7c-6ab4-46a5-b4fa-0a67ecde2949.JPEG","07:47:07")</f>
      </c>
      <c r="U451" s="20">
        <f>HYPERLINK("https://vnm.spiral.com.vn//uploaded/20210513/8cac521a-2616-44df-a5ea-0d7c032d86d1.JPEG","16:35:15")</f>
      </c>
      <c r="V451" s="18">
        <v>0.3667592592592593</v>
      </c>
      <c r="W451" s="15" t="s">
        <v>3294</v>
      </c>
      <c r="X451" s="15" t="s">
        <v>3295</v>
      </c>
      <c r="Y451" s="15" t="s">
        <v>35</v>
      </c>
      <c r="Z451" s="19">
        <v>0</v>
      </c>
      <c r="AA451" s="15">
        <v>0</v>
      </c>
      <c r="AB451" s="15" t="s">
        <v>35</v>
      </c>
    </row>
    <row r="452">
      <c r="A452" s="15">
        <v>448</v>
      </c>
      <c r="B452" s="15" t="s">
        <v>87</v>
      </c>
      <c r="C452" s="15" t="s">
        <v>88</v>
      </c>
      <c r="D452" s="15" t="s">
        <v>89</v>
      </c>
      <c r="E452" s="15" t="s">
        <v>90</v>
      </c>
      <c r="F452" s="15" t="s">
        <v>35</v>
      </c>
      <c r="G452" s="15" t="s">
        <v>74</v>
      </c>
      <c r="H452" s="15" t="s">
        <v>3296</v>
      </c>
      <c r="I452" s="15" t="s">
        <v>3297</v>
      </c>
      <c r="J452" s="15" t="s">
        <v>3298</v>
      </c>
      <c r="K452" s="15" t="s">
        <v>96</v>
      </c>
      <c r="L452" s="15" t="s">
        <v>97</v>
      </c>
      <c r="M452" s="15" t="s">
        <v>1831</v>
      </c>
      <c r="N452" s="15" t="s">
        <v>1832</v>
      </c>
      <c r="O452" s="15" t="s">
        <v>156</v>
      </c>
      <c r="P452" s="15" t="s">
        <v>3299</v>
      </c>
      <c r="Q452" s="15" t="s">
        <v>3300</v>
      </c>
      <c r="R452" s="16">
        <v>44329</v>
      </c>
      <c r="S452" s="17" t="s">
        <v>256</v>
      </c>
      <c r="T452" s="20">
        <f>HYPERLINK("https://vnm.spiral.com.vn//uploaded/20210513/F7C88763-DAC0-4007-9A89-ECE1C7A3DD1D.jpg","07:58:46")</f>
      </c>
      <c r="U452" s="20">
        <f>HYPERLINK("https://vnm.spiral.com.vn//uploaded/20210513/BCBA8CF3-B615-4256-8490-C466A62218EF.jpg","16:34:54")</f>
      </c>
      <c r="V452" s="18">
        <v>0.3584259259259259</v>
      </c>
      <c r="W452" s="15" t="s">
        <v>3301</v>
      </c>
      <c r="X452" s="15" t="s">
        <v>3302</v>
      </c>
      <c r="Y452" s="15" t="s">
        <v>35</v>
      </c>
      <c r="Z452" s="19">
        <v>0</v>
      </c>
      <c r="AA452" s="15">
        <v>0</v>
      </c>
      <c r="AB452" s="15" t="s">
        <v>35</v>
      </c>
    </row>
    <row r="453">
      <c r="A453" s="15">
        <v>449</v>
      </c>
      <c r="B453" s="15" t="s">
        <v>87</v>
      </c>
      <c r="C453" s="15" t="s">
        <v>88</v>
      </c>
      <c r="D453" s="15" t="s">
        <v>35</v>
      </c>
      <c r="E453" s="15" t="s">
        <v>35</v>
      </c>
      <c r="F453" s="15" t="s">
        <v>2789</v>
      </c>
      <c r="G453" s="15" t="s">
        <v>36</v>
      </c>
      <c r="H453" s="15" t="s">
        <v>3303</v>
      </c>
      <c r="I453" s="15" t="s">
        <v>3304</v>
      </c>
      <c r="J453" s="15" t="s">
        <v>3305</v>
      </c>
      <c r="K453" s="15" t="s">
        <v>40</v>
      </c>
      <c r="L453" s="15" t="s">
        <v>41</v>
      </c>
      <c r="M453" s="15" t="s">
        <v>289</v>
      </c>
      <c r="N453" s="15" t="s">
        <v>290</v>
      </c>
      <c r="O453" s="15" t="s">
        <v>44</v>
      </c>
      <c r="P453" s="15" t="s">
        <v>3306</v>
      </c>
      <c r="Q453" s="15" t="s">
        <v>3307</v>
      </c>
      <c r="R453" s="16">
        <v>44329</v>
      </c>
      <c r="S453" s="17" t="s">
        <v>3308</v>
      </c>
      <c r="T453" s="20">
        <f>HYPERLINK("https://vnm.spiral.com.vn//uploaded/20210513/97A2B004-2836-4258-B04A-7AD65E16A1C8.jpg","08:33:50")</f>
      </c>
      <c r="U453" s="20">
        <f>HYPERLINK("https://vnm.spiral.com.vn//uploaded/20210513/0DE3FE3C-2D6E-4B1B-93C7-753B693A0CE4.jpg","16:34:50")</f>
      </c>
      <c r="V453" s="18">
        <v>0.33402777777777776</v>
      </c>
      <c r="W453" s="15" t="s">
        <v>3309</v>
      </c>
      <c r="X453" s="15" t="s">
        <v>3310</v>
      </c>
      <c r="Y453" s="15" t="s">
        <v>35</v>
      </c>
      <c r="Z453" s="19">
        <v>0</v>
      </c>
      <c r="AA453" s="15">
        <v>0</v>
      </c>
      <c r="AB453" s="15" t="s">
        <v>35</v>
      </c>
    </row>
    <row r="454">
      <c r="A454" s="15">
        <v>450</v>
      </c>
      <c r="B454" s="15" t="s">
        <v>49</v>
      </c>
      <c r="C454" s="15" t="s">
        <v>468</v>
      </c>
      <c r="D454" s="15" t="s">
        <v>35</v>
      </c>
      <c r="E454" s="15" t="s">
        <v>35</v>
      </c>
      <c r="F454" s="15" t="s">
        <v>3311</v>
      </c>
      <c r="G454" s="15" t="s">
        <v>36</v>
      </c>
      <c r="H454" s="15" t="s">
        <v>3312</v>
      </c>
      <c r="I454" s="15" t="s">
        <v>3313</v>
      </c>
      <c r="J454" s="15" t="s">
        <v>3314</v>
      </c>
      <c r="K454" s="15" t="s">
        <v>40</v>
      </c>
      <c r="L454" s="15" t="s">
        <v>41</v>
      </c>
      <c r="M454" s="15" t="s">
        <v>55</v>
      </c>
      <c r="N454" s="15" t="s">
        <v>56</v>
      </c>
      <c r="O454" s="15" t="s">
        <v>44</v>
      </c>
      <c r="P454" s="15" t="s">
        <v>3315</v>
      </c>
      <c r="Q454" s="15" t="s">
        <v>1386</v>
      </c>
      <c r="R454" s="16">
        <v>44329</v>
      </c>
      <c r="S454" s="17" t="s">
        <v>256</v>
      </c>
      <c r="T454" s="20">
        <f>HYPERLINK("https://vnm.spiral.com.vn//uploaded/20210513/b67e2050-42eb-4dfd-a4e2-c6494f16fb64.JPEG","07:32:53")</f>
      </c>
      <c r="U454" s="20">
        <f>HYPERLINK("https://vnm.spiral.com.vn//uploaded/20210513/79d61e1b-6164-419b-8f11-b5f9b4470dc2.JPEG","16:34:49")</f>
      </c>
      <c r="V454" s="18">
        <v>0.3763425925925926</v>
      </c>
      <c r="W454" s="15" t="s">
        <v>3316</v>
      </c>
      <c r="X454" s="15" t="s">
        <v>3317</v>
      </c>
      <c r="Y454" s="15" t="s">
        <v>35</v>
      </c>
      <c r="Z454" s="19">
        <v>0</v>
      </c>
      <c r="AA454" s="15">
        <v>0</v>
      </c>
      <c r="AB454" s="15" t="s">
        <v>35</v>
      </c>
    </row>
    <row r="455">
      <c r="A455" s="15">
        <v>451</v>
      </c>
      <c r="B455" s="15" t="s">
        <v>87</v>
      </c>
      <c r="C455" s="15" t="s">
        <v>88</v>
      </c>
      <c r="D455" s="15" t="s">
        <v>35</v>
      </c>
      <c r="E455" s="15" t="s">
        <v>35</v>
      </c>
      <c r="F455" s="15" t="s">
        <v>2077</v>
      </c>
      <c r="G455" s="15" t="s">
        <v>36</v>
      </c>
      <c r="H455" s="15" t="s">
        <v>3318</v>
      </c>
      <c r="I455" s="15" t="s">
        <v>3319</v>
      </c>
      <c r="J455" s="15" t="s">
        <v>3320</v>
      </c>
      <c r="K455" s="15" t="s">
        <v>40</v>
      </c>
      <c r="L455" s="15" t="s">
        <v>41</v>
      </c>
      <c r="M455" s="15" t="s">
        <v>289</v>
      </c>
      <c r="N455" s="15" t="s">
        <v>290</v>
      </c>
      <c r="O455" s="15" t="s">
        <v>44</v>
      </c>
      <c r="P455" s="15" t="s">
        <v>3321</v>
      </c>
      <c r="Q455" s="15" t="s">
        <v>3322</v>
      </c>
      <c r="R455" s="16">
        <v>44329</v>
      </c>
      <c r="S455" s="17" t="s">
        <v>3323</v>
      </c>
      <c r="T455" s="20">
        <f>HYPERLINK("https://vnm.spiral.com.vn//uploaded/20210513/70b8dd3f-d2d7-43bb-b231-f52eba983fa6.JPEG","16:34:45")</f>
      </c>
      <c r="U455" s="18"/>
      <c r="V455" s="18" t="s">
        <v>35</v>
      </c>
      <c r="W455" s="15" t="s">
        <v>3324</v>
      </c>
      <c r="X455" s="15" t="s">
        <v>35</v>
      </c>
      <c r="Y455" s="15" t="s">
        <v>35</v>
      </c>
      <c r="Z455" s="19">
        <v>0</v>
      </c>
      <c r="AA455" s="15">
        <v>0</v>
      </c>
      <c r="AB455" s="15" t="s">
        <v>35</v>
      </c>
    </row>
    <row r="456">
      <c r="A456" s="15">
        <v>452</v>
      </c>
      <c r="B456" s="15" t="s">
        <v>61</v>
      </c>
      <c r="C456" s="15" t="s">
        <v>62</v>
      </c>
      <c r="D456" s="15" t="s">
        <v>35</v>
      </c>
      <c r="E456" s="15" t="s">
        <v>35</v>
      </c>
      <c r="F456" s="15" t="s">
        <v>3325</v>
      </c>
      <c r="G456" s="15" t="s">
        <v>36</v>
      </c>
      <c r="H456" s="15" t="s">
        <v>3326</v>
      </c>
      <c r="I456" s="15" t="s">
        <v>3327</v>
      </c>
      <c r="J456" s="15" t="s">
        <v>3328</v>
      </c>
      <c r="K456" s="15" t="s">
        <v>40</v>
      </c>
      <c r="L456" s="15" t="s">
        <v>41</v>
      </c>
      <c r="M456" s="15" t="s">
        <v>66</v>
      </c>
      <c r="N456" s="15" t="s">
        <v>67</v>
      </c>
      <c r="O456" s="15" t="s">
        <v>44</v>
      </c>
      <c r="P456" s="15" t="s">
        <v>3329</v>
      </c>
      <c r="Q456" s="15" t="s">
        <v>3330</v>
      </c>
      <c r="R456" s="16">
        <v>44329</v>
      </c>
      <c r="S456" s="17" t="s">
        <v>1112</v>
      </c>
      <c r="T456" s="20">
        <f>HYPERLINK("https://vnm.spiral.com.vn//uploaded/20210513/ad933edf-b830-40c2-ab20-5556beeb5cf9.JPEG","08:18:56")</f>
      </c>
      <c r="U456" s="20">
        <f>HYPERLINK("https://vnm.spiral.com.vn//uploaded/20210513/aec42cb9-47bf-45f0-ba4d-65af0d9d8969.JPEG","16:34:33")</f>
      </c>
      <c r="V456" s="18">
        <v>0.3441782407407407</v>
      </c>
      <c r="W456" s="15" t="s">
        <v>3331</v>
      </c>
      <c r="X456" s="15" t="s">
        <v>3332</v>
      </c>
      <c r="Y456" s="15" t="s">
        <v>35</v>
      </c>
      <c r="Z456" s="19">
        <v>0</v>
      </c>
      <c r="AA456" s="15">
        <v>0</v>
      </c>
      <c r="AB456" s="15" t="s">
        <v>35</v>
      </c>
    </row>
    <row r="457">
      <c r="A457" s="15">
        <v>453</v>
      </c>
      <c r="B457" s="15" t="s">
        <v>103</v>
      </c>
      <c r="C457" s="15" t="s">
        <v>2116</v>
      </c>
      <c r="D457" s="15" t="s">
        <v>89</v>
      </c>
      <c r="E457" s="15" t="s">
        <v>90</v>
      </c>
      <c r="F457" s="15" t="s">
        <v>35</v>
      </c>
      <c r="G457" s="15" t="s">
        <v>74</v>
      </c>
      <c r="H457" s="15" t="s">
        <v>3333</v>
      </c>
      <c r="I457" s="15" t="s">
        <v>3334</v>
      </c>
      <c r="J457" s="15" t="s">
        <v>3335</v>
      </c>
      <c r="K457" s="15" t="s">
        <v>178</v>
      </c>
      <c r="L457" s="15" t="s">
        <v>179</v>
      </c>
      <c r="M457" s="15" t="s">
        <v>2120</v>
      </c>
      <c r="N457" s="15" t="s">
        <v>2121</v>
      </c>
      <c r="O457" s="15" t="s">
        <v>156</v>
      </c>
      <c r="P457" s="15" t="s">
        <v>3336</v>
      </c>
      <c r="Q457" s="15" t="s">
        <v>3337</v>
      </c>
      <c r="R457" s="16">
        <v>44329</v>
      </c>
      <c r="S457" s="17" t="s">
        <v>475</v>
      </c>
      <c r="T457" s="20">
        <f>HYPERLINK("https://vnm.spiral.com.vn//uploaded/20210513/d8b0e2ee-2240-4e0a-93cb-01500b89ccf8.JPEG","07:48:42")</f>
      </c>
      <c r="U457" s="20">
        <f>HYPERLINK("https://vnm.spiral.com.vn//uploaded/20210513/2ce0b1ad-fd98-47d5-a6d9-d9f1a2986e1f.JPEG","16:34:29")</f>
      </c>
      <c r="V457" s="18">
        <v>0.3651273148148148</v>
      </c>
      <c r="W457" s="15" t="s">
        <v>3338</v>
      </c>
      <c r="X457" s="15" t="s">
        <v>3339</v>
      </c>
      <c r="Y457" s="15" t="s">
        <v>35</v>
      </c>
      <c r="Z457" s="19">
        <v>0</v>
      </c>
      <c r="AA457" s="15">
        <v>0</v>
      </c>
      <c r="AB457" s="15" t="s">
        <v>35</v>
      </c>
    </row>
    <row r="458">
      <c r="A458" s="15">
        <v>454</v>
      </c>
      <c r="B458" s="15" t="s">
        <v>87</v>
      </c>
      <c r="C458" s="15" t="s">
        <v>88</v>
      </c>
      <c r="D458" s="15" t="s">
        <v>35</v>
      </c>
      <c r="E458" s="15" t="s">
        <v>35</v>
      </c>
      <c r="F458" s="15" t="s">
        <v>806</v>
      </c>
      <c r="G458" s="15" t="s">
        <v>36</v>
      </c>
      <c r="H458" s="15" t="s">
        <v>3340</v>
      </c>
      <c r="I458" s="15" t="s">
        <v>3341</v>
      </c>
      <c r="J458" s="15" t="s">
        <v>3342</v>
      </c>
      <c r="K458" s="15" t="s">
        <v>40</v>
      </c>
      <c r="L458" s="15" t="s">
        <v>41</v>
      </c>
      <c r="M458" s="15" t="s">
        <v>810</v>
      </c>
      <c r="N458" s="15" t="s">
        <v>811</v>
      </c>
      <c r="O458" s="15" t="s">
        <v>44</v>
      </c>
      <c r="P458" s="15" t="s">
        <v>3343</v>
      </c>
      <c r="Q458" s="15" t="s">
        <v>3344</v>
      </c>
      <c r="R458" s="16">
        <v>44329</v>
      </c>
      <c r="S458" s="17" t="s">
        <v>3345</v>
      </c>
      <c r="T458" s="20">
        <f>HYPERLINK("https://vnm.spiral.com.vn//uploaded/20210513/6D1F64DF-5E76-4BFC-AD1E-AB7545F11223.jpg","08:23:33")</f>
      </c>
      <c r="U458" s="20">
        <f>HYPERLINK("https://vnm.spiral.com.vn//uploaded/20210513/0FA10B82-DE56-4D52-976F-58B078C64135.jpg","16:34:23")</f>
      </c>
      <c r="V458" s="18">
        <v>0.34085648148148145</v>
      </c>
      <c r="W458" s="15" t="s">
        <v>3346</v>
      </c>
      <c r="X458" s="15" t="s">
        <v>3347</v>
      </c>
      <c r="Y458" s="15" t="s">
        <v>35</v>
      </c>
      <c r="Z458" s="19">
        <v>0</v>
      </c>
      <c r="AA458" s="15">
        <v>0</v>
      </c>
      <c r="AB458" s="15" t="s">
        <v>35</v>
      </c>
    </row>
    <row r="459">
      <c r="A459" s="15">
        <v>455</v>
      </c>
      <c r="B459" s="15" t="s">
        <v>61</v>
      </c>
      <c r="C459" s="15" t="s">
        <v>62</v>
      </c>
      <c r="D459" s="15" t="s">
        <v>35</v>
      </c>
      <c r="E459" s="15" t="s">
        <v>35</v>
      </c>
      <c r="F459" s="15" t="s">
        <v>35</v>
      </c>
      <c r="G459" s="15" t="s">
        <v>36</v>
      </c>
      <c r="H459" s="15" t="s">
        <v>3348</v>
      </c>
      <c r="I459" s="15" t="s">
        <v>3349</v>
      </c>
      <c r="J459" s="15" t="s">
        <v>3350</v>
      </c>
      <c r="K459" s="15" t="s">
        <v>40</v>
      </c>
      <c r="L459" s="15" t="s">
        <v>41</v>
      </c>
      <c r="M459" s="15" t="s">
        <v>66</v>
      </c>
      <c r="N459" s="15" t="s">
        <v>67</v>
      </c>
      <c r="O459" s="15" t="s">
        <v>44</v>
      </c>
      <c r="P459" s="15" t="s">
        <v>3351</v>
      </c>
      <c r="Q459" s="15" t="s">
        <v>3352</v>
      </c>
      <c r="R459" s="16">
        <v>44329</v>
      </c>
      <c r="S459" s="17" t="s">
        <v>70</v>
      </c>
      <c r="T459" s="20">
        <f>HYPERLINK("https://vnm.spiral.com.vn//uploaded/20210513/b2cbf97f-a293-41fa-8773-d16fa0aba0b5.JPEG","07:51:57")</f>
      </c>
      <c r="U459" s="20">
        <f>HYPERLINK("https://vnm.spiral.com.vn//uploaded/20210513/7fe176ba-7391-4de8-b437-b775612a1755.JPEG","16:34:23")</f>
      </c>
      <c r="V459" s="18">
        <v>0.36280092592592594</v>
      </c>
      <c r="W459" s="15" t="s">
        <v>3353</v>
      </c>
      <c r="X459" s="15" t="s">
        <v>3354</v>
      </c>
      <c r="Y459" s="15" t="s">
        <v>35</v>
      </c>
      <c r="Z459" s="19">
        <v>0</v>
      </c>
      <c r="AA459" s="15">
        <v>0</v>
      </c>
      <c r="AB459" s="15" t="s">
        <v>35</v>
      </c>
    </row>
    <row r="460">
      <c r="A460" s="15">
        <v>456</v>
      </c>
      <c r="B460" s="15" t="s">
        <v>343</v>
      </c>
      <c r="C460" s="15" t="s">
        <v>721</v>
      </c>
      <c r="D460" s="15" t="s">
        <v>345</v>
      </c>
      <c r="E460" s="15" t="s">
        <v>90</v>
      </c>
      <c r="F460" s="15" t="s">
        <v>35</v>
      </c>
      <c r="G460" s="15" t="s">
        <v>74</v>
      </c>
      <c r="H460" s="15" t="s">
        <v>3355</v>
      </c>
      <c r="I460" s="15" t="s">
        <v>3356</v>
      </c>
      <c r="J460" s="15" t="s">
        <v>3357</v>
      </c>
      <c r="K460" s="15" t="s">
        <v>512</v>
      </c>
      <c r="L460" s="15" t="s">
        <v>513</v>
      </c>
      <c r="M460" s="15" t="s">
        <v>1154</v>
      </c>
      <c r="N460" s="15" t="s">
        <v>1155</v>
      </c>
      <c r="O460" s="15" t="s">
        <v>156</v>
      </c>
      <c r="P460" s="15" t="s">
        <v>3358</v>
      </c>
      <c r="Q460" s="15" t="s">
        <v>3359</v>
      </c>
      <c r="R460" s="16">
        <v>44329</v>
      </c>
      <c r="S460" s="17" t="s">
        <v>256</v>
      </c>
      <c r="T460" s="20">
        <f>HYPERLINK("https://vnm.spiral.com.vn//uploaded/20210513/2BF40E71-063D-4AE4-9F1F-9AC95BF44542.jpg","07:15:27")</f>
      </c>
      <c r="U460" s="20">
        <f>HYPERLINK("https://vnm.spiral.com.vn//uploaded/20210513/E3CE2BC0-CDE4-4A4A-88DA-6536F60A7668.jpg","16:34:17")</f>
      </c>
      <c r="V460" s="18">
        <v>0.38807870370370373</v>
      </c>
      <c r="W460" s="15" t="s">
        <v>3360</v>
      </c>
      <c r="X460" s="15" t="s">
        <v>3361</v>
      </c>
      <c r="Y460" s="15" t="s">
        <v>35</v>
      </c>
      <c r="Z460" s="19">
        <v>0</v>
      </c>
      <c r="AA460" s="15">
        <v>0</v>
      </c>
      <c r="AB460" s="15" t="s">
        <v>35</v>
      </c>
    </row>
    <row r="461">
      <c r="A461" s="15">
        <v>457</v>
      </c>
      <c r="B461" s="15" t="s">
        <v>49</v>
      </c>
      <c r="C461" s="15" t="s">
        <v>162</v>
      </c>
      <c r="D461" s="15" t="s">
        <v>135</v>
      </c>
      <c r="E461" s="15" t="s">
        <v>116</v>
      </c>
      <c r="F461" s="15" t="s">
        <v>35</v>
      </c>
      <c r="G461" s="15" t="s">
        <v>74</v>
      </c>
      <c r="H461" s="15" t="s">
        <v>3362</v>
      </c>
      <c r="I461" s="15" t="s">
        <v>3363</v>
      </c>
      <c r="J461" s="15" t="s">
        <v>3364</v>
      </c>
      <c r="K461" s="15" t="s">
        <v>166</v>
      </c>
      <c r="L461" s="15" t="s">
        <v>167</v>
      </c>
      <c r="M461" s="15" t="s">
        <v>168</v>
      </c>
      <c r="N461" s="15" t="s">
        <v>169</v>
      </c>
      <c r="O461" s="15" t="s">
        <v>82</v>
      </c>
      <c r="P461" s="15" t="s">
        <v>3365</v>
      </c>
      <c r="Q461" s="15" t="s">
        <v>3366</v>
      </c>
      <c r="R461" s="16">
        <v>44329</v>
      </c>
      <c r="S461" s="17" t="s">
        <v>70</v>
      </c>
      <c r="T461" s="20">
        <f>HYPERLINK("https://vnm.spiral.com.vn//uploaded/20210513/63170622-0925-410f-817e-988b3b4af574.JPEG","16:16:50")</f>
      </c>
      <c r="U461" s="20">
        <f>HYPERLINK("https://vnm.spiral.com.vn//uploaded/20210513/31348444-7e8f-49b6-8238-32a1e0d6265d.JPEG","16:34:08")</f>
      </c>
      <c r="V461" s="18">
        <v>0.012013888888888888</v>
      </c>
      <c r="W461" s="15" t="s">
        <v>3367</v>
      </c>
      <c r="X461" s="15" t="s">
        <v>3368</v>
      </c>
      <c r="Y461" s="15" t="s">
        <v>35</v>
      </c>
      <c r="Z461" s="19">
        <v>0</v>
      </c>
      <c r="AA461" s="15">
        <v>0</v>
      </c>
      <c r="AB461" s="15" t="s">
        <v>35</v>
      </c>
    </row>
    <row r="462">
      <c r="A462" s="15">
        <v>458</v>
      </c>
      <c r="B462" s="15" t="s">
        <v>87</v>
      </c>
      <c r="C462" s="15" t="s">
        <v>88</v>
      </c>
      <c r="D462" s="15" t="s">
        <v>89</v>
      </c>
      <c r="E462" s="15" t="s">
        <v>90</v>
      </c>
      <c r="F462" s="15" t="s">
        <v>35</v>
      </c>
      <c r="G462" s="15" t="s">
        <v>74</v>
      </c>
      <c r="H462" s="15" t="s">
        <v>1276</v>
      </c>
      <c r="I462" s="15" t="s">
        <v>1277</v>
      </c>
      <c r="J462" s="15" t="s">
        <v>1278</v>
      </c>
      <c r="K462" s="15" t="s">
        <v>96</v>
      </c>
      <c r="L462" s="15" t="s">
        <v>97</v>
      </c>
      <c r="M462" s="15" t="s">
        <v>1279</v>
      </c>
      <c r="N462" s="15" t="s">
        <v>1280</v>
      </c>
      <c r="O462" s="15" t="s">
        <v>156</v>
      </c>
      <c r="P462" s="15" t="s">
        <v>3369</v>
      </c>
      <c r="Q462" s="15" t="s">
        <v>3370</v>
      </c>
      <c r="R462" s="16">
        <v>44329</v>
      </c>
      <c r="S462" s="17" t="s">
        <v>256</v>
      </c>
      <c r="T462" s="20">
        <f>HYPERLINK("https://vnm.spiral.com.vn//uploaded/20210513/FF353B58-28C8-41E8-ABE2-80491EAD5ACE.jpg","07:17:30")</f>
      </c>
      <c r="U462" s="20">
        <f>HYPERLINK("https://vnm.spiral.com.vn//uploaded/20210513/86BA0794-7123-4893-80C2-19C079C9E162.jpg","16:34:07")</f>
      </c>
      <c r="V462" s="18">
        <v>0.38653935185185184</v>
      </c>
      <c r="W462" s="15" t="s">
        <v>3371</v>
      </c>
      <c r="X462" s="15" t="s">
        <v>3372</v>
      </c>
      <c r="Y462" s="15" t="s">
        <v>35</v>
      </c>
      <c r="Z462" s="19">
        <v>0</v>
      </c>
      <c r="AA462" s="15">
        <v>0</v>
      </c>
      <c r="AB462" s="15" t="s">
        <v>35</v>
      </c>
    </row>
    <row r="463">
      <c r="A463" s="15">
        <v>459</v>
      </c>
      <c r="B463" s="15" t="s">
        <v>87</v>
      </c>
      <c r="C463" s="15" t="s">
        <v>88</v>
      </c>
      <c r="D463" s="15" t="s">
        <v>35</v>
      </c>
      <c r="E463" s="15" t="s">
        <v>35</v>
      </c>
      <c r="F463" s="15" t="s">
        <v>2667</v>
      </c>
      <c r="G463" s="15" t="s">
        <v>36</v>
      </c>
      <c r="H463" s="15" t="s">
        <v>3373</v>
      </c>
      <c r="I463" s="15" t="s">
        <v>3374</v>
      </c>
      <c r="J463" s="15" t="s">
        <v>3375</v>
      </c>
      <c r="K463" s="15" t="s">
        <v>40</v>
      </c>
      <c r="L463" s="15" t="s">
        <v>41</v>
      </c>
      <c r="M463" s="15" t="s">
        <v>1195</v>
      </c>
      <c r="N463" s="15" t="s">
        <v>1196</v>
      </c>
      <c r="O463" s="15" t="s">
        <v>44</v>
      </c>
      <c r="P463" s="15" t="s">
        <v>3376</v>
      </c>
      <c r="Q463" s="15" t="s">
        <v>3377</v>
      </c>
      <c r="R463" s="16">
        <v>44329</v>
      </c>
      <c r="S463" s="17" t="s">
        <v>2003</v>
      </c>
      <c r="T463" s="20">
        <f>HYPERLINK("https://vnm.spiral.com.vn//uploaded/20210513/2116cc9e-d4df-4b36-a377-0fe19ff43474.JPEG","16:33:58")</f>
      </c>
      <c r="U463" s="18"/>
      <c r="V463" s="18" t="s">
        <v>35</v>
      </c>
      <c r="W463" s="15" t="s">
        <v>3378</v>
      </c>
      <c r="X463" s="15" t="s">
        <v>35</v>
      </c>
      <c r="Y463" s="15" t="s">
        <v>35</v>
      </c>
      <c r="Z463" s="19">
        <v>0</v>
      </c>
      <c r="AA463" s="15">
        <v>0</v>
      </c>
      <c r="AB463" s="15" t="s">
        <v>35</v>
      </c>
    </row>
    <row r="464">
      <c r="A464" s="15">
        <v>460</v>
      </c>
      <c r="B464" s="15" t="s">
        <v>87</v>
      </c>
      <c r="C464" s="15" t="s">
        <v>88</v>
      </c>
      <c r="D464" s="15" t="s">
        <v>89</v>
      </c>
      <c r="E464" s="15" t="s">
        <v>90</v>
      </c>
      <c r="F464" s="15" t="s">
        <v>35</v>
      </c>
      <c r="G464" s="15" t="s">
        <v>74</v>
      </c>
      <c r="H464" s="15" t="s">
        <v>3296</v>
      </c>
      <c r="I464" s="15" t="s">
        <v>3297</v>
      </c>
      <c r="J464" s="15" t="s">
        <v>3298</v>
      </c>
      <c r="K464" s="15" t="s">
        <v>96</v>
      </c>
      <c r="L464" s="15" t="s">
        <v>97</v>
      </c>
      <c r="M464" s="15" t="s">
        <v>1831</v>
      </c>
      <c r="N464" s="15" t="s">
        <v>1832</v>
      </c>
      <c r="O464" s="15" t="s">
        <v>156</v>
      </c>
      <c r="P464" s="15" t="s">
        <v>3379</v>
      </c>
      <c r="Q464" s="15" t="s">
        <v>3380</v>
      </c>
      <c r="R464" s="16">
        <v>44329</v>
      </c>
      <c r="S464" s="17" t="s">
        <v>256</v>
      </c>
      <c r="T464" s="20">
        <f>HYPERLINK("https://vnm.spiral.com.vn//uploaded/20210513/024532a9-afc9-49a4-83b7-2b258a933dd8.JPEG","07:03:56")</f>
      </c>
      <c r="U464" s="20">
        <f>HYPERLINK("https://vnm.spiral.com.vn//uploaded/20210513/219a45b0-32d5-43fc-9686-d07c378686f4.JPEG","16:33:57")</f>
      </c>
      <c r="V464" s="18">
        <v>0.3958449074074074</v>
      </c>
      <c r="W464" s="15" t="s">
        <v>3381</v>
      </c>
      <c r="X464" s="15" t="s">
        <v>3382</v>
      </c>
      <c r="Y464" s="15" t="s">
        <v>35</v>
      </c>
      <c r="Z464" s="19">
        <v>0</v>
      </c>
      <c r="AA464" s="15">
        <v>0</v>
      </c>
      <c r="AB464" s="15" t="s">
        <v>35</v>
      </c>
    </row>
    <row r="465">
      <c r="A465" s="15">
        <v>461</v>
      </c>
      <c r="B465" s="15" t="s">
        <v>87</v>
      </c>
      <c r="C465" s="15" t="s">
        <v>88</v>
      </c>
      <c r="D465" s="15" t="s">
        <v>89</v>
      </c>
      <c r="E465" s="15" t="s">
        <v>90</v>
      </c>
      <c r="F465" s="15" t="s">
        <v>35</v>
      </c>
      <c r="G465" s="15" t="s">
        <v>74</v>
      </c>
      <c r="H465" s="15" t="s">
        <v>2606</v>
      </c>
      <c r="I465" s="15" t="s">
        <v>2607</v>
      </c>
      <c r="J465" s="15" t="s">
        <v>2608</v>
      </c>
      <c r="K465" s="15" t="s">
        <v>96</v>
      </c>
      <c r="L465" s="15" t="s">
        <v>97</v>
      </c>
      <c r="M465" s="15" t="s">
        <v>1640</v>
      </c>
      <c r="N465" s="15" t="s">
        <v>1641</v>
      </c>
      <c r="O465" s="15" t="s">
        <v>156</v>
      </c>
      <c r="P465" s="15" t="s">
        <v>3383</v>
      </c>
      <c r="Q465" s="15" t="s">
        <v>3384</v>
      </c>
      <c r="R465" s="16">
        <v>44329</v>
      </c>
      <c r="S465" s="17" t="s">
        <v>256</v>
      </c>
      <c r="T465" s="20">
        <f>HYPERLINK("https://vnm.spiral.com.vn//uploaded/20210513/8F548A4D-BDE3-4833-9E65-E7F8CBCD160A.jpg","07:21:12")</f>
      </c>
      <c r="U465" s="20">
        <f>HYPERLINK("https://vnm.spiral.com.vn//uploaded/20210513/943AD321-5987-492A-922E-D1EB837B9CFE.jpg","16:33:50")</f>
      </c>
      <c r="V465" s="18">
        <v>0.38377314814814817</v>
      </c>
      <c r="W465" s="15" t="s">
        <v>3385</v>
      </c>
      <c r="X465" s="15" t="s">
        <v>3386</v>
      </c>
      <c r="Y465" s="15" t="s">
        <v>35</v>
      </c>
      <c r="Z465" s="19">
        <v>0</v>
      </c>
      <c r="AA465" s="15">
        <v>0</v>
      </c>
      <c r="AB465" s="15" t="s">
        <v>35</v>
      </c>
    </row>
    <row r="466">
      <c r="A466" s="15">
        <v>462</v>
      </c>
      <c r="B466" s="15" t="s">
        <v>87</v>
      </c>
      <c r="C466" s="15" t="s">
        <v>88</v>
      </c>
      <c r="D466" s="15" t="s">
        <v>89</v>
      </c>
      <c r="E466" s="15" t="s">
        <v>90</v>
      </c>
      <c r="F466" s="15" t="s">
        <v>35</v>
      </c>
      <c r="G466" s="15" t="s">
        <v>74</v>
      </c>
      <c r="H466" s="15" t="s">
        <v>91</v>
      </c>
      <c r="I466" s="15" t="s">
        <v>92</v>
      </c>
      <c r="J466" s="15" t="s">
        <v>93</v>
      </c>
      <c r="K466" s="15" t="s">
        <v>96</v>
      </c>
      <c r="L466" s="15" t="s">
        <v>97</v>
      </c>
      <c r="M466" s="15" t="s">
        <v>99</v>
      </c>
      <c r="N466" s="15" t="s">
        <v>100</v>
      </c>
      <c r="O466" s="15" t="s">
        <v>156</v>
      </c>
      <c r="P466" s="15" t="s">
        <v>3387</v>
      </c>
      <c r="Q466" s="15" t="s">
        <v>3388</v>
      </c>
      <c r="R466" s="16">
        <v>44329</v>
      </c>
      <c r="S466" s="17" t="s">
        <v>70</v>
      </c>
      <c r="T466" s="20">
        <f>HYPERLINK("https://vnm.spiral.com.vn//uploaded/20210513/9BD5A518-D363-45AC-BC0B-E607D21594CE.jpg","07:32:07")</f>
      </c>
      <c r="U466" s="20">
        <f>HYPERLINK("https://vnm.spiral.com.vn//uploaded/20210513/341F2456-8B61-40ED-9B5C-FCA316A49982.jpg","16:33:35")</f>
      </c>
      <c r="V466" s="18">
        <v>0.37601851851851853</v>
      </c>
      <c r="W466" s="15" t="s">
        <v>3389</v>
      </c>
      <c r="X466" s="15" t="s">
        <v>3390</v>
      </c>
      <c r="Y466" s="15" t="s">
        <v>35</v>
      </c>
      <c r="Z466" s="19">
        <v>0</v>
      </c>
      <c r="AA466" s="15">
        <v>0</v>
      </c>
      <c r="AB466" s="15" t="s">
        <v>35</v>
      </c>
    </row>
    <row r="467">
      <c r="A467" s="15">
        <v>463</v>
      </c>
      <c r="B467" s="15" t="s">
        <v>343</v>
      </c>
      <c r="C467" s="15" t="s">
        <v>344</v>
      </c>
      <c r="D467" s="15" t="s">
        <v>35</v>
      </c>
      <c r="E467" s="15" t="s">
        <v>35</v>
      </c>
      <c r="F467" s="15" t="s">
        <v>35</v>
      </c>
      <c r="G467" s="15" t="s">
        <v>36</v>
      </c>
      <c r="H467" s="15" t="s">
        <v>3391</v>
      </c>
      <c r="I467" s="15" t="s">
        <v>3392</v>
      </c>
      <c r="J467" s="15" t="s">
        <v>3393</v>
      </c>
      <c r="K467" s="15" t="s">
        <v>40</v>
      </c>
      <c r="L467" s="15" t="s">
        <v>41</v>
      </c>
      <c r="M467" s="15" t="s">
        <v>409</v>
      </c>
      <c r="N467" s="15" t="s">
        <v>410</v>
      </c>
      <c r="O467" s="15" t="s">
        <v>44</v>
      </c>
      <c r="P467" s="15" t="s">
        <v>3394</v>
      </c>
      <c r="Q467" s="15" t="s">
        <v>3395</v>
      </c>
      <c r="R467" s="16">
        <v>44329</v>
      </c>
      <c r="S467" s="17" t="s">
        <v>3396</v>
      </c>
      <c r="T467" s="20">
        <f>HYPERLINK("https://vnm.spiral.com.vn//uploaded/20210513/BF867268-BABB-4A47-85AD-6AF6F8E3695E.jpg","07:03:33")</f>
      </c>
      <c r="U467" s="20">
        <f>HYPERLINK("https://vnm.spiral.com.vn//uploaded/20210513/D76CF92B-DE53-49DC-B6E0-C637905E8F64.jpg","16:33:31")</f>
      </c>
      <c r="V467" s="18">
        <v>0.3958101851851852</v>
      </c>
      <c r="W467" s="15" t="s">
        <v>3397</v>
      </c>
      <c r="X467" s="15" t="s">
        <v>3398</v>
      </c>
      <c r="Y467" s="15" t="s">
        <v>35</v>
      </c>
      <c r="Z467" s="19">
        <v>0</v>
      </c>
      <c r="AA467" s="15">
        <v>0</v>
      </c>
      <c r="AB467" s="15" t="s">
        <v>35</v>
      </c>
    </row>
    <row r="468">
      <c r="A468" s="15">
        <v>464</v>
      </c>
      <c r="B468" s="15" t="s">
        <v>87</v>
      </c>
      <c r="C468" s="15" t="s">
        <v>88</v>
      </c>
      <c r="D468" s="15" t="s">
        <v>35</v>
      </c>
      <c r="E468" s="15" t="s">
        <v>35</v>
      </c>
      <c r="F468" s="15" t="s">
        <v>2667</v>
      </c>
      <c r="G468" s="15" t="s">
        <v>36</v>
      </c>
      <c r="H468" s="15" t="s">
        <v>3399</v>
      </c>
      <c r="I468" s="15" t="s">
        <v>3400</v>
      </c>
      <c r="J468" s="15" t="s">
        <v>3401</v>
      </c>
      <c r="K468" s="15" t="s">
        <v>40</v>
      </c>
      <c r="L468" s="15" t="s">
        <v>41</v>
      </c>
      <c r="M468" s="15" t="s">
        <v>1195</v>
      </c>
      <c r="N468" s="15" t="s">
        <v>1196</v>
      </c>
      <c r="O468" s="15" t="s">
        <v>44</v>
      </c>
      <c r="P468" s="15" t="s">
        <v>3402</v>
      </c>
      <c r="Q468" s="15" t="s">
        <v>3403</v>
      </c>
      <c r="R468" s="16">
        <v>44329</v>
      </c>
      <c r="S468" s="17" t="s">
        <v>2003</v>
      </c>
      <c r="T468" s="20">
        <f>HYPERLINK("https://vnm.spiral.com.vn//uploaded/20210513/c1ba1c75-0a25-4132-a66b-cc5b8b07676d.JPEG","16:33:25")</f>
      </c>
      <c r="U468" s="18"/>
      <c r="V468" s="18" t="s">
        <v>35</v>
      </c>
      <c r="W468" s="15" t="s">
        <v>3404</v>
      </c>
      <c r="X468" s="15" t="s">
        <v>35</v>
      </c>
      <c r="Y468" s="15" t="s">
        <v>35</v>
      </c>
      <c r="Z468" s="19">
        <v>0</v>
      </c>
      <c r="AA468" s="15">
        <v>0</v>
      </c>
      <c r="AB468" s="15" t="s">
        <v>35</v>
      </c>
    </row>
    <row r="469">
      <c r="A469" s="15">
        <v>465</v>
      </c>
      <c r="B469" s="15" t="s">
        <v>246</v>
      </c>
      <c r="C469" s="15" t="s">
        <v>782</v>
      </c>
      <c r="D469" s="15" t="s">
        <v>89</v>
      </c>
      <c r="E469" s="15" t="s">
        <v>90</v>
      </c>
      <c r="F469" s="15" t="s">
        <v>35</v>
      </c>
      <c r="G469" s="15" t="s">
        <v>74</v>
      </c>
      <c r="H469" s="15" t="s">
        <v>3405</v>
      </c>
      <c r="I469" s="15" t="s">
        <v>3406</v>
      </c>
      <c r="J469" s="15" t="s">
        <v>3407</v>
      </c>
      <c r="K469" s="15" t="s">
        <v>263</v>
      </c>
      <c r="L469" s="15" t="s">
        <v>264</v>
      </c>
      <c r="M469" s="15" t="s">
        <v>280</v>
      </c>
      <c r="N469" s="15" t="s">
        <v>281</v>
      </c>
      <c r="O469" s="15" t="s">
        <v>156</v>
      </c>
      <c r="P469" s="15" t="s">
        <v>3408</v>
      </c>
      <c r="Q469" s="15" t="s">
        <v>283</v>
      </c>
      <c r="R469" s="16">
        <v>44329</v>
      </c>
      <c r="S469" s="17" t="s">
        <v>172</v>
      </c>
      <c r="T469" s="20">
        <f>HYPERLINK("https://vnm.spiral.com.vn//uploaded/20210513/661dbbfe-0abb-45f5-a93e-b76edb9676e5.JPEG","16:33:23")</f>
      </c>
      <c r="U469" s="18"/>
      <c r="V469" s="18" t="s">
        <v>35</v>
      </c>
      <c r="W469" s="15" t="s">
        <v>3409</v>
      </c>
      <c r="X469" s="15" t="s">
        <v>35</v>
      </c>
      <c r="Y469" s="15" t="s">
        <v>35</v>
      </c>
      <c r="Z469" s="19">
        <v>0</v>
      </c>
      <c r="AA469" s="15">
        <v>0</v>
      </c>
      <c r="AB469" s="15" t="s">
        <v>35</v>
      </c>
    </row>
    <row r="470">
      <c r="A470" s="15">
        <v>466</v>
      </c>
      <c r="B470" s="15" t="s">
        <v>246</v>
      </c>
      <c r="C470" s="15" t="s">
        <v>864</v>
      </c>
      <c r="D470" s="15" t="s">
        <v>35</v>
      </c>
      <c r="E470" s="15" t="s">
        <v>35</v>
      </c>
      <c r="F470" s="15" t="s">
        <v>3410</v>
      </c>
      <c r="G470" s="15" t="s">
        <v>36</v>
      </c>
      <c r="H470" s="15" t="s">
        <v>3411</v>
      </c>
      <c r="I470" s="15" t="s">
        <v>988</v>
      </c>
      <c r="J470" s="15" t="s">
        <v>3412</v>
      </c>
      <c r="K470" s="15" t="s">
        <v>40</v>
      </c>
      <c r="L470" s="15" t="s">
        <v>41</v>
      </c>
      <c r="M470" s="15" t="s">
        <v>252</v>
      </c>
      <c r="N470" s="15" t="s">
        <v>253</v>
      </c>
      <c r="O470" s="15" t="s">
        <v>44</v>
      </c>
      <c r="P470" s="15" t="s">
        <v>3413</v>
      </c>
      <c r="Q470" s="15" t="s">
        <v>3414</v>
      </c>
      <c r="R470" s="16">
        <v>44329</v>
      </c>
      <c r="S470" s="17" t="s">
        <v>1112</v>
      </c>
      <c r="T470" s="20">
        <f>HYPERLINK("https://vnm.spiral.com.vn//uploaded/20210513/93235D50-12B3-4441-935C-69ED0D95C0F8.jpg","08:00:23")</f>
      </c>
      <c r="U470" s="20">
        <f>HYPERLINK("https://vnm.spiral.com.vn//uploaded/20210513/952D6AFB-6F83-4EAB-94D5-F3C7D09ABEFB.jpg","16:33:00")</f>
      </c>
      <c r="V470" s="18">
        <v>0.3559837962962963</v>
      </c>
      <c r="W470" s="15" t="s">
        <v>3415</v>
      </c>
      <c r="X470" s="15" t="s">
        <v>3416</v>
      </c>
      <c r="Y470" s="15" t="s">
        <v>35</v>
      </c>
      <c r="Z470" s="19">
        <v>0</v>
      </c>
      <c r="AA470" s="15">
        <v>0</v>
      </c>
      <c r="AB470" s="15" t="s">
        <v>35</v>
      </c>
    </row>
    <row r="471">
      <c r="A471" s="15">
        <v>467</v>
      </c>
      <c r="B471" s="15" t="s">
        <v>87</v>
      </c>
      <c r="C471" s="15" t="s">
        <v>88</v>
      </c>
      <c r="D471" s="15" t="s">
        <v>89</v>
      </c>
      <c r="E471" s="15" t="s">
        <v>90</v>
      </c>
      <c r="F471" s="15" t="s">
        <v>35</v>
      </c>
      <c r="G471" s="15" t="s">
        <v>74</v>
      </c>
      <c r="H471" s="15" t="s">
        <v>2732</v>
      </c>
      <c r="I471" s="15" t="s">
        <v>2733</v>
      </c>
      <c r="J471" s="15" t="s">
        <v>2734</v>
      </c>
      <c r="K471" s="15" t="s">
        <v>94</v>
      </c>
      <c r="L471" s="15" t="s">
        <v>95</v>
      </c>
      <c r="M471" s="15" t="s">
        <v>96</v>
      </c>
      <c r="N471" s="15" t="s">
        <v>97</v>
      </c>
      <c r="O471" s="15" t="s">
        <v>156</v>
      </c>
      <c r="P471" s="15" t="s">
        <v>3417</v>
      </c>
      <c r="Q471" s="15" t="s">
        <v>3418</v>
      </c>
      <c r="R471" s="16">
        <v>44329</v>
      </c>
      <c r="S471" s="17" t="s">
        <v>59</v>
      </c>
      <c r="T471" s="20">
        <f>HYPERLINK("https://vnm.spiral.com.vn//uploaded/20210513/965e3806-1db1-4b09-bdfb-ca6cd50790c9.JPEG","12:53:05")</f>
      </c>
      <c r="U471" s="20">
        <f>HYPERLINK("https://vnm.spiral.com.vn//uploaded/20210513/643d6736-57c0-4ddb-909a-3514a5d9c7f6.JPEG","16:32:56")</f>
      </c>
      <c r="V471" s="18">
        <v>0.1526736111111111</v>
      </c>
      <c r="W471" s="15" t="s">
        <v>3419</v>
      </c>
      <c r="X471" s="15" t="s">
        <v>3420</v>
      </c>
      <c r="Y471" s="15" t="s">
        <v>35</v>
      </c>
      <c r="Z471" s="19">
        <v>0</v>
      </c>
      <c r="AA471" s="15">
        <v>0</v>
      </c>
      <c r="AB471" s="15" t="s">
        <v>35</v>
      </c>
    </row>
    <row r="472">
      <c r="A472" s="15">
        <v>468</v>
      </c>
      <c r="B472" s="15" t="s">
        <v>87</v>
      </c>
      <c r="C472" s="15" t="s">
        <v>88</v>
      </c>
      <c r="D472" s="15" t="s">
        <v>35</v>
      </c>
      <c r="E472" s="15" t="s">
        <v>35</v>
      </c>
      <c r="F472" s="15" t="s">
        <v>2077</v>
      </c>
      <c r="G472" s="15" t="s">
        <v>36</v>
      </c>
      <c r="H472" s="15" t="s">
        <v>3421</v>
      </c>
      <c r="I472" s="15" t="s">
        <v>3422</v>
      </c>
      <c r="J472" s="15" t="s">
        <v>3423</v>
      </c>
      <c r="K472" s="15" t="s">
        <v>40</v>
      </c>
      <c r="L472" s="15" t="s">
        <v>41</v>
      </c>
      <c r="M472" s="15" t="s">
        <v>289</v>
      </c>
      <c r="N472" s="15" t="s">
        <v>290</v>
      </c>
      <c r="O472" s="15" t="s">
        <v>44</v>
      </c>
      <c r="P472" s="15" t="s">
        <v>3424</v>
      </c>
      <c r="Q472" s="15" t="s">
        <v>3425</v>
      </c>
      <c r="R472" s="16">
        <v>44329</v>
      </c>
      <c r="S472" s="17" t="s">
        <v>2003</v>
      </c>
      <c r="T472" s="20">
        <f>HYPERLINK("https://vnm.spiral.com.vn//uploaded/20210513/45132c0b-b098-4088-b570-4da89ba65fec.JPEG","16:32:54")</f>
      </c>
      <c r="U472" s="18"/>
      <c r="V472" s="18" t="s">
        <v>35</v>
      </c>
      <c r="W472" s="15" t="s">
        <v>3426</v>
      </c>
      <c r="X472" s="15" t="s">
        <v>35</v>
      </c>
      <c r="Y472" s="15" t="s">
        <v>35</v>
      </c>
      <c r="Z472" s="19">
        <v>0</v>
      </c>
      <c r="AA472" s="15">
        <v>0</v>
      </c>
      <c r="AB472" s="15" t="s">
        <v>35</v>
      </c>
    </row>
    <row r="473">
      <c r="A473" s="15">
        <v>469</v>
      </c>
      <c r="B473" s="15" t="s">
        <v>61</v>
      </c>
      <c r="C473" s="15" t="s">
        <v>320</v>
      </c>
      <c r="D473" s="15" t="s">
        <v>89</v>
      </c>
      <c r="E473" s="15" t="s">
        <v>90</v>
      </c>
      <c r="F473" s="15" t="s">
        <v>35</v>
      </c>
      <c r="G473" s="15" t="s">
        <v>74</v>
      </c>
      <c r="H473" s="15" t="s">
        <v>3427</v>
      </c>
      <c r="I473" s="15" t="s">
        <v>3428</v>
      </c>
      <c r="J473" s="15" t="s">
        <v>3429</v>
      </c>
      <c r="K473" s="15" t="s">
        <v>154</v>
      </c>
      <c r="L473" s="15" t="s">
        <v>155</v>
      </c>
      <c r="M473" s="15" t="s">
        <v>2458</v>
      </c>
      <c r="N473" s="15" t="s">
        <v>2459</v>
      </c>
      <c r="O473" s="15" t="s">
        <v>156</v>
      </c>
      <c r="P473" s="15" t="s">
        <v>3430</v>
      </c>
      <c r="Q473" s="15" t="s">
        <v>3431</v>
      </c>
      <c r="R473" s="16">
        <v>44329</v>
      </c>
      <c r="S473" s="17" t="s">
        <v>256</v>
      </c>
      <c r="T473" s="20">
        <f>HYPERLINK("https://vnm.spiral.com.vn//uploaded/20210513/8261BD36-2936-4CF8-BCA0-59DB488ACFB3.jpg","07:29:46")</f>
      </c>
      <c r="U473" s="20">
        <f>HYPERLINK("https://vnm.spiral.com.vn//uploaded/20210513/5917D1B7-7461-4BAE-AA1E-CEDEA2973EBC.jpg","16:32:54")</f>
      </c>
      <c r="V473" s="18">
        <v>0.3771759259259259</v>
      </c>
      <c r="W473" s="15" t="s">
        <v>3432</v>
      </c>
      <c r="X473" s="15" t="s">
        <v>3433</v>
      </c>
      <c r="Y473" s="15" t="s">
        <v>35</v>
      </c>
      <c r="Z473" s="19">
        <v>0</v>
      </c>
      <c r="AA473" s="15">
        <v>0</v>
      </c>
      <c r="AB473" s="15" t="s">
        <v>35</v>
      </c>
    </row>
    <row r="474">
      <c r="A474" s="15">
        <v>470</v>
      </c>
      <c r="B474" s="15" t="s">
        <v>87</v>
      </c>
      <c r="C474" s="15" t="s">
        <v>88</v>
      </c>
      <c r="D474" s="15" t="s">
        <v>35</v>
      </c>
      <c r="E474" s="15" t="s">
        <v>35</v>
      </c>
      <c r="F474" s="15" t="s">
        <v>1091</v>
      </c>
      <c r="G474" s="15" t="s">
        <v>36</v>
      </c>
      <c r="H474" s="15" t="s">
        <v>3434</v>
      </c>
      <c r="I474" s="15" t="s">
        <v>3435</v>
      </c>
      <c r="J474" s="15" t="s">
        <v>3436</v>
      </c>
      <c r="K474" s="15" t="s">
        <v>40</v>
      </c>
      <c r="L474" s="15" t="s">
        <v>41</v>
      </c>
      <c r="M474" s="15" t="s">
        <v>810</v>
      </c>
      <c r="N474" s="15" t="s">
        <v>811</v>
      </c>
      <c r="O474" s="15" t="s">
        <v>44</v>
      </c>
      <c r="P474" s="15" t="s">
        <v>3437</v>
      </c>
      <c r="Q474" s="15" t="s">
        <v>3438</v>
      </c>
      <c r="R474" s="16">
        <v>44329</v>
      </c>
      <c r="S474" s="17" t="s">
        <v>256</v>
      </c>
      <c r="T474" s="20">
        <f>HYPERLINK("https://vnm.spiral.com.vn//uploaded/20210513/864639e3-8f20-4148-a520-2e9b5c3de81b.JPEG","07:33:45")</f>
      </c>
      <c r="U474" s="20">
        <f>HYPERLINK("https://vnm.spiral.com.vn//uploaded/20210513/92b984a0-3aed-42e6-bbc7-f273c66a41ee.JPEG","16:32:51")</f>
      </c>
      <c r="V474" s="18">
        <v>0.374375</v>
      </c>
      <c r="W474" s="15" t="s">
        <v>3439</v>
      </c>
      <c r="X474" s="15" t="s">
        <v>3440</v>
      </c>
      <c r="Y474" s="15" t="s">
        <v>35</v>
      </c>
      <c r="Z474" s="19">
        <v>0</v>
      </c>
      <c r="AA474" s="15">
        <v>0</v>
      </c>
      <c r="AB474" s="15" t="s">
        <v>35</v>
      </c>
    </row>
    <row r="475">
      <c r="A475" s="15">
        <v>471</v>
      </c>
      <c r="B475" s="15" t="s">
        <v>343</v>
      </c>
      <c r="C475" s="15" t="s">
        <v>344</v>
      </c>
      <c r="D475" s="15" t="s">
        <v>536</v>
      </c>
      <c r="E475" s="15" t="s">
        <v>116</v>
      </c>
      <c r="F475" s="15" t="s">
        <v>35</v>
      </c>
      <c r="G475" s="15" t="s">
        <v>74</v>
      </c>
      <c r="H475" s="15" t="s">
        <v>3441</v>
      </c>
      <c r="I475" s="15" t="s">
        <v>3442</v>
      </c>
      <c r="J475" s="15" t="s">
        <v>3443</v>
      </c>
      <c r="K475" s="15" t="s">
        <v>997</v>
      </c>
      <c r="L475" s="15" t="s">
        <v>998</v>
      </c>
      <c r="M475" s="15" t="s">
        <v>1325</v>
      </c>
      <c r="N475" s="15" t="s">
        <v>1326</v>
      </c>
      <c r="O475" s="15" t="s">
        <v>82</v>
      </c>
      <c r="P475" s="15" t="s">
        <v>2283</v>
      </c>
      <c r="Q475" s="15" t="s">
        <v>2284</v>
      </c>
      <c r="R475" s="16">
        <v>44329</v>
      </c>
      <c r="S475" s="17" t="s">
        <v>70</v>
      </c>
      <c r="T475" s="20">
        <f>HYPERLINK("https://vnm.spiral.com.vn//uploaded/20210513/F1221122-43B2-4B4A-BD60-0C450B11FCA1.jpg","07:54:31")</f>
      </c>
      <c r="U475" s="20">
        <f>HYPERLINK("https://vnm.spiral.com.vn//uploaded/20210513/9F9CA7C1-8DB4-4481-AA0F-AEA681A6E26C.jpg","16:32:31")</f>
      </c>
      <c r="V475" s="18">
        <v>0.3597222222222222</v>
      </c>
      <c r="W475" s="15" t="s">
        <v>3444</v>
      </c>
      <c r="X475" s="15" t="s">
        <v>3445</v>
      </c>
      <c r="Y475" s="15" t="s">
        <v>35</v>
      </c>
      <c r="Z475" s="19">
        <v>0</v>
      </c>
      <c r="AA475" s="15">
        <v>0</v>
      </c>
      <c r="AB475" s="15" t="s">
        <v>35</v>
      </c>
    </row>
    <row r="476">
      <c r="A476" s="15">
        <v>472</v>
      </c>
      <c r="B476" s="15" t="s">
        <v>103</v>
      </c>
      <c r="C476" s="15" t="s">
        <v>174</v>
      </c>
      <c r="D476" s="15" t="s">
        <v>35</v>
      </c>
      <c r="E476" s="15" t="s">
        <v>35</v>
      </c>
      <c r="F476" s="15" t="s">
        <v>35</v>
      </c>
      <c r="G476" s="15" t="s">
        <v>36</v>
      </c>
      <c r="H476" s="15" t="s">
        <v>3446</v>
      </c>
      <c r="I476" s="15" t="s">
        <v>3447</v>
      </c>
      <c r="J476" s="15" t="s">
        <v>3448</v>
      </c>
      <c r="K476" s="15" t="s">
        <v>40</v>
      </c>
      <c r="L476" s="15" t="s">
        <v>41</v>
      </c>
      <c r="M476" s="15" t="s">
        <v>108</v>
      </c>
      <c r="N476" s="15" t="s">
        <v>109</v>
      </c>
      <c r="O476" s="15" t="s">
        <v>44</v>
      </c>
      <c r="P476" s="15" t="s">
        <v>3449</v>
      </c>
      <c r="Q476" s="15" t="s">
        <v>3017</v>
      </c>
      <c r="R476" s="16">
        <v>44329</v>
      </c>
      <c r="S476" s="17" t="s">
        <v>256</v>
      </c>
      <c r="T476" s="20">
        <f>HYPERLINK("https://vnm.spiral.com.vn//uploaded/20210513/a2fa5198-7625-456b-839e-2e4d785cbab6.JPEG","07:30:31")</f>
      </c>
      <c r="U476" s="20">
        <f>HYPERLINK("https://vnm.spiral.com.vn//uploaded/20210513/f2990c95-5241-4d1a-93c7-d278cd15b5ae.JPEG","16:32:30")</f>
      </c>
      <c r="V476" s="18">
        <v>0.3763773148148148</v>
      </c>
      <c r="W476" s="15" t="s">
        <v>3450</v>
      </c>
      <c r="X476" s="15" t="s">
        <v>3451</v>
      </c>
      <c r="Y476" s="15" t="s">
        <v>35</v>
      </c>
      <c r="Z476" s="19">
        <v>0</v>
      </c>
      <c r="AA476" s="15">
        <v>0</v>
      </c>
      <c r="AB476" s="15" t="s">
        <v>35</v>
      </c>
    </row>
    <row r="477">
      <c r="A477" s="15">
        <v>473</v>
      </c>
      <c r="B477" s="15" t="s">
        <v>61</v>
      </c>
      <c r="C477" s="15" t="s">
        <v>303</v>
      </c>
      <c r="D477" s="15" t="s">
        <v>35</v>
      </c>
      <c r="E477" s="15" t="s">
        <v>35</v>
      </c>
      <c r="F477" s="15" t="s">
        <v>35</v>
      </c>
      <c r="G477" s="15" t="s">
        <v>36</v>
      </c>
      <c r="H477" s="15" t="s">
        <v>3452</v>
      </c>
      <c r="I477" s="15" t="s">
        <v>3453</v>
      </c>
      <c r="J477" s="15" t="s">
        <v>3454</v>
      </c>
      <c r="K477" s="15" t="s">
        <v>40</v>
      </c>
      <c r="L477" s="15" t="s">
        <v>41</v>
      </c>
      <c r="M477" s="15" t="s">
        <v>205</v>
      </c>
      <c r="N477" s="15" t="s">
        <v>206</v>
      </c>
      <c r="O477" s="15" t="s">
        <v>44</v>
      </c>
      <c r="P477" s="15" t="s">
        <v>3455</v>
      </c>
      <c r="Q477" s="15" t="s">
        <v>3456</v>
      </c>
      <c r="R477" s="16">
        <v>44329</v>
      </c>
      <c r="S477" s="17" t="s">
        <v>1112</v>
      </c>
      <c r="T477" s="20">
        <f>HYPERLINK("https://vnm.spiral.com.vn//uploaded/20210513/d2dfdffc-c544-4a61-be9c-09b58a1ce8ac.JPEG","07:48:47")</f>
      </c>
      <c r="U477" s="20">
        <f>HYPERLINK("https://vnm.spiral.com.vn//uploaded/20210513/e30288e5-40e9-4b81-8a04-11dcd6efcdd9.JPEG","16:32:29")</f>
      </c>
      <c r="V477" s="18">
        <v>0.36368055555555556</v>
      </c>
      <c r="W477" s="15" t="s">
        <v>3457</v>
      </c>
      <c r="X477" s="15" t="s">
        <v>3458</v>
      </c>
      <c r="Y477" s="15" t="s">
        <v>35</v>
      </c>
      <c r="Z477" s="19">
        <v>0</v>
      </c>
      <c r="AA477" s="15">
        <v>0</v>
      </c>
      <c r="AB477" s="15" t="s">
        <v>35</v>
      </c>
    </row>
    <row r="478">
      <c r="A478" s="15">
        <v>474</v>
      </c>
      <c r="B478" s="15" t="s">
        <v>49</v>
      </c>
      <c r="C478" s="15" t="s">
        <v>369</v>
      </c>
      <c r="D478" s="15" t="s">
        <v>35</v>
      </c>
      <c r="E478" s="15" t="s">
        <v>35</v>
      </c>
      <c r="F478" s="15" t="s">
        <v>370</v>
      </c>
      <c r="G478" s="15" t="s">
        <v>36</v>
      </c>
      <c r="H478" s="15" t="s">
        <v>3459</v>
      </c>
      <c r="I478" s="15" t="s">
        <v>3460</v>
      </c>
      <c r="J478" s="15" t="s">
        <v>3461</v>
      </c>
      <c r="K478" s="15" t="s">
        <v>40</v>
      </c>
      <c r="L478" s="15" t="s">
        <v>41</v>
      </c>
      <c r="M478" s="15" t="s">
        <v>55</v>
      </c>
      <c r="N478" s="15" t="s">
        <v>56</v>
      </c>
      <c r="O478" s="15" t="s">
        <v>44</v>
      </c>
      <c r="P478" s="15" t="s">
        <v>3462</v>
      </c>
      <c r="Q478" s="15" t="s">
        <v>3463</v>
      </c>
      <c r="R478" s="16">
        <v>44329</v>
      </c>
      <c r="S478" s="17" t="s">
        <v>1112</v>
      </c>
      <c r="T478" s="20">
        <f>HYPERLINK("https://vnm.spiral.com.vn//uploaded/20210513/b65e021a-f21b-4cfc-a105-9d5aa3c99d6a.JPEG","08:06:17")</f>
      </c>
      <c r="U478" s="20">
        <f>HYPERLINK("https://vnm.spiral.com.vn//uploaded/20210513/fa7eb53b-12e9-4ed3-8731-8831528740cf.JPEG","16:32:20")</f>
      </c>
      <c r="V478" s="18">
        <v>0.3514236111111111</v>
      </c>
      <c r="W478" s="15" t="s">
        <v>3464</v>
      </c>
      <c r="X478" s="15" t="s">
        <v>3465</v>
      </c>
      <c r="Y478" s="15" t="s">
        <v>35</v>
      </c>
      <c r="Z478" s="19">
        <v>0</v>
      </c>
      <c r="AA478" s="15">
        <v>0</v>
      </c>
      <c r="AB478" s="15" t="s">
        <v>35</v>
      </c>
    </row>
    <row r="479">
      <c r="A479" s="15">
        <v>475</v>
      </c>
      <c r="B479" s="15" t="s">
        <v>61</v>
      </c>
      <c r="C479" s="15" t="s">
        <v>201</v>
      </c>
      <c r="D479" s="15" t="s">
        <v>35</v>
      </c>
      <c r="E479" s="15" t="s">
        <v>35</v>
      </c>
      <c r="F479" s="15" t="s">
        <v>35</v>
      </c>
      <c r="G479" s="15" t="s">
        <v>36</v>
      </c>
      <c r="H479" s="15" t="s">
        <v>3466</v>
      </c>
      <c r="I479" s="15" t="s">
        <v>3467</v>
      </c>
      <c r="J479" s="15" t="s">
        <v>3468</v>
      </c>
      <c r="K479" s="15" t="s">
        <v>40</v>
      </c>
      <c r="L479" s="15" t="s">
        <v>41</v>
      </c>
      <c r="M479" s="15" t="s">
        <v>205</v>
      </c>
      <c r="N479" s="15" t="s">
        <v>206</v>
      </c>
      <c r="O479" s="15" t="s">
        <v>44</v>
      </c>
      <c r="P479" s="15" t="s">
        <v>3469</v>
      </c>
      <c r="Q479" s="15" t="s">
        <v>3470</v>
      </c>
      <c r="R479" s="16">
        <v>44329</v>
      </c>
      <c r="S479" s="17" t="s">
        <v>70</v>
      </c>
      <c r="T479" s="20">
        <f>HYPERLINK("https://vnm.spiral.com.vn//uploaded/20210513/82C2DBA3-15A9-4A3F-8CF7-BAD48A53B6DF.jpg","08:19:05")</f>
      </c>
      <c r="U479" s="20">
        <f>HYPERLINK("https://vnm.spiral.com.vn//uploaded/20210513/42740B2A-9881-4046-9E8C-41B03249649B.jpg","16:32:13")</f>
      </c>
      <c r="V479" s="18">
        <v>0.3424537037037037</v>
      </c>
      <c r="W479" s="15" t="s">
        <v>3471</v>
      </c>
      <c r="X479" s="15" t="s">
        <v>3472</v>
      </c>
      <c r="Y479" s="15" t="s">
        <v>35</v>
      </c>
      <c r="Z479" s="19">
        <v>0</v>
      </c>
      <c r="AA479" s="15">
        <v>0</v>
      </c>
      <c r="AB479" s="15" t="s">
        <v>35</v>
      </c>
    </row>
    <row r="480">
      <c r="A480" s="15">
        <v>476</v>
      </c>
      <c r="B480" s="15" t="s">
        <v>343</v>
      </c>
      <c r="C480" s="15" t="s">
        <v>344</v>
      </c>
      <c r="D480" s="15" t="s">
        <v>35</v>
      </c>
      <c r="E480" s="15" t="s">
        <v>35</v>
      </c>
      <c r="F480" s="15" t="s">
        <v>35</v>
      </c>
      <c r="G480" s="15" t="s">
        <v>74</v>
      </c>
      <c r="H480" s="15" t="s">
        <v>3473</v>
      </c>
      <c r="I480" s="15" t="s">
        <v>3474</v>
      </c>
      <c r="J480" s="15" t="s">
        <v>3475</v>
      </c>
      <c r="K480" s="15" t="s">
        <v>897</v>
      </c>
      <c r="L480" s="15" t="s">
        <v>898</v>
      </c>
      <c r="M480" s="15" t="s">
        <v>3476</v>
      </c>
      <c r="N480" s="15" t="s">
        <v>3477</v>
      </c>
      <c r="O480" s="15" t="s">
        <v>156</v>
      </c>
      <c r="P480" s="15" t="s">
        <v>3478</v>
      </c>
      <c r="Q480" s="15" t="s">
        <v>859</v>
      </c>
      <c r="R480" s="16">
        <v>44329</v>
      </c>
      <c r="S480" s="17" t="s">
        <v>256</v>
      </c>
      <c r="T480" s="20">
        <f>HYPERLINK("https://vnm.spiral.com.vn//uploaded/20210513/7af42d1c-4876-4178-af1d-eb351b544c4e.JPEG","07:18:26")</f>
      </c>
      <c r="U480" s="20">
        <f>HYPERLINK("https://vnm.spiral.com.vn//uploaded/20210513/1d8615de-b286-466d-a66d-76a389e397f8.JPEG","16:32:07")</f>
      </c>
      <c r="V480" s="18">
        <v>0.38450231481481484</v>
      </c>
      <c r="W480" s="15" t="s">
        <v>3479</v>
      </c>
      <c r="X480" s="15" t="s">
        <v>3480</v>
      </c>
      <c r="Y480" s="15" t="s">
        <v>35</v>
      </c>
      <c r="Z480" s="19">
        <v>0</v>
      </c>
      <c r="AA480" s="15">
        <v>0</v>
      </c>
      <c r="AB480" s="15" t="s">
        <v>35</v>
      </c>
    </row>
    <row r="481">
      <c r="A481" s="15">
        <v>477</v>
      </c>
      <c r="B481" s="15" t="s">
        <v>49</v>
      </c>
      <c r="C481" s="15" t="s">
        <v>468</v>
      </c>
      <c r="D481" s="15" t="s">
        <v>35</v>
      </c>
      <c r="E481" s="15" t="s">
        <v>35</v>
      </c>
      <c r="F481" s="15" t="s">
        <v>1435</v>
      </c>
      <c r="G481" s="15" t="s">
        <v>36</v>
      </c>
      <c r="H481" s="15" t="s">
        <v>3481</v>
      </c>
      <c r="I481" s="15" t="s">
        <v>492</v>
      </c>
      <c r="J481" s="15" t="s">
        <v>3482</v>
      </c>
      <c r="K481" s="15" t="s">
        <v>40</v>
      </c>
      <c r="L481" s="15" t="s">
        <v>41</v>
      </c>
      <c r="M481" s="15" t="s">
        <v>55</v>
      </c>
      <c r="N481" s="15" t="s">
        <v>56</v>
      </c>
      <c r="O481" s="15" t="s">
        <v>44</v>
      </c>
      <c r="P481" s="15" t="s">
        <v>3483</v>
      </c>
      <c r="Q481" s="15" t="s">
        <v>3484</v>
      </c>
      <c r="R481" s="16">
        <v>44329</v>
      </c>
      <c r="S481" s="17" t="s">
        <v>475</v>
      </c>
      <c r="T481" s="20">
        <f>HYPERLINK("https://vnm.spiral.com.vn//uploaded/20210513/1572396D-9E8B-46D9-B0E4-E917966B8C13.jpg","07:35:25")</f>
      </c>
      <c r="U481" s="20">
        <f>HYPERLINK("https://vnm.spiral.com.vn//uploaded/20210513/AC89E460-9C2D-46A2-BB5E-49C16EC27235.jpg","16:31:59")</f>
      </c>
      <c r="V481" s="18">
        <v>0.3726157407407407</v>
      </c>
      <c r="W481" s="15" t="s">
        <v>3485</v>
      </c>
      <c r="X481" s="15" t="s">
        <v>3486</v>
      </c>
      <c r="Y481" s="15" t="s">
        <v>35</v>
      </c>
      <c r="Z481" s="19">
        <v>0</v>
      </c>
      <c r="AA481" s="15">
        <v>0</v>
      </c>
      <c r="AB481" s="15" t="s">
        <v>35</v>
      </c>
    </row>
    <row r="482">
      <c r="A482" s="15">
        <v>478</v>
      </c>
      <c r="B482" s="15" t="s">
        <v>61</v>
      </c>
      <c r="C482" s="15" t="s">
        <v>62</v>
      </c>
      <c r="D482" s="15" t="s">
        <v>89</v>
      </c>
      <c r="E482" s="15" t="s">
        <v>90</v>
      </c>
      <c r="F482" s="15" t="s">
        <v>35</v>
      </c>
      <c r="G482" s="15" t="s">
        <v>74</v>
      </c>
      <c r="H482" s="15" t="s">
        <v>3487</v>
      </c>
      <c r="I482" s="15" t="s">
        <v>3488</v>
      </c>
      <c r="J482" s="15" t="s">
        <v>3489</v>
      </c>
      <c r="K482" s="15" t="s">
        <v>1586</v>
      </c>
      <c r="L482" s="15" t="s">
        <v>1587</v>
      </c>
      <c r="M482" s="15" t="s">
        <v>1588</v>
      </c>
      <c r="N482" s="15" t="s">
        <v>1589</v>
      </c>
      <c r="O482" s="15" t="s">
        <v>156</v>
      </c>
      <c r="P482" s="15" t="s">
        <v>3490</v>
      </c>
      <c r="Q482" s="15" t="s">
        <v>3491</v>
      </c>
      <c r="R482" s="16">
        <v>44329</v>
      </c>
      <c r="S482" s="17" t="s">
        <v>256</v>
      </c>
      <c r="T482" s="20">
        <f>HYPERLINK("https://vnm.spiral.com.vn//uploaded/20210513/f5459e15-d270-428a-bb3b-436773058033.JPEG","07:26:18")</f>
      </c>
      <c r="U482" s="20">
        <f>HYPERLINK("https://vnm.spiral.com.vn//uploaded/20210513/3c8fbed3-d6fe-4b55-b120-170d033e991a.JPEG","16:31:57")</f>
      </c>
      <c r="V482" s="18">
        <v>0.3789236111111111</v>
      </c>
      <c r="W482" s="15" t="s">
        <v>3492</v>
      </c>
      <c r="X482" s="15" t="s">
        <v>3493</v>
      </c>
      <c r="Y482" s="15" t="s">
        <v>35</v>
      </c>
      <c r="Z482" s="19">
        <v>0</v>
      </c>
      <c r="AA482" s="15">
        <v>0</v>
      </c>
      <c r="AB482" s="15" t="s">
        <v>35</v>
      </c>
    </row>
    <row r="483">
      <c r="A483" s="15">
        <v>479</v>
      </c>
      <c r="B483" s="15" t="s">
        <v>103</v>
      </c>
      <c r="C483" s="15" t="s">
        <v>104</v>
      </c>
      <c r="D483" s="15" t="s">
        <v>379</v>
      </c>
      <c r="E483" s="15" t="s">
        <v>90</v>
      </c>
      <c r="F483" s="15" t="s">
        <v>35</v>
      </c>
      <c r="G483" s="15" t="s">
        <v>74</v>
      </c>
      <c r="H483" s="15" t="s">
        <v>3494</v>
      </c>
      <c r="I483" s="15" t="s">
        <v>3495</v>
      </c>
      <c r="J483" s="15" t="s">
        <v>3496</v>
      </c>
      <c r="K483" s="15" t="s">
        <v>460</v>
      </c>
      <c r="L483" s="15" t="s">
        <v>461</v>
      </c>
      <c r="M483" s="15" t="s">
        <v>3497</v>
      </c>
      <c r="N483" s="15" t="s">
        <v>3498</v>
      </c>
      <c r="O483" s="15" t="s">
        <v>156</v>
      </c>
      <c r="P483" s="15" t="s">
        <v>3499</v>
      </c>
      <c r="Q483" s="15" t="s">
        <v>3500</v>
      </c>
      <c r="R483" s="16">
        <v>44329</v>
      </c>
      <c r="S483" s="17" t="s">
        <v>256</v>
      </c>
      <c r="T483" s="20">
        <f>HYPERLINK("https://vnm.spiral.com.vn//uploaded/20210513/4d486f24-0756-4c03-8271-72676029d27b.JPEG","07:19:42")</f>
      </c>
      <c r="U483" s="20">
        <f>HYPERLINK("https://vnm.spiral.com.vn//uploaded/20210513/7084dd8c-bdf8-4482-bbcf-9cf2de5bf6af.JPEG","16:31:53")</f>
      </c>
      <c r="V483" s="18">
        <v>0.3834606481481482</v>
      </c>
      <c r="W483" s="15" t="s">
        <v>3501</v>
      </c>
      <c r="X483" s="15" t="s">
        <v>3502</v>
      </c>
      <c r="Y483" s="15" t="s">
        <v>35</v>
      </c>
      <c r="Z483" s="19">
        <v>0</v>
      </c>
      <c r="AA483" s="15">
        <v>0</v>
      </c>
      <c r="AB483" s="15" t="s">
        <v>35</v>
      </c>
    </row>
    <row r="484">
      <c r="A484" s="15">
        <v>480</v>
      </c>
      <c r="B484" s="15" t="s">
        <v>61</v>
      </c>
      <c r="C484" s="15" t="s">
        <v>1730</v>
      </c>
      <c r="D484" s="15" t="s">
        <v>35</v>
      </c>
      <c r="E484" s="15" t="s">
        <v>35</v>
      </c>
      <c r="F484" s="15" t="s">
        <v>35</v>
      </c>
      <c r="G484" s="15" t="s">
        <v>36</v>
      </c>
      <c r="H484" s="15" t="s">
        <v>3503</v>
      </c>
      <c r="I484" s="15" t="s">
        <v>3504</v>
      </c>
      <c r="J484" s="15" t="s">
        <v>3505</v>
      </c>
      <c r="K484" s="15" t="s">
        <v>40</v>
      </c>
      <c r="L484" s="15" t="s">
        <v>41</v>
      </c>
      <c r="M484" s="15" t="s">
        <v>205</v>
      </c>
      <c r="N484" s="15" t="s">
        <v>206</v>
      </c>
      <c r="O484" s="15" t="s">
        <v>44</v>
      </c>
      <c r="P484" s="15" t="s">
        <v>3506</v>
      </c>
      <c r="Q484" s="15" t="s">
        <v>3507</v>
      </c>
      <c r="R484" s="16">
        <v>44329</v>
      </c>
      <c r="S484" s="17" t="s">
        <v>1112</v>
      </c>
      <c r="T484" s="20">
        <f>HYPERLINK("https://vnm.spiral.com.vn//uploaded/20210513/9bbbab04-b131-4024-bc1b-e52ab34733e9.JPEG","08:01:52")</f>
      </c>
      <c r="U484" s="20">
        <f>HYPERLINK("https://vnm.spiral.com.vn//uploaded/20210513/ad1af429-0500-41f4-a594-61119db1fd72.JPEG","16:31:37")</f>
      </c>
      <c r="V484" s="18">
        <v>0.35399305555555555</v>
      </c>
      <c r="W484" s="15" t="s">
        <v>3508</v>
      </c>
      <c r="X484" s="15" t="s">
        <v>3509</v>
      </c>
      <c r="Y484" s="15" t="s">
        <v>35</v>
      </c>
      <c r="Z484" s="19">
        <v>0</v>
      </c>
      <c r="AA484" s="15">
        <v>0</v>
      </c>
      <c r="AB484" s="15" t="s">
        <v>35</v>
      </c>
    </row>
    <row r="485">
      <c r="A485" s="15">
        <v>481</v>
      </c>
      <c r="B485" s="15" t="s">
        <v>87</v>
      </c>
      <c r="C485" s="15" t="s">
        <v>88</v>
      </c>
      <c r="D485" s="15" t="s">
        <v>379</v>
      </c>
      <c r="E485" s="15" t="s">
        <v>35</v>
      </c>
      <c r="F485" s="15" t="s">
        <v>35</v>
      </c>
      <c r="G485" s="15" t="s">
        <v>35</v>
      </c>
      <c r="H485" s="15" t="s">
        <v>2399</v>
      </c>
      <c r="I485" s="15" t="s">
        <v>2400</v>
      </c>
      <c r="J485" s="15" t="s">
        <v>2401</v>
      </c>
      <c r="K485" s="15" t="s">
        <v>748</v>
      </c>
      <c r="L485" s="15" t="s">
        <v>749</v>
      </c>
      <c r="M485" s="15" t="s">
        <v>2257</v>
      </c>
      <c r="N485" s="15" t="s">
        <v>2258</v>
      </c>
      <c r="O485" s="15" t="s">
        <v>156</v>
      </c>
      <c r="P485" s="15" t="s">
        <v>3510</v>
      </c>
      <c r="Q485" s="15" t="s">
        <v>3511</v>
      </c>
      <c r="R485" s="16">
        <v>44329</v>
      </c>
      <c r="S485" s="17" t="s">
        <v>256</v>
      </c>
      <c r="T485" s="20">
        <f>HYPERLINK("https://vnm.spiral.com.vn//uploaded/20210513/D6819004-FCF9-4102-BED9-EDF58C636F94.jpg","07:19:12")</f>
      </c>
      <c r="U485" s="20">
        <f>HYPERLINK("https://vnm.spiral.com.vn//uploaded/20210513/A2C0D2B2-2D77-4DC7-8152-4CA0CE4C7B4E.jpg","16:31:27")</f>
      </c>
      <c r="V485" s="18">
        <v>0.38350694444444444</v>
      </c>
      <c r="W485" s="15" t="s">
        <v>3512</v>
      </c>
      <c r="X485" s="15" t="s">
        <v>3513</v>
      </c>
      <c r="Y485" s="15" t="s">
        <v>35</v>
      </c>
      <c r="Z485" s="19">
        <v>0</v>
      </c>
      <c r="AA485" s="15">
        <v>0</v>
      </c>
      <c r="AB485" s="15" t="s">
        <v>35</v>
      </c>
    </row>
    <row r="486">
      <c r="A486" s="15">
        <v>482</v>
      </c>
      <c r="B486" s="15" t="s">
        <v>103</v>
      </c>
      <c r="C486" s="15" t="s">
        <v>104</v>
      </c>
      <c r="D486" s="15" t="s">
        <v>115</v>
      </c>
      <c r="E486" s="15" t="s">
        <v>116</v>
      </c>
      <c r="F486" s="15" t="s">
        <v>35</v>
      </c>
      <c r="G486" s="15" t="s">
        <v>74</v>
      </c>
      <c r="H486" s="15" t="s">
        <v>3514</v>
      </c>
      <c r="I486" s="15" t="s">
        <v>3515</v>
      </c>
      <c r="J486" s="15" t="s">
        <v>3516</v>
      </c>
      <c r="K486" s="15" t="s">
        <v>460</v>
      </c>
      <c r="L486" s="15" t="s">
        <v>461</v>
      </c>
      <c r="M486" s="15" t="s">
        <v>462</v>
      </c>
      <c r="N486" s="15" t="s">
        <v>463</v>
      </c>
      <c r="O486" s="15" t="s">
        <v>82</v>
      </c>
      <c r="P486" s="15" t="s">
        <v>464</v>
      </c>
      <c r="Q486" s="15" t="s">
        <v>465</v>
      </c>
      <c r="R486" s="16">
        <v>44329</v>
      </c>
      <c r="S486" s="17" t="s">
        <v>70</v>
      </c>
      <c r="T486" s="20">
        <f>HYPERLINK("https://vnm.spiral.com.vn//uploaded/20210513/6ea5cea9-e63c-42d7-8396-36aac184dbfc.JPEG","15:37:56")</f>
      </c>
      <c r="U486" s="20">
        <f>HYPERLINK("https://vnm.spiral.com.vn//uploaded/20210513/27322676-4263-4fe1-b7aa-45e040c3ef01.JPEG","16:31:23")</f>
      </c>
      <c r="V486" s="18">
        <v>0.03711805555555556</v>
      </c>
      <c r="W486" s="15" t="s">
        <v>3517</v>
      </c>
      <c r="X486" s="15" t="s">
        <v>3518</v>
      </c>
      <c r="Y486" s="15" t="s">
        <v>35</v>
      </c>
      <c r="Z486" s="19">
        <v>0</v>
      </c>
      <c r="AA486" s="15">
        <v>0</v>
      </c>
      <c r="AB486" s="15" t="s">
        <v>35</v>
      </c>
    </row>
    <row r="487">
      <c r="A487" s="15">
        <v>483</v>
      </c>
      <c r="B487" s="15" t="s">
        <v>103</v>
      </c>
      <c r="C487" s="15" t="s">
        <v>104</v>
      </c>
      <c r="D487" s="15" t="s">
        <v>35</v>
      </c>
      <c r="E487" s="15" t="s">
        <v>35</v>
      </c>
      <c r="F487" s="15" t="s">
        <v>35</v>
      </c>
      <c r="G487" s="15" t="s">
        <v>36</v>
      </c>
      <c r="H487" s="15" t="s">
        <v>3519</v>
      </c>
      <c r="I487" s="15" t="s">
        <v>3520</v>
      </c>
      <c r="J487" s="15" t="s">
        <v>3521</v>
      </c>
      <c r="K487" s="15" t="s">
        <v>40</v>
      </c>
      <c r="L487" s="15" t="s">
        <v>41</v>
      </c>
      <c r="M487" s="15" t="s">
        <v>108</v>
      </c>
      <c r="N487" s="15" t="s">
        <v>109</v>
      </c>
      <c r="O487" s="15" t="s">
        <v>44</v>
      </c>
      <c r="P487" s="15" t="s">
        <v>3522</v>
      </c>
      <c r="Q487" s="15" t="s">
        <v>3523</v>
      </c>
      <c r="R487" s="16">
        <v>44329</v>
      </c>
      <c r="S487" s="17" t="s">
        <v>3524</v>
      </c>
      <c r="T487" s="20">
        <f>HYPERLINK("https://vnm.spiral.com.vn//uploaded/20210513/c2ad831c-0c6c-4787-869e-bf898a5a2b08.JPEG","16:31:21")</f>
      </c>
      <c r="U487" s="18"/>
      <c r="V487" s="18" t="s">
        <v>35</v>
      </c>
      <c r="W487" s="15" t="s">
        <v>3525</v>
      </c>
      <c r="X487" s="15" t="s">
        <v>35</v>
      </c>
      <c r="Y487" s="15" t="s">
        <v>35</v>
      </c>
      <c r="Z487" s="19">
        <v>0</v>
      </c>
      <c r="AA487" s="15">
        <v>0</v>
      </c>
      <c r="AB487" s="15" t="s">
        <v>35</v>
      </c>
    </row>
    <row r="488">
      <c r="A488" s="15">
        <v>484</v>
      </c>
      <c r="B488" s="15" t="s">
        <v>61</v>
      </c>
      <c r="C488" s="15" t="s">
        <v>1730</v>
      </c>
      <c r="D488" s="15" t="s">
        <v>35</v>
      </c>
      <c r="E488" s="15" t="s">
        <v>35</v>
      </c>
      <c r="F488" s="15" t="s">
        <v>35</v>
      </c>
      <c r="G488" s="15" t="s">
        <v>36</v>
      </c>
      <c r="H488" s="15" t="s">
        <v>3526</v>
      </c>
      <c r="I488" s="15" t="s">
        <v>3527</v>
      </c>
      <c r="J488" s="15" t="s">
        <v>3528</v>
      </c>
      <c r="K488" s="15" t="s">
        <v>40</v>
      </c>
      <c r="L488" s="15" t="s">
        <v>41</v>
      </c>
      <c r="M488" s="15" t="s">
        <v>205</v>
      </c>
      <c r="N488" s="15" t="s">
        <v>206</v>
      </c>
      <c r="O488" s="15" t="s">
        <v>44</v>
      </c>
      <c r="P488" s="15" t="s">
        <v>3529</v>
      </c>
      <c r="Q488" s="15" t="s">
        <v>3530</v>
      </c>
      <c r="R488" s="16">
        <v>44329</v>
      </c>
      <c r="S488" s="17" t="s">
        <v>1112</v>
      </c>
      <c r="T488" s="20">
        <f>HYPERLINK("https://vnm.spiral.com.vn//uploaded/20210513/942f2097-d934-4c94-ae06-a2539c0c7a4d.JPEG","07:51:09")</f>
      </c>
      <c r="U488" s="20">
        <f>HYPERLINK("https://vnm.spiral.com.vn//uploaded/20210513/94cca8d4-e958-4635-b25c-a75687cc8962.JPEG","16:31:17")</f>
      </c>
      <c r="V488" s="18">
        <v>0.3612037037037037</v>
      </c>
      <c r="W488" s="15" t="s">
        <v>3531</v>
      </c>
      <c r="X488" s="15" t="s">
        <v>3532</v>
      </c>
      <c r="Y488" s="15" t="s">
        <v>35</v>
      </c>
      <c r="Z488" s="19">
        <v>0</v>
      </c>
      <c r="AA488" s="15">
        <v>0</v>
      </c>
      <c r="AB488" s="15" t="s">
        <v>35</v>
      </c>
    </row>
    <row r="489">
      <c r="A489" s="15">
        <v>485</v>
      </c>
      <c r="B489" s="15" t="s">
        <v>61</v>
      </c>
      <c r="C489" s="15" t="s">
        <v>904</v>
      </c>
      <c r="D489" s="15" t="s">
        <v>89</v>
      </c>
      <c r="E489" s="15" t="s">
        <v>90</v>
      </c>
      <c r="F489" s="15" t="s">
        <v>35</v>
      </c>
      <c r="G489" s="15" t="s">
        <v>74</v>
      </c>
      <c r="H489" s="15" t="s">
        <v>3533</v>
      </c>
      <c r="I489" s="15" t="s">
        <v>3534</v>
      </c>
      <c r="J489" s="15" t="s">
        <v>3535</v>
      </c>
      <c r="K489" s="15" t="s">
        <v>1586</v>
      </c>
      <c r="L489" s="15" t="s">
        <v>1587</v>
      </c>
      <c r="M489" s="15" t="s">
        <v>1588</v>
      </c>
      <c r="N489" s="15" t="s">
        <v>1589</v>
      </c>
      <c r="O489" s="15" t="s">
        <v>156</v>
      </c>
      <c r="P489" s="15" t="s">
        <v>3536</v>
      </c>
      <c r="Q489" s="15" t="s">
        <v>762</v>
      </c>
      <c r="R489" s="16">
        <v>44329</v>
      </c>
      <c r="S489" s="17" t="s">
        <v>256</v>
      </c>
      <c r="T489" s="20">
        <f>HYPERLINK("https://vnm.spiral.com.vn//uploaded/20210513/B727452E-2F63-48FA-BE74-191621651440.jpg","07:24:00")</f>
      </c>
      <c r="U489" s="20">
        <f>HYPERLINK("https://vnm.spiral.com.vn//uploaded/20210513/B251F154-1DCD-4182-9F8C-1B3700396540.jpg","16:31:17")</f>
      </c>
      <c r="V489" s="18">
        <v>0.38005787037037037</v>
      </c>
      <c r="W489" s="15" t="s">
        <v>3537</v>
      </c>
      <c r="X489" s="15" t="s">
        <v>3538</v>
      </c>
      <c r="Y489" s="15" t="s">
        <v>35</v>
      </c>
      <c r="Z489" s="19">
        <v>0</v>
      </c>
      <c r="AA489" s="15">
        <v>0</v>
      </c>
      <c r="AB489" s="15" t="s">
        <v>35</v>
      </c>
    </row>
    <row r="490">
      <c r="A490" s="15">
        <v>486</v>
      </c>
      <c r="B490" s="15" t="s">
        <v>49</v>
      </c>
      <c r="C490" s="15" t="s">
        <v>756</v>
      </c>
      <c r="D490" s="15" t="s">
        <v>89</v>
      </c>
      <c r="E490" s="15" t="s">
        <v>90</v>
      </c>
      <c r="F490" s="15" t="s">
        <v>35</v>
      </c>
      <c r="G490" s="15" t="s">
        <v>74</v>
      </c>
      <c r="H490" s="15" t="s">
        <v>3539</v>
      </c>
      <c r="I490" s="15" t="s">
        <v>3540</v>
      </c>
      <c r="J490" s="15" t="s">
        <v>3541</v>
      </c>
      <c r="K490" s="15" t="s">
        <v>168</v>
      </c>
      <c r="L490" s="15" t="s">
        <v>169</v>
      </c>
      <c r="M490" s="15" t="s">
        <v>2640</v>
      </c>
      <c r="N490" s="15" t="s">
        <v>2641</v>
      </c>
      <c r="O490" s="15" t="s">
        <v>156</v>
      </c>
      <c r="P490" s="15" t="s">
        <v>3542</v>
      </c>
      <c r="Q490" s="15" t="s">
        <v>3543</v>
      </c>
      <c r="R490" s="16">
        <v>44329</v>
      </c>
      <c r="S490" s="17" t="s">
        <v>293</v>
      </c>
      <c r="T490" s="20">
        <f>HYPERLINK("https://vnm.spiral.com.vn//uploaded/20210513/6DC94E65-6F84-48C6-AF6B-AA41AF4190D8.jpg","07:22:56")</f>
      </c>
      <c r="U490" s="20">
        <f>HYPERLINK("https://vnm.spiral.com.vn//uploaded/20210513/C38D7AE8-E7E7-41A8-9132-7536A4D114E7.jpg","16:31:09")</f>
      </c>
      <c r="V490" s="18">
        <v>0.38070601851851854</v>
      </c>
      <c r="W490" s="15" t="s">
        <v>3544</v>
      </c>
      <c r="X490" s="15" t="s">
        <v>3545</v>
      </c>
      <c r="Y490" s="15" t="s">
        <v>35</v>
      </c>
      <c r="Z490" s="19">
        <v>0</v>
      </c>
      <c r="AA490" s="15">
        <v>0</v>
      </c>
      <c r="AB490" s="15" t="s">
        <v>35</v>
      </c>
    </row>
    <row r="491">
      <c r="A491" s="15">
        <v>487</v>
      </c>
      <c r="B491" s="15" t="s">
        <v>61</v>
      </c>
      <c r="C491" s="15" t="s">
        <v>303</v>
      </c>
      <c r="D491" s="15" t="s">
        <v>35</v>
      </c>
      <c r="E491" s="15" t="s">
        <v>35</v>
      </c>
      <c r="F491" s="15" t="s">
        <v>35</v>
      </c>
      <c r="G491" s="15" t="s">
        <v>36</v>
      </c>
      <c r="H491" s="15" t="s">
        <v>3546</v>
      </c>
      <c r="I491" s="15" t="s">
        <v>3547</v>
      </c>
      <c r="J491" s="15" t="s">
        <v>3548</v>
      </c>
      <c r="K491" s="15" t="s">
        <v>40</v>
      </c>
      <c r="L491" s="15" t="s">
        <v>41</v>
      </c>
      <c r="M491" s="15" t="s">
        <v>205</v>
      </c>
      <c r="N491" s="15" t="s">
        <v>206</v>
      </c>
      <c r="O491" s="15" t="s">
        <v>44</v>
      </c>
      <c r="P491" s="15" t="s">
        <v>3549</v>
      </c>
      <c r="Q491" s="15" t="s">
        <v>3550</v>
      </c>
      <c r="R491" s="16">
        <v>44329</v>
      </c>
      <c r="S491" s="17" t="s">
        <v>273</v>
      </c>
      <c r="T491" s="20">
        <f>HYPERLINK("https://vnm.spiral.com.vn//uploaded/20210513/029852a5-f445-4129-8b9f-070f14c7fe8c.JPEG","08:08:30")</f>
      </c>
      <c r="U491" s="20">
        <f>HYPERLINK("https://vnm.spiral.com.vn//uploaded/20210513/d15314d4-2c70-48c5-9e64-37467a9f390b.JPEG","16:31:03")</f>
      </c>
      <c r="V491" s="18">
        <v>0.34899305555555554</v>
      </c>
      <c r="W491" s="15" t="s">
        <v>3551</v>
      </c>
      <c r="X491" s="15" t="s">
        <v>3552</v>
      </c>
      <c r="Y491" s="15" t="s">
        <v>35</v>
      </c>
      <c r="Z491" s="19">
        <v>0</v>
      </c>
      <c r="AA491" s="15">
        <v>0</v>
      </c>
      <c r="AB491" s="15" t="s">
        <v>35</v>
      </c>
    </row>
    <row r="492">
      <c r="A492" s="15">
        <v>488</v>
      </c>
      <c r="B492" s="15" t="s">
        <v>103</v>
      </c>
      <c r="C492" s="15" t="s">
        <v>104</v>
      </c>
      <c r="D492" s="15" t="s">
        <v>1897</v>
      </c>
      <c r="E492" s="15" t="s">
        <v>90</v>
      </c>
      <c r="F492" s="15" t="s">
        <v>35</v>
      </c>
      <c r="G492" s="15" t="s">
        <v>74</v>
      </c>
      <c r="H492" s="15" t="s">
        <v>3553</v>
      </c>
      <c r="I492" s="15" t="s">
        <v>3554</v>
      </c>
      <c r="J492" s="15" t="s">
        <v>3555</v>
      </c>
      <c r="K492" s="15" t="s">
        <v>460</v>
      </c>
      <c r="L492" s="15" t="s">
        <v>461</v>
      </c>
      <c r="M492" s="15" t="s">
        <v>3497</v>
      </c>
      <c r="N492" s="15" t="s">
        <v>3498</v>
      </c>
      <c r="O492" s="15" t="s">
        <v>156</v>
      </c>
      <c r="P492" s="15" t="s">
        <v>3556</v>
      </c>
      <c r="Q492" s="15" t="s">
        <v>3557</v>
      </c>
      <c r="R492" s="16">
        <v>44329</v>
      </c>
      <c r="S492" s="17" t="s">
        <v>256</v>
      </c>
      <c r="T492" s="20">
        <f>HYPERLINK("https://vnm.spiral.com.vn//uploaded/20210513/D5065104-0381-4B02-A677-223378830174.jpg","07:29:17")</f>
      </c>
      <c r="U492" s="20">
        <f>HYPERLINK("https://vnm.spiral.com.vn//uploaded/20210513/178B5625-C8F1-40D7-9DA9-E94442CA38B4.jpg","16:30:58")</f>
      </c>
      <c r="V492" s="18">
        <v>0.3761689814814815</v>
      </c>
      <c r="W492" s="15" t="s">
        <v>3558</v>
      </c>
      <c r="X492" s="15" t="s">
        <v>3559</v>
      </c>
      <c r="Y492" s="15" t="s">
        <v>35</v>
      </c>
      <c r="Z492" s="19">
        <v>0</v>
      </c>
      <c r="AA492" s="15">
        <v>0</v>
      </c>
      <c r="AB492" s="15" t="s">
        <v>35</v>
      </c>
    </row>
    <row r="493">
      <c r="A493" s="15">
        <v>489</v>
      </c>
      <c r="B493" s="15" t="s">
        <v>103</v>
      </c>
      <c r="C493" s="15" t="s">
        <v>186</v>
      </c>
      <c r="D493" s="15" t="s">
        <v>379</v>
      </c>
      <c r="E493" s="15" t="s">
        <v>35</v>
      </c>
      <c r="F493" s="15" t="s">
        <v>35</v>
      </c>
      <c r="G493" s="15" t="s">
        <v>74</v>
      </c>
      <c r="H493" s="15" t="s">
        <v>3560</v>
      </c>
      <c r="I493" s="15" t="s">
        <v>3561</v>
      </c>
      <c r="J493" s="15" t="s">
        <v>3562</v>
      </c>
      <c r="K493" s="15" t="s">
        <v>178</v>
      </c>
      <c r="L493" s="15" t="s">
        <v>179</v>
      </c>
      <c r="M493" s="15" t="s">
        <v>3247</v>
      </c>
      <c r="N493" s="15" t="s">
        <v>3248</v>
      </c>
      <c r="O493" s="15" t="s">
        <v>156</v>
      </c>
      <c r="P493" s="15" t="s">
        <v>3563</v>
      </c>
      <c r="Q493" s="15" t="s">
        <v>3564</v>
      </c>
      <c r="R493" s="16">
        <v>44329</v>
      </c>
      <c r="S493" s="17" t="s">
        <v>256</v>
      </c>
      <c r="T493" s="20">
        <f>HYPERLINK("https://vnm.spiral.com.vn//uploaded/20210513/9F846336-7E1A-46C7-A3B5-17310A962AAB.jpg","07:17:39")</f>
      </c>
      <c r="U493" s="20">
        <f>HYPERLINK("https://vnm.spiral.com.vn//uploaded/20210513/4C5950E8-3D5C-486B-AE6F-50D0059BE374.jpg","16:30:53")</f>
      </c>
      <c r="V493" s="18">
        <v>0.3841898148148148</v>
      </c>
      <c r="W493" s="15" t="s">
        <v>3565</v>
      </c>
      <c r="X493" s="15" t="s">
        <v>3566</v>
      </c>
      <c r="Y493" s="15" t="s">
        <v>35</v>
      </c>
      <c r="Z493" s="19">
        <v>0</v>
      </c>
      <c r="AA493" s="15">
        <v>0</v>
      </c>
      <c r="AB493" s="15" t="s">
        <v>35</v>
      </c>
    </row>
    <row r="494">
      <c r="A494" s="15">
        <v>490</v>
      </c>
      <c r="B494" s="15" t="s">
        <v>87</v>
      </c>
      <c r="C494" s="15" t="s">
        <v>88</v>
      </c>
      <c r="D494" s="15" t="s">
        <v>148</v>
      </c>
      <c r="E494" s="15" t="s">
        <v>90</v>
      </c>
      <c r="F494" s="15" t="s">
        <v>35</v>
      </c>
      <c r="G494" s="15" t="s">
        <v>74</v>
      </c>
      <c r="H494" s="15" t="s">
        <v>3567</v>
      </c>
      <c r="I494" s="15" t="s">
        <v>3568</v>
      </c>
      <c r="J494" s="15" t="s">
        <v>3569</v>
      </c>
      <c r="K494" s="15" t="s">
        <v>1204</v>
      </c>
      <c r="L494" s="15" t="s">
        <v>1205</v>
      </c>
      <c r="M494" s="15" t="s">
        <v>1965</v>
      </c>
      <c r="N494" s="15" t="s">
        <v>1966</v>
      </c>
      <c r="O494" s="15" t="s">
        <v>156</v>
      </c>
      <c r="P494" s="15" t="s">
        <v>3570</v>
      </c>
      <c r="Q494" s="15" t="s">
        <v>3571</v>
      </c>
      <c r="R494" s="16">
        <v>44329</v>
      </c>
      <c r="S494" s="17" t="s">
        <v>159</v>
      </c>
      <c r="T494" s="20">
        <f>HYPERLINK("https://vnm.spiral.com.vn//uploaded/20210513/7FC2CFED-82DD-44AE-9777-9DF0F9128A01.jpg","06:44:55")</f>
      </c>
      <c r="U494" s="20">
        <f>HYPERLINK("https://vnm.spiral.com.vn//uploaded/20210513/7CE3F7FF-F334-43F7-AA55-E97E74D68107.jpg","16:30:46")</f>
      </c>
      <c r="V494" s="18">
        <v>0.40684027777777776</v>
      </c>
      <c r="W494" s="15" t="s">
        <v>3572</v>
      </c>
      <c r="X494" s="15" t="s">
        <v>3573</v>
      </c>
      <c r="Y494" s="15" t="s">
        <v>35</v>
      </c>
      <c r="Z494" s="19">
        <v>0</v>
      </c>
      <c r="AA494" s="15">
        <v>0</v>
      </c>
      <c r="AB494" s="15" t="s">
        <v>35</v>
      </c>
    </row>
    <row r="495">
      <c r="A495" s="15">
        <v>491</v>
      </c>
      <c r="B495" s="15" t="s">
        <v>61</v>
      </c>
      <c r="C495" s="15" t="s">
        <v>62</v>
      </c>
      <c r="D495" s="15" t="s">
        <v>35</v>
      </c>
      <c r="E495" s="15" t="s">
        <v>35</v>
      </c>
      <c r="F495" s="15" t="s">
        <v>35</v>
      </c>
      <c r="G495" s="15" t="s">
        <v>36</v>
      </c>
      <c r="H495" s="15" t="s">
        <v>3574</v>
      </c>
      <c r="I495" s="15" t="s">
        <v>3174</v>
      </c>
      <c r="J495" s="15" t="s">
        <v>3575</v>
      </c>
      <c r="K495" s="15" t="s">
        <v>40</v>
      </c>
      <c r="L495" s="15" t="s">
        <v>41</v>
      </c>
      <c r="M495" s="15" t="s">
        <v>66</v>
      </c>
      <c r="N495" s="15" t="s">
        <v>67</v>
      </c>
      <c r="O495" s="15" t="s">
        <v>44</v>
      </c>
      <c r="P495" s="15" t="s">
        <v>3576</v>
      </c>
      <c r="Q495" s="15" t="s">
        <v>3577</v>
      </c>
      <c r="R495" s="16">
        <v>44329</v>
      </c>
      <c r="S495" s="17" t="s">
        <v>1112</v>
      </c>
      <c r="T495" s="20">
        <f>HYPERLINK("https://vnm.spiral.com.vn//uploaded/20210513/e2f29326-71e7-49e4-b828-350b3f838705.JPEG","07:53:22")</f>
      </c>
      <c r="U495" s="20">
        <f>HYPERLINK("https://vnm.spiral.com.vn//uploaded/20210513/45423474-39cc-4855-8199-bbefe0546924.JPEG","16:30:44")</f>
      </c>
      <c r="V495" s="18">
        <v>0.3592824074074074</v>
      </c>
      <c r="W495" s="15" t="s">
        <v>3578</v>
      </c>
      <c r="X495" s="15" t="s">
        <v>3579</v>
      </c>
      <c r="Y495" s="15" t="s">
        <v>35</v>
      </c>
      <c r="Z495" s="19">
        <v>0</v>
      </c>
      <c r="AA495" s="15">
        <v>0</v>
      </c>
      <c r="AB495" s="15" t="s">
        <v>35</v>
      </c>
    </row>
    <row r="496">
      <c r="A496" s="15">
        <v>492</v>
      </c>
      <c r="B496" s="15" t="s">
        <v>343</v>
      </c>
      <c r="C496" s="15" t="s">
        <v>344</v>
      </c>
      <c r="D496" s="15" t="s">
        <v>35</v>
      </c>
      <c r="E496" s="15" t="s">
        <v>35</v>
      </c>
      <c r="F496" s="15" t="s">
        <v>35</v>
      </c>
      <c r="G496" s="15" t="s">
        <v>74</v>
      </c>
      <c r="H496" s="15" t="s">
        <v>3580</v>
      </c>
      <c r="I496" s="15" t="s">
        <v>3581</v>
      </c>
      <c r="J496" s="15" t="s">
        <v>3582</v>
      </c>
      <c r="K496" s="15" t="s">
        <v>584</v>
      </c>
      <c r="L496" s="15" t="s">
        <v>585</v>
      </c>
      <c r="M496" s="15" t="s">
        <v>827</v>
      </c>
      <c r="N496" s="15" t="s">
        <v>828</v>
      </c>
      <c r="O496" s="15" t="s">
        <v>82</v>
      </c>
      <c r="P496" s="15" t="s">
        <v>829</v>
      </c>
      <c r="Q496" s="15" t="s">
        <v>830</v>
      </c>
      <c r="R496" s="16">
        <v>44329</v>
      </c>
      <c r="S496" s="17" t="s">
        <v>70</v>
      </c>
      <c r="T496" s="20">
        <f>HYPERLINK("https://vnm.spiral.com.vn//uploaded/20210513/d3e0939a-0d43-4f59-9e3e-7e3efd1f1279.JPEG","16:14:01")</f>
      </c>
      <c r="U496" s="20">
        <f>HYPERLINK("https://vnm.spiral.com.vn//uploaded/20210513/956b556d-065f-40c6-8691-383bf6759439.JPEG","16:30:37")</f>
      </c>
      <c r="V496" s="18">
        <v>0.011527777777777777</v>
      </c>
      <c r="W496" s="15" t="s">
        <v>3583</v>
      </c>
      <c r="X496" s="15" t="s">
        <v>3584</v>
      </c>
      <c r="Y496" s="15" t="s">
        <v>35</v>
      </c>
      <c r="Z496" s="19">
        <v>0</v>
      </c>
      <c r="AA496" s="15">
        <v>0</v>
      </c>
      <c r="AB496" s="15" t="s">
        <v>35</v>
      </c>
    </row>
    <row r="497">
      <c r="A497" s="15">
        <v>493</v>
      </c>
      <c r="B497" s="15" t="s">
        <v>61</v>
      </c>
      <c r="C497" s="15" t="s">
        <v>904</v>
      </c>
      <c r="D497" s="15" t="s">
        <v>89</v>
      </c>
      <c r="E497" s="15" t="s">
        <v>90</v>
      </c>
      <c r="F497" s="15" t="s">
        <v>35</v>
      </c>
      <c r="G497" s="15" t="s">
        <v>74</v>
      </c>
      <c r="H497" s="15" t="s">
        <v>3585</v>
      </c>
      <c r="I497" s="15" t="s">
        <v>3586</v>
      </c>
      <c r="J497" s="15" t="s">
        <v>3587</v>
      </c>
      <c r="K497" s="15" t="s">
        <v>1586</v>
      </c>
      <c r="L497" s="15" t="s">
        <v>1587</v>
      </c>
      <c r="M497" s="15" t="s">
        <v>1588</v>
      </c>
      <c r="N497" s="15" t="s">
        <v>1589</v>
      </c>
      <c r="O497" s="15" t="s">
        <v>156</v>
      </c>
      <c r="P497" s="15" t="s">
        <v>3588</v>
      </c>
      <c r="Q497" s="15" t="s">
        <v>3589</v>
      </c>
      <c r="R497" s="16">
        <v>44329</v>
      </c>
      <c r="S497" s="17" t="s">
        <v>256</v>
      </c>
      <c r="T497" s="20">
        <f>HYPERLINK("https://vnm.spiral.com.vn//uploaded/20210513/13AF4F6A-EAF0-4BA8-B4EC-B27090332534.jpg","07:24:05")</f>
      </c>
      <c r="U497" s="20">
        <f>HYPERLINK("https://vnm.spiral.com.vn//uploaded/20210513/17398F1F-614A-458E-9A08-034ACDE00882.jpg","16:30:33")</f>
      </c>
      <c r="V497" s="18">
        <v>0.37949074074074074</v>
      </c>
      <c r="W497" s="15" t="s">
        <v>3590</v>
      </c>
      <c r="X497" s="15" t="s">
        <v>3591</v>
      </c>
      <c r="Y497" s="15" t="s">
        <v>35</v>
      </c>
      <c r="Z497" s="19">
        <v>0</v>
      </c>
      <c r="AA497" s="15">
        <v>0</v>
      </c>
      <c r="AB497" s="15" t="s">
        <v>35</v>
      </c>
    </row>
    <row r="498">
      <c r="A498" s="15">
        <v>494</v>
      </c>
      <c r="B498" s="15" t="s">
        <v>87</v>
      </c>
      <c r="C498" s="15" t="s">
        <v>88</v>
      </c>
      <c r="D498" s="15" t="s">
        <v>89</v>
      </c>
      <c r="E498" s="15" t="s">
        <v>90</v>
      </c>
      <c r="F498" s="15" t="s">
        <v>35</v>
      </c>
      <c r="G498" s="15" t="s">
        <v>74</v>
      </c>
      <c r="H498" s="15" t="s">
        <v>3592</v>
      </c>
      <c r="I498" s="15" t="s">
        <v>3593</v>
      </c>
      <c r="J498" s="15" t="s">
        <v>3594</v>
      </c>
      <c r="K498" s="15" t="s">
        <v>96</v>
      </c>
      <c r="L498" s="15" t="s">
        <v>97</v>
      </c>
      <c r="M498" s="15" t="s">
        <v>1831</v>
      </c>
      <c r="N498" s="15" t="s">
        <v>1832</v>
      </c>
      <c r="O498" s="15" t="s">
        <v>156</v>
      </c>
      <c r="P498" s="15" t="s">
        <v>3595</v>
      </c>
      <c r="Q498" s="15" t="s">
        <v>3596</v>
      </c>
      <c r="R498" s="16">
        <v>44329</v>
      </c>
      <c r="S498" s="17" t="s">
        <v>256</v>
      </c>
      <c r="T498" s="20">
        <f>HYPERLINK("https://vnm.spiral.com.vn//uploaded/20210513/6c3c7327-7116-45cf-a225-576b08ce6580.JPEG","07:26:03")</f>
      </c>
      <c r="U498" s="20">
        <f>HYPERLINK("https://vnm.spiral.com.vn//uploaded/20210513/6baab1b9-d44e-4504-82cc-495599b5903d.JPEG","16:30:31")</f>
      </c>
      <c r="V498" s="18">
        <v>0.37810185185185186</v>
      </c>
      <c r="W498" s="15" t="s">
        <v>3597</v>
      </c>
      <c r="X498" s="15" t="s">
        <v>3598</v>
      </c>
      <c r="Y498" s="15" t="s">
        <v>35</v>
      </c>
      <c r="Z498" s="19">
        <v>0</v>
      </c>
      <c r="AA498" s="15">
        <v>0</v>
      </c>
      <c r="AB498" s="15" t="s">
        <v>35</v>
      </c>
    </row>
    <row r="499">
      <c r="A499" s="15">
        <v>495</v>
      </c>
      <c r="B499" s="15" t="s">
        <v>61</v>
      </c>
      <c r="C499" s="15" t="s">
        <v>228</v>
      </c>
      <c r="D499" s="15" t="s">
        <v>35</v>
      </c>
      <c r="E499" s="15" t="s">
        <v>35</v>
      </c>
      <c r="F499" s="15" t="s">
        <v>35</v>
      </c>
      <c r="G499" s="15" t="s">
        <v>36</v>
      </c>
      <c r="H499" s="15" t="s">
        <v>3599</v>
      </c>
      <c r="I499" s="15" t="s">
        <v>3600</v>
      </c>
      <c r="J499" s="15" t="s">
        <v>3601</v>
      </c>
      <c r="K499" s="15" t="s">
        <v>40</v>
      </c>
      <c r="L499" s="15" t="s">
        <v>41</v>
      </c>
      <c r="M499" s="15" t="s">
        <v>205</v>
      </c>
      <c r="N499" s="15" t="s">
        <v>206</v>
      </c>
      <c r="O499" s="15" t="s">
        <v>44</v>
      </c>
      <c r="P499" s="15" t="s">
        <v>3602</v>
      </c>
      <c r="Q499" s="15" t="s">
        <v>3603</v>
      </c>
      <c r="R499" s="16">
        <v>44329</v>
      </c>
      <c r="S499" s="17" t="s">
        <v>1112</v>
      </c>
      <c r="T499" s="20">
        <f>HYPERLINK("https://vnm.spiral.com.vn//uploaded/20210513/d36b14fa-bc60-42cb-835a-14646e5d70e2.JPEG","07:51:45")</f>
      </c>
      <c r="U499" s="20">
        <f>HYPERLINK("https://vnm.spiral.com.vn//uploaded/20210513/ef0db728-f46c-42d2-81ac-9b83b291d81a.JPEG","16:30:31")</f>
      </c>
      <c r="V499" s="18">
        <v>0.3602546296296296</v>
      </c>
      <c r="W499" s="15" t="s">
        <v>3604</v>
      </c>
      <c r="X499" s="15" t="s">
        <v>3605</v>
      </c>
      <c r="Y499" s="15" t="s">
        <v>35</v>
      </c>
      <c r="Z499" s="19">
        <v>0</v>
      </c>
      <c r="AA499" s="15">
        <v>0</v>
      </c>
      <c r="AB499" s="15" t="s">
        <v>35</v>
      </c>
    </row>
    <row r="500">
      <c r="A500" s="15">
        <v>496</v>
      </c>
      <c r="B500" s="15" t="s">
        <v>61</v>
      </c>
      <c r="C500" s="15" t="s">
        <v>904</v>
      </c>
      <c r="D500" s="15" t="s">
        <v>135</v>
      </c>
      <c r="E500" s="15" t="s">
        <v>116</v>
      </c>
      <c r="F500" s="15" t="s">
        <v>35</v>
      </c>
      <c r="G500" s="15" t="s">
        <v>74</v>
      </c>
      <c r="H500" s="15" t="s">
        <v>3606</v>
      </c>
      <c r="I500" s="15" t="s">
        <v>3607</v>
      </c>
      <c r="J500" s="15" t="s">
        <v>3608</v>
      </c>
      <c r="K500" s="15" t="s">
        <v>1586</v>
      </c>
      <c r="L500" s="15" t="s">
        <v>1587</v>
      </c>
      <c r="M500" s="15" t="s">
        <v>1588</v>
      </c>
      <c r="N500" s="15" t="s">
        <v>1589</v>
      </c>
      <c r="O500" s="15" t="s">
        <v>82</v>
      </c>
      <c r="P500" s="15" t="s">
        <v>3609</v>
      </c>
      <c r="Q500" s="15" t="s">
        <v>3610</v>
      </c>
      <c r="R500" s="16">
        <v>44329</v>
      </c>
      <c r="S500" s="17" t="s">
        <v>70</v>
      </c>
      <c r="T500" s="20">
        <f>HYPERLINK("https://vnm.spiral.com.vn//uploaded/20210513/61C7B586-0CE6-4195-A2D3-307D332B3A04.jpg","16:30:28")</f>
      </c>
      <c r="U500" s="18"/>
      <c r="V500" s="18" t="s">
        <v>35</v>
      </c>
      <c r="W500" s="15" t="s">
        <v>3611</v>
      </c>
      <c r="X500" s="15" t="s">
        <v>35</v>
      </c>
      <c r="Y500" s="15" t="s">
        <v>35</v>
      </c>
      <c r="Z500" s="19">
        <v>0</v>
      </c>
      <c r="AA500" s="15">
        <v>0</v>
      </c>
      <c r="AB500" s="15" t="s">
        <v>35</v>
      </c>
    </row>
    <row r="501">
      <c r="A501" s="15">
        <v>497</v>
      </c>
      <c r="B501" s="15" t="s">
        <v>343</v>
      </c>
      <c r="C501" s="15" t="s">
        <v>344</v>
      </c>
      <c r="D501" s="15" t="s">
        <v>35</v>
      </c>
      <c r="E501" s="15" t="s">
        <v>35</v>
      </c>
      <c r="F501" s="15" t="s">
        <v>35</v>
      </c>
      <c r="G501" s="15" t="s">
        <v>36</v>
      </c>
      <c r="H501" s="15" t="s">
        <v>3612</v>
      </c>
      <c r="I501" s="15" t="s">
        <v>3613</v>
      </c>
      <c r="J501" s="15" t="s">
        <v>3614</v>
      </c>
      <c r="K501" s="15" t="s">
        <v>40</v>
      </c>
      <c r="L501" s="15" t="s">
        <v>41</v>
      </c>
      <c r="M501" s="15" t="s">
        <v>409</v>
      </c>
      <c r="N501" s="15" t="s">
        <v>410</v>
      </c>
      <c r="O501" s="15" t="s">
        <v>44</v>
      </c>
      <c r="P501" s="15" t="s">
        <v>3615</v>
      </c>
      <c r="Q501" s="15" t="s">
        <v>3616</v>
      </c>
      <c r="R501" s="16">
        <v>44329</v>
      </c>
      <c r="S501" s="17" t="s">
        <v>1112</v>
      </c>
      <c r="T501" s="20">
        <f>HYPERLINK("https://vnm.spiral.com.vn//uploaded/20210513/05894BD2-282C-4B04-8D7D-DCFD738E06BB.jpg","07:59:37")</f>
      </c>
      <c r="U501" s="20">
        <f>HYPERLINK("https://vnm.spiral.com.vn//uploaded/20210513/7284A3F4-F6AB-409E-8D98-81AAE217B751.jpg","16:30:27")</f>
      </c>
      <c r="V501" s="18">
        <v>0.35474537037037035</v>
      </c>
      <c r="W501" s="15" t="s">
        <v>3617</v>
      </c>
      <c r="X501" s="15" t="s">
        <v>3618</v>
      </c>
      <c r="Y501" s="15" t="s">
        <v>35</v>
      </c>
      <c r="Z501" s="19">
        <v>0</v>
      </c>
      <c r="AA501" s="15">
        <v>0</v>
      </c>
      <c r="AB501" s="15" t="s">
        <v>35</v>
      </c>
    </row>
    <row r="502">
      <c r="A502" s="15">
        <v>498</v>
      </c>
      <c r="B502" s="15" t="s">
        <v>61</v>
      </c>
      <c r="C502" s="15" t="s">
        <v>1106</v>
      </c>
      <c r="D502" s="15" t="s">
        <v>89</v>
      </c>
      <c r="E502" s="15" t="s">
        <v>90</v>
      </c>
      <c r="F502" s="15" t="s">
        <v>35</v>
      </c>
      <c r="G502" s="15" t="s">
        <v>74</v>
      </c>
      <c r="H502" s="15" t="s">
        <v>3619</v>
      </c>
      <c r="I502" s="15" t="s">
        <v>3620</v>
      </c>
      <c r="J502" s="15" t="s">
        <v>3621</v>
      </c>
      <c r="K502" s="15" t="s">
        <v>154</v>
      </c>
      <c r="L502" s="15" t="s">
        <v>155</v>
      </c>
      <c r="M502" s="15" t="s">
        <v>2458</v>
      </c>
      <c r="N502" s="15" t="s">
        <v>2459</v>
      </c>
      <c r="O502" s="15" t="s">
        <v>156</v>
      </c>
      <c r="P502" s="15" t="s">
        <v>3622</v>
      </c>
      <c r="Q502" s="15" t="s">
        <v>3623</v>
      </c>
      <c r="R502" s="16">
        <v>44329</v>
      </c>
      <c r="S502" s="17" t="s">
        <v>256</v>
      </c>
      <c r="T502" s="20">
        <f>HYPERLINK("https://vnm.spiral.com.vn//uploaded/20210513/17c1df64-cd14-4f11-b503-176c83711232.JPEG","07:24:56")</f>
      </c>
      <c r="U502" s="20">
        <f>HYPERLINK("https://vnm.spiral.com.vn//uploaded/20210513/4c253e14-b348-4f9b-b36a-e42b97fb7a42.JPEG","16:30:24")</f>
      </c>
      <c r="V502" s="18">
        <v>0.3787962962962963</v>
      </c>
      <c r="W502" s="15" t="s">
        <v>3624</v>
      </c>
      <c r="X502" s="15" t="s">
        <v>3625</v>
      </c>
      <c r="Y502" s="15" t="s">
        <v>35</v>
      </c>
      <c r="Z502" s="19">
        <v>0</v>
      </c>
      <c r="AA502" s="15">
        <v>0</v>
      </c>
      <c r="AB502" s="15" t="s">
        <v>35</v>
      </c>
    </row>
    <row r="503">
      <c r="A503" s="15">
        <v>499</v>
      </c>
      <c r="B503" s="15" t="s">
        <v>343</v>
      </c>
      <c r="C503" s="15" t="s">
        <v>344</v>
      </c>
      <c r="D503" s="15" t="s">
        <v>35</v>
      </c>
      <c r="E503" s="15" t="s">
        <v>35</v>
      </c>
      <c r="F503" s="15" t="s">
        <v>35</v>
      </c>
      <c r="G503" s="15" t="s">
        <v>36</v>
      </c>
      <c r="H503" s="15" t="s">
        <v>3626</v>
      </c>
      <c r="I503" s="15" t="s">
        <v>3627</v>
      </c>
      <c r="J503" s="15" t="s">
        <v>3628</v>
      </c>
      <c r="K503" s="15" t="s">
        <v>40</v>
      </c>
      <c r="L503" s="15" t="s">
        <v>41</v>
      </c>
      <c r="M503" s="15" t="s">
        <v>409</v>
      </c>
      <c r="N503" s="15" t="s">
        <v>410</v>
      </c>
      <c r="O503" s="15" t="s">
        <v>44</v>
      </c>
      <c r="P503" s="15" t="s">
        <v>3629</v>
      </c>
      <c r="Q503" s="15" t="s">
        <v>1641</v>
      </c>
      <c r="R503" s="16">
        <v>44329</v>
      </c>
      <c r="S503" s="17" t="s">
        <v>326</v>
      </c>
      <c r="T503" s="20">
        <f>HYPERLINK("https://vnm.spiral.com.vn//uploaded/20210513/E9EB4D9D-ABC3-46B2-BCC8-23CF62CB4515.jpg","08:15:22")</f>
      </c>
      <c r="U503" s="20">
        <f>HYPERLINK("https://vnm.spiral.com.vn//uploaded/20210513/923685F0-751B-4832-B00A-7DDF8DF847DF.jpg","16:30:10")</f>
      </c>
      <c r="V503" s="18">
        <v>0.3436111111111111</v>
      </c>
      <c r="W503" s="15" t="s">
        <v>3630</v>
      </c>
      <c r="X503" s="15" t="s">
        <v>3631</v>
      </c>
      <c r="Y503" s="15" t="s">
        <v>35</v>
      </c>
      <c r="Z503" s="19">
        <v>0</v>
      </c>
      <c r="AA503" s="15">
        <v>0</v>
      </c>
      <c r="AB503" s="15" t="s">
        <v>35</v>
      </c>
    </row>
    <row r="504">
      <c r="A504" s="15">
        <v>500</v>
      </c>
      <c r="B504" s="15" t="s">
        <v>87</v>
      </c>
      <c r="C504" s="15" t="s">
        <v>88</v>
      </c>
      <c r="D504" s="15" t="s">
        <v>35</v>
      </c>
      <c r="E504" s="15" t="s">
        <v>35</v>
      </c>
      <c r="F504" s="15" t="s">
        <v>2077</v>
      </c>
      <c r="G504" s="15" t="s">
        <v>36</v>
      </c>
      <c r="H504" s="15" t="s">
        <v>3632</v>
      </c>
      <c r="I504" s="15" t="s">
        <v>3633</v>
      </c>
      <c r="J504" s="15" t="s">
        <v>3634</v>
      </c>
      <c r="K504" s="15" t="s">
        <v>40</v>
      </c>
      <c r="L504" s="15" t="s">
        <v>41</v>
      </c>
      <c r="M504" s="15" t="s">
        <v>289</v>
      </c>
      <c r="N504" s="15" t="s">
        <v>290</v>
      </c>
      <c r="O504" s="15" t="s">
        <v>44</v>
      </c>
      <c r="P504" s="15" t="s">
        <v>3635</v>
      </c>
      <c r="Q504" s="15" t="s">
        <v>1641</v>
      </c>
      <c r="R504" s="16">
        <v>44329</v>
      </c>
      <c r="S504" s="17" t="s">
        <v>2925</v>
      </c>
      <c r="T504" s="20">
        <f>HYPERLINK("https://vnm.spiral.com.vn//uploaded/20210513/8e726315-f60a-46fe-a2af-c4f39a658298.JPEG","16:30:09")</f>
      </c>
      <c r="U504" s="18"/>
      <c r="V504" s="18" t="s">
        <v>35</v>
      </c>
      <c r="W504" s="15" t="s">
        <v>3636</v>
      </c>
      <c r="X504" s="15" t="s">
        <v>35</v>
      </c>
      <c r="Y504" s="15" t="s">
        <v>35</v>
      </c>
      <c r="Z504" s="19">
        <v>0</v>
      </c>
      <c r="AA504" s="15">
        <v>0</v>
      </c>
      <c r="AB504" s="15" t="s">
        <v>35</v>
      </c>
    </row>
    <row r="505">
      <c r="A505" s="15">
        <v>501</v>
      </c>
      <c r="B505" s="15" t="s">
        <v>61</v>
      </c>
      <c r="C505" s="15" t="s">
        <v>62</v>
      </c>
      <c r="D505" s="15" t="s">
        <v>35</v>
      </c>
      <c r="E505" s="15" t="s">
        <v>35</v>
      </c>
      <c r="F505" s="15" t="s">
        <v>35</v>
      </c>
      <c r="G505" s="15" t="s">
        <v>36</v>
      </c>
      <c r="H505" s="15" t="s">
        <v>3637</v>
      </c>
      <c r="I505" s="15" t="s">
        <v>3638</v>
      </c>
      <c r="J505" s="15" t="s">
        <v>3639</v>
      </c>
      <c r="K505" s="15" t="s">
        <v>40</v>
      </c>
      <c r="L505" s="15" t="s">
        <v>41</v>
      </c>
      <c r="M505" s="15" t="s">
        <v>66</v>
      </c>
      <c r="N505" s="15" t="s">
        <v>67</v>
      </c>
      <c r="O505" s="15" t="s">
        <v>44</v>
      </c>
      <c r="P505" s="15" t="s">
        <v>3640</v>
      </c>
      <c r="Q505" s="15" t="s">
        <v>3641</v>
      </c>
      <c r="R505" s="16">
        <v>44329</v>
      </c>
      <c r="S505" s="17" t="s">
        <v>1112</v>
      </c>
      <c r="T505" s="20">
        <f>HYPERLINK("https://vnm.spiral.com.vn//uploaded/20210513/1A64C642-F4A6-44B1-9490-D1160B5FCC6C.jpg","07:05:32")</f>
      </c>
      <c r="U505" s="20">
        <f>HYPERLINK("https://vnm.spiral.com.vn//uploaded/20210513/650645A9-0E3C-4171-9B6E-0504EEF16661.jpg","16:30:05")</f>
      </c>
      <c r="V505" s="18">
        <v>0.3920486111111111</v>
      </c>
      <c r="W505" s="15" t="s">
        <v>3642</v>
      </c>
      <c r="X505" s="15" t="s">
        <v>3643</v>
      </c>
      <c r="Y505" s="15" t="s">
        <v>35</v>
      </c>
      <c r="Z505" s="19">
        <v>0</v>
      </c>
      <c r="AA505" s="15">
        <v>0</v>
      </c>
      <c r="AB505" s="15" t="s">
        <v>35</v>
      </c>
    </row>
    <row r="506">
      <c r="A506" s="15">
        <v>502</v>
      </c>
      <c r="B506" s="15" t="s">
        <v>87</v>
      </c>
      <c r="C506" s="15" t="s">
        <v>88</v>
      </c>
      <c r="D506" s="15" t="s">
        <v>115</v>
      </c>
      <c r="E506" s="15" t="s">
        <v>116</v>
      </c>
      <c r="F506" s="15" t="s">
        <v>35</v>
      </c>
      <c r="G506" s="15" t="s">
        <v>74</v>
      </c>
      <c r="H506" s="15" t="s">
        <v>3644</v>
      </c>
      <c r="I506" s="15" t="s">
        <v>3645</v>
      </c>
      <c r="J506" s="15" t="s">
        <v>3646</v>
      </c>
      <c r="K506" s="15" t="s">
        <v>120</v>
      </c>
      <c r="L506" s="15" t="s">
        <v>121</v>
      </c>
      <c r="M506" s="15" t="s">
        <v>122</v>
      </c>
      <c r="N506" s="15" t="s">
        <v>123</v>
      </c>
      <c r="O506" s="15" t="s">
        <v>82</v>
      </c>
      <c r="P506" s="15" t="s">
        <v>3647</v>
      </c>
      <c r="Q506" s="15" t="s">
        <v>3648</v>
      </c>
      <c r="R506" s="16">
        <v>44329</v>
      </c>
      <c r="S506" s="17" t="s">
        <v>70</v>
      </c>
      <c r="T506" s="20">
        <f>HYPERLINK("https://vnm.spiral.com.vn//uploaded/20210513/5767fb1b-7be5-4b89-8350-8b286890681d.jpg","16:30:03")</f>
      </c>
      <c r="U506" s="18"/>
      <c r="V506" s="18" t="s">
        <v>35</v>
      </c>
      <c r="W506" s="15" t="s">
        <v>3649</v>
      </c>
      <c r="X506" s="15" t="s">
        <v>35</v>
      </c>
      <c r="Y506" s="15" t="s">
        <v>35</v>
      </c>
      <c r="Z506" s="19">
        <v>0</v>
      </c>
      <c r="AA506" s="15">
        <v>0</v>
      </c>
      <c r="AB506" s="15" t="s">
        <v>35</v>
      </c>
    </row>
    <row r="507">
      <c r="A507" s="15">
        <v>503</v>
      </c>
      <c r="B507" s="15" t="s">
        <v>33</v>
      </c>
      <c r="C507" s="15" t="s">
        <v>2883</v>
      </c>
      <c r="D507" s="15" t="s">
        <v>35</v>
      </c>
      <c r="E507" s="15" t="s">
        <v>35</v>
      </c>
      <c r="F507" s="15" t="s">
        <v>35</v>
      </c>
      <c r="G507" s="15" t="s">
        <v>74</v>
      </c>
      <c r="H507" s="15" t="s">
        <v>2884</v>
      </c>
      <c r="I507" s="15" t="s">
        <v>2885</v>
      </c>
      <c r="J507" s="15" t="s">
        <v>2886</v>
      </c>
      <c r="K507" s="15" t="s">
        <v>540</v>
      </c>
      <c r="L507" s="15" t="s">
        <v>541</v>
      </c>
      <c r="M507" s="15" t="s">
        <v>2887</v>
      </c>
      <c r="N507" s="15" t="s">
        <v>2888</v>
      </c>
      <c r="O507" s="15" t="s">
        <v>156</v>
      </c>
      <c r="P507" s="15" t="s">
        <v>3650</v>
      </c>
      <c r="Q507" s="15" t="s">
        <v>3651</v>
      </c>
      <c r="R507" s="16">
        <v>44329</v>
      </c>
      <c r="S507" s="17" t="s">
        <v>256</v>
      </c>
      <c r="T507" s="20">
        <f>HYPERLINK("https://vnm.spiral.com.vn//uploaded/20210513/e09a1973-884c-4565-97c5-bf5ad624feca.JPEG","07:19:00")</f>
      </c>
      <c r="U507" s="20">
        <f>HYPERLINK("https://vnm.spiral.com.vn//uploaded/20210513/f6b9c3d7-35bb-4d8c-9998-84362e773c4a.JPEG","16:29:59")</f>
      </c>
      <c r="V507" s="18">
        <v>0.3826273148148148</v>
      </c>
      <c r="W507" s="15" t="s">
        <v>3652</v>
      </c>
      <c r="X507" s="15" t="s">
        <v>3653</v>
      </c>
      <c r="Y507" s="15" t="s">
        <v>35</v>
      </c>
      <c r="Z507" s="19">
        <v>0</v>
      </c>
      <c r="AA507" s="15">
        <v>0</v>
      </c>
      <c r="AB507" s="15" t="s">
        <v>35</v>
      </c>
    </row>
    <row r="508">
      <c r="A508" s="15">
        <v>504</v>
      </c>
      <c r="B508" s="15" t="s">
        <v>103</v>
      </c>
      <c r="C508" s="15" t="s">
        <v>186</v>
      </c>
      <c r="D508" s="15" t="s">
        <v>35</v>
      </c>
      <c r="E508" s="15" t="s">
        <v>35</v>
      </c>
      <c r="F508" s="15" t="s">
        <v>35</v>
      </c>
      <c r="G508" s="15" t="s">
        <v>36</v>
      </c>
      <c r="H508" s="15" t="s">
        <v>3654</v>
      </c>
      <c r="I508" s="15" t="s">
        <v>3655</v>
      </c>
      <c r="J508" s="15" t="s">
        <v>3656</v>
      </c>
      <c r="K508" s="15" t="s">
        <v>40</v>
      </c>
      <c r="L508" s="15" t="s">
        <v>41</v>
      </c>
      <c r="M508" s="15" t="s">
        <v>565</v>
      </c>
      <c r="N508" s="15" t="s">
        <v>566</v>
      </c>
      <c r="O508" s="15" t="s">
        <v>44</v>
      </c>
      <c r="P508" s="15" t="s">
        <v>3657</v>
      </c>
      <c r="Q508" s="15" t="s">
        <v>3658</v>
      </c>
      <c r="R508" s="16">
        <v>44329</v>
      </c>
      <c r="S508" s="17" t="s">
        <v>475</v>
      </c>
      <c r="T508" s="20">
        <f>HYPERLINK("https://vnm.spiral.com.vn//uploaded/20210513/8026de55-6f9e-4a58-b0fe-00dcf98f6d09.JPEG","08:28:14")</f>
      </c>
      <c r="U508" s="20">
        <f>HYPERLINK("https://vnm.spiral.com.vn//uploaded/20210513/0332e5c1-5f94-4d7a-bdac-95942ed58956.JPEG","16:29:39")</f>
      </c>
      <c r="V508" s="18">
        <v>0.3343171296296296</v>
      </c>
      <c r="W508" s="15" t="s">
        <v>3659</v>
      </c>
      <c r="X508" s="15" t="s">
        <v>3660</v>
      </c>
      <c r="Y508" s="15" t="s">
        <v>35</v>
      </c>
      <c r="Z508" s="19">
        <v>0</v>
      </c>
      <c r="AA508" s="15">
        <v>0</v>
      </c>
      <c r="AB508" s="15" t="s">
        <v>35</v>
      </c>
    </row>
    <row r="509">
      <c r="A509" s="15">
        <v>505</v>
      </c>
      <c r="B509" s="15" t="s">
        <v>49</v>
      </c>
      <c r="C509" s="15" t="s">
        <v>1715</v>
      </c>
      <c r="D509" s="15" t="s">
        <v>35</v>
      </c>
      <c r="E509" s="15" t="s">
        <v>35</v>
      </c>
      <c r="F509" s="15" t="s">
        <v>3661</v>
      </c>
      <c r="G509" s="15" t="s">
        <v>36</v>
      </c>
      <c r="H509" s="15" t="s">
        <v>3662</v>
      </c>
      <c r="I509" s="15" t="s">
        <v>3663</v>
      </c>
      <c r="J509" s="15" t="s">
        <v>3664</v>
      </c>
      <c r="K509" s="15" t="s">
        <v>40</v>
      </c>
      <c r="L509" s="15" t="s">
        <v>41</v>
      </c>
      <c r="M509" s="15" t="s">
        <v>55</v>
      </c>
      <c r="N509" s="15" t="s">
        <v>56</v>
      </c>
      <c r="O509" s="15" t="s">
        <v>44</v>
      </c>
      <c r="P509" s="15" t="s">
        <v>3665</v>
      </c>
      <c r="Q509" s="15" t="s">
        <v>3666</v>
      </c>
      <c r="R509" s="16">
        <v>44329</v>
      </c>
      <c r="S509" s="17" t="s">
        <v>1188</v>
      </c>
      <c r="T509" s="20">
        <f>HYPERLINK("https://vnm.spiral.com.vn//uploaded/20210513/d18b40d7-83dd-4db7-be99-61391fc76d8e.JPEG","07:35:32")</f>
      </c>
      <c r="U509" s="20">
        <f>HYPERLINK("https://vnm.spiral.com.vn//uploaded/20210513/81d48ebd-f58e-4752-9145-4bd5d095691b.JPEG","16:29:31")</f>
      </c>
      <c r="V509" s="18">
        <v>0.37082175925925925</v>
      </c>
      <c r="W509" s="15" t="s">
        <v>3667</v>
      </c>
      <c r="X509" s="15" t="s">
        <v>3667</v>
      </c>
      <c r="Y509" s="15" t="s">
        <v>35</v>
      </c>
      <c r="Z509" s="19">
        <v>0</v>
      </c>
      <c r="AA509" s="15">
        <v>0</v>
      </c>
      <c r="AB509" s="15" t="s">
        <v>35</v>
      </c>
    </row>
    <row r="510">
      <c r="A510" s="15">
        <v>506</v>
      </c>
      <c r="B510" s="15" t="s">
        <v>61</v>
      </c>
      <c r="C510" s="15" t="s">
        <v>320</v>
      </c>
      <c r="D510" s="15" t="s">
        <v>35</v>
      </c>
      <c r="E510" s="15" t="s">
        <v>35</v>
      </c>
      <c r="F510" s="15" t="s">
        <v>35</v>
      </c>
      <c r="G510" s="15" t="s">
        <v>36</v>
      </c>
      <c r="H510" s="15" t="s">
        <v>3668</v>
      </c>
      <c r="I510" s="15" t="s">
        <v>3669</v>
      </c>
      <c r="J510" s="15" t="s">
        <v>3670</v>
      </c>
      <c r="K510" s="15" t="s">
        <v>40</v>
      </c>
      <c r="L510" s="15" t="s">
        <v>41</v>
      </c>
      <c r="M510" s="15" t="s">
        <v>205</v>
      </c>
      <c r="N510" s="15" t="s">
        <v>206</v>
      </c>
      <c r="O510" s="15" t="s">
        <v>44</v>
      </c>
      <c r="P510" s="15" t="s">
        <v>3671</v>
      </c>
      <c r="Q510" s="15" t="s">
        <v>3672</v>
      </c>
      <c r="R510" s="16">
        <v>44329</v>
      </c>
      <c r="S510" s="17" t="s">
        <v>273</v>
      </c>
      <c r="T510" s="20">
        <f>HYPERLINK("https://vnm.spiral.com.vn//uploaded/20210513/8fbb3f03-badb-4ea0-829c-8225f4519b32.JPEG","07:43:17")</f>
      </c>
      <c r="U510" s="20">
        <f>HYPERLINK("https://vnm.spiral.com.vn//uploaded/20210513/1ac99ca5-a13c-48e6-9413-d09d99c71351.JPEG","16:29:18")</f>
      </c>
      <c r="V510" s="18">
        <v>0.36528935185185185</v>
      </c>
      <c r="W510" s="15" t="s">
        <v>3673</v>
      </c>
      <c r="X510" s="15" t="s">
        <v>3674</v>
      </c>
      <c r="Y510" s="15" t="s">
        <v>35</v>
      </c>
      <c r="Z510" s="19">
        <v>0</v>
      </c>
      <c r="AA510" s="15">
        <v>0</v>
      </c>
      <c r="AB510" s="15" t="s">
        <v>35</v>
      </c>
    </row>
    <row r="511">
      <c r="A511" s="15">
        <v>507</v>
      </c>
      <c r="B511" s="15" t="s">
        <v>49</v>
      </c>
      <c r="C511" s="15" t="s">
        <v>162</v>
      </c>
      <c r="D511" s="15" t="s">
        <v>35</v>
      </c>
      <c r="E511" s="15" t="s">
        <v>35</v>
      </c>
      <c r="F511" s="15" t="s">
        <v>3675</v>
      </c>
      <c r="G511" s="15" t="s">
        <v>36</v>
      </c>
      <c r="H511" s="15" t="s">
        <v>3676</v>
      </c>
      <c r="I511" s="15" t="s">
        <v>3677</v>
      </c>
      <c r="J511" s="15" t="s">
        <v>3678</v>
      </c>
      <c r="K511" s="15" t="s">
        <v>40</v>
      </c>
      <c r="L511" s="15" t="s">
        <v>41</v>
      </c>
      <c r="M511" s="15" t="s">
        <v>55</v>
      </c>
      <c r="N511" s="15" t="s">
        <v>56</v>
      </c>
      <c r="O511" s="15" t="s">
        <v>44</v>
      </c>
      <c r="P511" s="15" t="s">
        <v>3679</v>
      </c>
      <c r="Q511" s="15" t="s">
        <v>3680</v>
      </c>
      <c r="R511" s="16">
        <v>44329</v>
      </c>
      <c r="S511" s="17" t="s">
        <v>475</v>
      </c>
      <c r="T511" s="20">
        <f>HYPERLINK("https://vnm.spiral.com.vn//uploaded/20210513/a8ba342c-1783-4137-9736-4ac1d896db92.JPEG","07:37:29")</f>
      </c>
      <c r="U511" s="20">
        <f>HYPERLINK("https://vnm.spiral.com.vn//uploaded/20210513/5eb34abb-6bdf-4768-a4b0-ff33e6ae179e.JPEG","16:28:59")</f>
      </c>
      <c r="V511" s="18">
        <v>0.36909722222222224</v>
      </c>
      <c r="W511" s="15" t="s">
        <v>3681</v>
      </c>
      <c r="X511" s="15" t="s">
        <v>3682</v>
      </c>
      <c r="Y511" s="15" t="s">
        <v>35</v>
      </c>
      <c r="Z511" s="19">
        <v>0</v>
      </c>
      <c r="AA511" s="15">
        <v>0</v>
      </c>
      <c r="AB511" s="15" t="s">
        <v>35</v>
      </c>
    </row>
    <row r="512">
      <c r="A512" s="15">
        <v>508</v>
      </c>
      <c r="B512" s="15" t="s">
        <v>87</v>
      </c>
      <c r="C512" s="15" t="s">
        <v>88</v>
      </c>
      <c r="D512" s="15" t="s">
        <v>35</v>
      </c>
      <c r="E512" s="15" t="s">
        <v>35</v>
      </c>
      <c r="F512" s="15" t="s">
        <v>35</v>
      </c>
      <c r="G512" s="15" t="s">
        <v>74</v>
      </c>
      <c r="H512" s="15" t="s">
        <v>3683</v>
      </c>
      <c r="I512" s="15" t="s">
        <v>3684</v>
      </c>
      <c r="J512" s="15" t="s">
        <v>3685</v>
      </c>
      <c r="K512" s="15" t="s">
        <v>888</v>
      </c>
      <c r="L512" s="15" t="s">
        <v>889</v>
      </c>
      <c r="M512" s="15" t="s">
        <v>890</v>
      </c>
      <c r="N512" s="15" t="s">
        <v>891</v>
      </c>
      <c r="O512" s="15" t="s">
        <v>82</v>
      </c>
      <c r="P512" s="15" t="s">
        <v>2094</v>
      </c>
      <c r="Q512" s="15" t="s">
        <v>2095</v>
      </c>
      <c r="R512" s="16">
        <v>44329</v>
      </c>
      <c r="S512" s="17" t="s">
        <v>70</v>
      </c>
      <c r="T512" s="20">
        <f>HYPERLINK("https://vnm.spiral.com.vn//uploaded/20210513/72DFF4B8-FC49-42A4-80FF-E8CED83DD031.jpg","16:03:09")</f>
      </c>
      <c r="U512" s="20">
        <f>HYPERLINK("https://vnm.spiral.com.vn//uploaded/20210513/78998A23-816C-4F70-B6AF-5475621DC3F3.jpg","16:28:26")</f>
      </c>
      <c r="V512" s="18">
        <v>0.01755787037037037</v>
      </c>
      <c r="W512" s="15" t="s">
        <v>3686</v>
      </c>
      <c r="X512" s="15" t="s">
        <v>3687</v>
      </c>
      <c r="Y512" s="15" t="s">
        <v>35</v>
      </c>
      <c r="Z512" s="19">
        <v>0</v>
      </c>
      <c r="AA512" s="15">
        <v>0</v>
      </c>
      <c r="AB512" s="15" t="s">
        <v>35</v>
      </c>
    </row>
    <row r="513">
      <c r="A513" s="15">
        <v>509</v>
      </c>
      <c r="B513" s="15" t="s">
        <v>61</v>
      </c>
      <c r="C513" s="15" t="s">
        <v>320</v>
      </c>
      <c r="D513" s="15" t="s">
        <v>35</v>
      </c>
      <c r="E513" s="15" t="s">
        <v>35</v>
      </c>
      <c r="F513" s="15" t="s">
        <v>35</v>
      </c>
      <c r="G513" s="15" t="s">
        <v>36</v>
      </c>
      <c r="H513" s="15" t="s">
        <v>3688</v>
      </c>
      <c r="I513" s="15" t="s">
        <v>3689</v>
      </c>
      <c r="J513" s="15" t="s">
        <v>3690</v>
      </c>
      <c r="K513" s="15" t="s">
        <v>40</v>
      </c>
      <c r="L513" s="15" t="s">
        <v>41</v>
      </c>
      <c r="M513" s="15" t="s">
        <v>205</v>
      </c>
      <c r="N513" s="15" t="s">
        <v>206</v>
      </c>
      <c r="O513" s="15" t="s">
        <v>44</v>
      </c>
      <c r="P513" s="15" t="s">
        <v>3691</v>
      </c>
      <c r="Q513" s="15" t="s">
        <v>3692</v>
      </c>
      <c r="R513" s="16">
        <v>44329</v>
      </c>
      <c r="S513" s="17" t="s">
        <v>159</v>
      </c>
      <c r="T513" s="20">
        <f>HYPERLINK("https://vnm.spiral.com.vn//uploaded/20210513/ca804f57-9c75-48e7-8d72-68194c1bfce0.JPEG","06:59:03")</f>
      </c>
      <c r="U513" s="20">
        <f>HYPERLINK("https://vnm.spiral.com.vn//uploaded/20210513/e1c47c77-95f4-43c0-b964-cb9e38c5cf24.JPEG","16:28:12")</f>
      </c>
      <c r="V513" s="18">
        <v>0.39524305555555556</v>
      </c>
      <c r="W513" s="15" t="s">
        <v>3693</v>
      </c>
      <c r="X513" s="15" t="s">
        <v>3694</v>
      </c>
      <c r="Y513" s="15" t="s">
        <v>35</v>
      </c>
      <c r="Z513" s="19">
        <v>0</v>
      </c>
      <c r="AA513" s="15">
        <v>0</v>
      </c>
      <c r="AB513" s="15" t="s">
        <v>35</v>
      </c>
    </row>
    <row r="514">
      <c r="A514" s="15">
        <v>510</v>
      </c>
      <c r="B514" s="15" t="s">
        <v>49</v>
      </c>
      <c r="C514" s="15" t="s">
        <v>468</v>
      </c>
      <c r="D514" s="15" t="s">
        <v>35</v>
      </c>
      <c r="E514" s="15" t="s">
        <v>35</v>
      </c>
      <c r="F514" s="15" t="s">
        <v>469</v>
      </c>
      <c r="G514" s="15" t="s">
        <v>36</v>
      </c>
      <c r="H514" s="15" t="s">
        <v>3695</v>
      </c>
      <c r="I514" s="15" t="s">
        <v>3174</v>
      </c>
      <c r="J514" s="15" t="s">
        <v>3696</v>
      </c>
      <c r="K514" s="15" t="s">
        <v>40</v>
      </c>
      <c r="L514" s="15" t="s">
        <v>41</v>
      </c>
      <c r="M514" s="15" t="s">
        <v>55</v>
      </c>
      <c r="N514" s="15" t="s">
        <v>56</v>
      </c>
      <c r="O514" s="15" t="s">
        <v>44</v>
      </c>
      <c r="P514" s="15" t="s">
        <v>3697</v>
      </c>
      <c r="Q514" s="15" t="s">
        <v>3698</v>
      </c>
      <c r="R514" s="16">
        <v>44329</v>
      </c>
      <c r="S514" s="17" t="s">
        <v>3699</v>
      </c>
      <c r="T514" s="20">
        <f>HYPERLINK("https://vnm.spiral.com.vn//uploaded/20210513/645C458B-1786-4383-8E44-D9F621EDC046.jpg","12:03:41")</f>
      </c>
      <c r="U514" s="20">
        <f>HYPERLINK("https://vnm.spiral.com.vn//uploaded/20210513/84AA0D51-81E0-4588-BC79-647AD53D20C3.jpg","16:28:02")</f>
      </c>
      <c r="V514" s="18">
        <v>0.1835763888888889</v>
      </c>
      <c r="W514" s="15" t="s">
        <v>3700</v>
      </c>
      <c r="X514" s="15" t="s">
        <v>3701</v>
      </c>
      <c r="Y514" s="15" t="s">
        <v>35</v>
      </c>
      <c r="Z514" s="19">
        <v>0</v>
      </c>
      <c r="AA514" s="15">
        <v>0</v>
      </c>
      <c r="AB514" s="15" t="s">
        <v>35</v>
      </c>
    </row>
    <row r="515">
      <c r="A515" s="15">
        <v>511</v>
      </c>
      <c r="B515" s="15" t="s">
        <v>87</v>
      </c>
      <c r="C515" s="15" t="s">
        <v>88</v>
      </c>
      <c r="D515" s="15" t="s">
        <v>89</v>
      </c>
      <c r="E515" s="15" t="s">
        <v>90</v>
      </c>
      <c r="F515" s="15" t="s">
        <v>35</v>
      </c>
      <c r="G515" s="15" t="s">
        <v>74</v>
      </c>
      <c r="H515" s="15" t="s">
        <v>3702</v>
      </c>
      <c r="I515" s="15" t="s">
        <v>3703</v>
      </c>
      <c r="J515" s="15" t="s">
        <v>3704</v>
      </c>
      <c r="K515" s="15" t="s">
        <v>1554</v>
      </c>
      <c r="L515" s="15" t="s">
        <v>1555</v>
      </c>
      <c r="M515" s="15" t="s">
        <v>2528</v>
      </c>
      <c r="N515" s="15" t="s">
        <v>2529</v>
      </c>
      <c r="O515" s="15" t="s">
        <v>156</v>
      </c>
      <c r="P515" s="15" t="s">
        <v>3705</v>
      </c>
      <c r="Q515" s="15" t="s">
        <v>3706</v>
      </c>
      <c r="R515" s="16">
        <v>44329</v>
      </c>
      <c r="S515" s="17" t="s">
        <v>70</v>
      </c>
      <c r="T515" s="20">
        <f>HYPERLINK("https://vnm.spiral.com.vn//uploaded/20210513/898400B0-585A-45E2-A484-A51668BDC4A5.jpg","07:59:01")</f>
      </c>
      <c r="U515" s="20">
        <f>HYPERLINK("https://vnm.spiral.com.vn//uploaded/20210513/95D0EE72-9920-490C-8C36-64A072A9FA31.jpg","16:27:47")</f>
      </c>
      <c r="V515" s="18">
        <v>0.3533101851851852</v>
      </c>
      <c r="W515" s="15" t="s">
        <v>3707</v>
      </c>
      <c r="X515" s="15" t="s">
        <v>3708</v>
      </c>
      <c r="Y515" s="15" t="s">
        <v>35</v>
      </c>
      <c r="Z515" s="19">
        <v>0</v>
      </c>
      <c r="AA515" s="15">
        <v>0</v>
      </c>
      <c r="AB515" s="15" t="s">
        <v>35</v>
      </c>
    </row>
    <row r="516">
      <c r="A516" s="15">
        <v>512</v>
      </c>
      <c r="B516" s="15" t="s">
        <v>87</v>
      </c>
      <c r="C516" s="15" t="s">
        <v>88</v>
      </c>
      <c r="D516" s="15" t="s">
        <v>148</v>
      </c>
      <c r="E516" s="15" t="s">
        <v>90</v>
      </c>
      <c r="F516" s="15" t="s">
        <v>35</v>
      </c>
      <c r="G516" s="15" t="s">
        <v>74</v>
      </c>
      <c r="H516" s="15" t="s">
        <v>3709</v>
      </c>
      <c r="I516" s="15" t="s">
        <v>3710</v>
      </c>
      <c r="J516" s="15" t="s">
        <v>3711</v>
      </c>
      <c r="K516" s="15" t="s">
        <v>1204</v>
      </c>
      <c r="L516" s="15" t="s">
        <v>1205</v>
      </c>
      <c r="M516" s="15" t="s">
        <v>1206</v>
      </c>
      <c r="N516" s="15" t="s">
        <v>1207</v>
      </c>
      <c r="O516" s="15" t="s">
        <v>156</v>
      </c>
      <c r="P516" s="15" t="s">
        <v>3712</v>
      </c>
      <c r="Q516" s="15" t="s">
        <v>3713</v>
      </c>
      <c r="R516" s="16">
        <v>44329</v>
      </c>
      <c r="S516" s="17" t="s">
        <v>159</v>
      </c>
      <c r="T516" s="20">
        <f>HYPERLINK("https://vnm.spiral.com.vn//uploaded/20210513/C85230A3-1082-4804-A0D2-B7CDD76337C4.jpg","06:39:16")</f>
      </c>
      <c r="U516" s="20">
        <f>HYPERLINK("https://vnm.spiral.com.vn//uploaded/20210513/A54EF357-0782-430D-8230-BEEF6E1B2399.jpg","16:27:19")</f>
      </c>
      <c r="V516" s="18">
        <v>0.40836805555555555</v>
      </c>
      <c r="W516" s="15" t="s">
        <v>3714</v>
      </c>
      <c r="X516" s="15" t="s">
        <v>3715</v>
      </c>
      <c r="Y516" s="15" t="s">
        <v>35</v>
      </c>
      <c r="Z516" s="19">
        <v>0</v>
      </c>
      <c r="AA516" s="15">
        <v>0</v>
      </c>
      <c r="AB516" s="15" t="s">
        <v>35</v>
      </c>
    </row>
    <row r="517">
      <c r="A517" s="15">
        <v>513</v>
      </c>
      <c r="B517" s="15" t="s">
        <v>61</v>
      </c>
      <c r="C517" s="15" t="s">
        <v>904</v>
      </c>
      <c r="D517" s="15" t="s">
        <v>35</v>
      </c>
      <c r="E517" s="15" t="s">
        <v>35</v>
      </c>
      <c r="F517" s="15" t="s">
        <v>35</v>
      </c>
      <c r="G517" s="15" t="s">
        <v>36</v>
      </c>
      <c r="H517" s="15" t="s">
        <v>3716</v>
      </c>
      <c r="I517" s="15" t="s">
        <v>3272</v>
      </c>
      <c r="J517" s="15" t="s">
        <v>3717</v>
      </c>
      <c r="K517" s="15" t="s">
        <v>40</v>
      </c>
      <c r="L517" s="15" t="s">
        <v>41</v>
      </c>
      <c r="M517" s="15" t="s">
        <v>66</v>
      </c>
      <c r="N517" s="15" t="s">
        <v>67</v>
      </c>
      <c r="O517" s="15" t="s">
        <v>44</v>
      </c>
      <c r="P517" s="15" t="s">
        <v>3718</v>
      </c>
      <c r="Q517" s="15" t="s">
        <v>3719</v>
      </c>
      <c r="R517" s="16">
        <v>44329</v>
      </c>
      <c r="S517" s="17" t="s">
        <v>1112</v>
      </c>
      <c r="T517" s="20">
        <f>HYPERLINK("https://vnm.spiral.com.vn//uploaded/20210513/8a30c0de-1ef2-4c65-8f60-734ade049b8a.JPEG","07:52:17")</f>
      </c>
      <c r="U517" s="20">
        <f>HYPERLINK("https://vnm.spiral.com.vn//uploaded/20210513/c7fac6a7-6547-4fc7-bdab-b1f0d337c13c.JPEG","16:27:05")</f>
      </c>
      <c r="V517" s="18">
        <v>0.3575</v>
      </c>
      <c r="W517" s="15" t="s">
        <v>3720</v>
      </c>
      <c r="X517" s="15" t="s">
        <v>3721</v>
      </c>
      <c r="Y517" s="15" t="s">
        <v>35</v>
      </c>
      <c r="Z517" s="19">
        <v>0</v>
      </c>
      <c r="AA517" s="15">
        <v>0</v>
      </c>
      <c r="AB517" s="15" t="s">
        <v>35</v>
      </c>
    </row>
    <row r="518">
      <c r="A518" s="15">
        <v>514</v>
      </c>
      <c r="B518" s="15" t="s">
        <v>343</v>
      </c>
      <c r="C518" s="15" t="s">
        <v>344</v>
      </c>
      <c r="D518" s="15" t="s">
        <v>536</v>
      </c>
      <c r="E518" s="15" t="s">
        <v>116</v>
      </c>
      <c r="F518" s="15" t="s">
        <v>35</v>
      </c>
      <c r="G518" s="15" t="s">
        <v>74</v>
      </c>
      <c r="H518" s="15" t="s">
        <v>3722</v>
      </c>
      <c r="I518" s="15" t="s">
        <v>3723</v>
      </c>
      <c r="J518" s="15" t="s">
        <v>3724</v>
      </c>
      <c r="K518" s="15" t="s">
        <v>540</v>
      </c>
      <c r="L518" s="15" t="s">
        <v>541</v>
      </c>
      <c r="M518" s="15" t="s">
        <v>997</v>
      </c>
      <c r="N518" s="15" t="s">
        <v>998</v>
      </c>
      <c r="O518" s="15" t="s">
        <v>98</v>
      </c>
      <c r="P518" s="15" t="s">
        <v>1325</v>
      </c>
      <c r="Q518" s="15" t="s">
        <v>1326</v>
      </c>
      <c r="R518" s="16">
        <v>44329</v>
      </c>
      <c r="S518" s="17" t="s">
        <v>70</v>
      </c>
      <c r="T518" s="20">
        <f>HYPERLINK("https://vnm.spiral.com.vn//uploaded/20210513/28da7061-490b-4b47-b8e1-96d49b9f30ca.JPEG","07:55:29")</f>
      </c>
      <c r="U518" s="20">
        <f>HYPERLINK("https://vnm.spiral.com.vn//uploaded/20210513/07d47a13-76c5-4804-ac45-d52128511baf.JPEG","16:27:04")</f>
      </c>
      <c r="V518" s="18">
        <v>0.3552662037037037</v>
      </c>
      <c r="W518" s="15" t="s">
        <v>3725</v>
      </c>
      <c r="X518" s="15" t="s">
        <v>3726</v>
      </c>
      <c r="Y518" s="15" t="s">
        <v>35</v>
      </c>
      <c r="Z518" s="19">
        <v>0</v>
      </c>
      <c r="AA518" s="15">
        <v>0</v>
      </c>
      <c r="AB518" s="15" t="s">
        <v>35</v>
      </c>
    </row>
    <row r="519">
      <c r="A519" s="15">
        <v>515</v>
      </c>
      <c r="B519" s="15" t="s">
        <v>49</v>
      </c>
      <c r="C519" s="15" t="s">
        <v>50</v>
      </c>
      <c r="D519" s="15" t="s">
        <v>35</v>
      </c>
      <c r="E519" s="15" t="s">
        <v>35</v>
      </c>
      <c r="F519" s="15" t="s">
        <v>51</v>
      </c>
      <c r="G519" s="15" t="s">
        <v>36</v>
      </c>
      <c r="H519" s="15" t="s">
        <v>3727</v>
      </c>
      <c r="I519" s="15" t="s">
        <v>3728</v>
      </c>
      <c r="J519" s="15" t="s">
        <v>3729</v>
      </c>
      <c r="K519" s="15" t="s">
        <v>40</v>
      </c>
      <c r="L519" s="15" t="s">
        <v>41</v>
      </c>
      <c r="M519" s="15" t="s">
        <v>55</v>
      </c>
      <c r="N519" s="15" t="s">
        <v>56</v>
      </c>
      <c r="O519" s="15" t="s">
        <v>44</v>
      </c>
      <c r="P519" s="15" t="s">
        <v>3730</v>
      </c>
      <c r="Q519" s="15" t="s">
        <v>3731</v>
      </c>
      <c r="R519" s="16">
        <v>44329</v>
      </c>
      <c r="S519" s="17" t="s">
        <v>475</v>
      </c>
      <c r="T519" s="20">
        <f>HYPERLINK("https://vnm.spiral.com.vn//uploaded/20210513/c92e3558-a614-4999-99d7-6e915779e4f9.JPEG","08:10:58")</f>
      </c>
      <c r="U519" s="20">
        <f>HYPERLINK("https://vnm.spiral.com.vn//uploaded/20210513/405ccea3-0be1-4214-9d51-9706a17e171e.JPEG","16:26:49")</f>
      </c>
      <c r="V519" s="18">
        <v>0.34434027777777776</v>
      </c>
      <c r="W519" s="15" t="s">
        <v>3732</v>
      </c>
      <c r="X519" s="15" t="s">
        <v>3733</v>
      </c>
      <c r="Y519" s="15" t="s">
        <v>35</v>
      </c>
      <c r="Z519" s="19">
        <v>0</v>
      </c>
      <c r="AA519" s="15">
        <v>0</v>
      </c>
      <c r="AB519" s="15" t="s">
        <v>35</v>
      </c>
    </row>
    <row r="520">
      <c r="A520" s="15">
        <v>516</v>
      </c>
      <c r="B520" s="15" t="s">
        <v>343</v>
      </c>
      <c r="C520" s="15" t="s">
        <v>344</v>
      </c>
      <c r="D520" s="15" t="s">
        <v>345</v>
      </c>
      <c r="E520" s="15" t="s">
        <v>90</v>
      </c>
      <c r="F520" s="15" t="s">
        <v>35</v>
      </c>
      <c r="G520" s="15" t="s">
        <v>74</v>
      </c>
      <c r="H520" s="15" t="s">
        <v>3734</v>
      </c>
      <c r="I520" s="15" t="s">
        <v>3735</v>
      </c>
      <c r="J520" s="15" t="s">
        <v>3736</v>
      </c>
      <c r="K520" s="15" t="s">
        <v>349</v>
      </c>
      <c r="L520" s="15" t="s">
        <v>350</v>
      </c>
      <c r="M520" s="15" t="s">
        <v>351</v>
      </c>
      <c r="N520" s="15" t="s">
        <v>352</v>
      </c>
      <c r="O520" s="15" t="s">
        <v>82</v>
      </c>
      <c r="P520" s="15" t="s">
        <v>3737</v>
      </c>
      <c r="Q520" s="15" t="s">
        <v>3738</v>
      </c>
      <c r="R520" s="16">
        <v>44329</v>
      </c>
      <c r="S520" s="17" t="s">
        <v>70</v>
      </c>
      <c r="T520" s="20">
        <f>HYPERLINK("https://vnm.spiral.com.vn//uploaded/20210513/fc2cb2c3-1ae0-45a1-b3f5-785e703cac3e.JPEG","11:41:52")</f>
      </c>
      <c r="U520" s="20">
        <f>HYPERLINK("https://vnm.spiral.com.vn//uploaded/20210513/c42f3603-1ad5-437e-9b4d-8bae2a56f954.JPEG","16:26:36")</f>
      </c>
      <c r="V520" s="18">
        <v>0.19773148148148148</v>
      </c>
      <c r="W520" s="15" t="s">
        <v>3739</v>
      </c>
      <c r="X520" s="15" t="s">
        <v>3740</v>
      </c>
      <c r="Y520" s="15" t="s">
        <v>35</v>
      </c>
      <c r="Z520" s="19">
        <v>0</v>
      </c>
      <c r="AA520" s="15">
        <v>0</v>
      </c>
      <c r="AB520" s="15" t="s">
        <v>35</v>
      </c>
    </row>
    <row r="521">
      <c r="A521" s="15">
        <v>517</v>
      </c>
      <c r="B521" s="15" t="s">
        <v>87</v>
      </c>
      <c r="C521" s="15" t="s">
        <v>88</v>
      </c>
      <c r="D521" s="15" t="s">
        <v>35</v>
      </c>
      <c r="E521" s="15" t="s">
        <v>35</v>
      </c>
      <c r="F521" s="15" t="s">
        <v>806</v>
      </c>
      <c r="G521" s="15" t="s">
        <v>36</v>
      </c>
      <c r="H521" s="15" t="s">
        <v>3741</v>
      </c>
      <c r="I521" s="15" t="s">
        <v>3742</v>
      </c>
      <c r="J521" s="15" t="s">
        <v>3743</v>
      </c>
      <c r="K521" s="15" t="s">
        <v>40</v>
      </c>
      <c r="L521" s="15" t="s">
        <v>41</v>
      </c>
      <c r="M521" s="15" t="s">
        <v>810</v>
      </c>
      <c r="N521" s="15" t="s">
        <v>811</v>
      </c>
      <c r="O521" s="15" t="s">
        <v>44</v>
      </c>
      <c r="P521" s="15" t="s">
        <v>3744</v>
      </c>
      <c r="Q521" s="15" t="s">
        <v>3745</v>
      </c>
      <c r="R521" s="16">
        <v>44329</v>
      </c>
      <c r="S521" s="17" t="s">
        <v>2003</v>
      </c>
      <c r="T521" s="20">
        <f>HYPERLINK("https://vnm.spiral.com.vn//uploaded/20210513/d46b09ab-2cab-4807-9c9c-be5ed73ad0c2.JPEG","16:26:33")</f>
      </c>
      <c r="U521" s="18"/>
      <c r="V521" s="18" t="s">
        <v>35</v>
      </c>
      <c r="W521" s="15" t="s">
        <v>3746</v>
      </c>
      <c r="X521" s="15" t="s">
        <v>35</v>
      </c>
      <c r="Y521" s="15" t="s">
        <v>35</v>
      </c>
      <c r="Z521" s="19">
        <v>0</v>
      </c>
      <c r="AA521" s="15">
        <v>0</v>
      </c>
      <c r="AB521" s="15" t="s">
        <v>35</v>
      </c>
    </row>
    <row r="522">
      <c r="A522" s="15">
        <v>518</v>
      </c>
      <c r="B522" s="15" t="s">
        <v>87</v>
      </c>
      <c r="C522" s="15" t="s">
        <v>88</v>
      </c>
      <c r="D522" s="15" t="s">
        <v>35</v>
      </c>
      <c r="E522" s="15" t="s">
        <v>35</v>
      </c>
      <c r="F522" s="15" t="s">
        <v>2667</v>
      </c>
      <c r="G522" s="15" t="s">
        <v>36</v>
      </c>
      <c r="H522" s="15" t="s">
        <v>3747</v>
      </c>
      <c r="I522" s="15" t="s">
        <v>3748</v>
      </c>
      <c r="J522" s="15" t="s">
        <v>3749</v>
      </c>
      <c r="K522" s="15" t="s">
        <v>40</v>
      </c>
      <c r="L522" s="15" t="s">
        <v>41</v>
      </c>
      <c r="M522" s="15" t="s">
        <v>1195</v>
      </c>
      <c r="N522" s="15" t="s">
        <v>1196</v>
      </c>
      <c r="O522" s="15" t="s">
        <v>44</v>
      </c>
      <c r="P522" s="15" t="s">
        <v>3750</v>
      </c>
      <c r="Q522" s="15" t="s">
        <v>3751</v>
      </c>
      <c r="R522" s="16">
        <v>44329</v>
      </c>
      <c r="S522" s="17" t="s">
        <v>2003</v>
      </c>
      <c r="T522" s="20">
        <f>HYPERLINK("https://vnm.spiral.com.vn//uploaded/20210513/b243cf7a-3f02-47eb-9333-26ee4aa41e95.JPEG","16:26:26")</f>
      </c>
      <c r="U522" s="18"/>
      <c r="V522" s="18" t="s">
        <v>35</v>
      </c>
      <c r="W522" s="15" t="s">
        <v>3752</v>
      </c>
      <c r="X522" s="15" t="s">
        <v>35</v>
      </c>
      <c r="Y522" s="15" t="s">
        <v>35</v>
      </c>
      <c r="Z522" s="19">
        <v>0</v>
      </c>
      <c r="AA522" s="15">
        <v>0</v>
      </c>
      <c r="AB522" s="15" t="s">
        <v>35</v>
      </c>
    </row>
    <row r="523">
      <c r="A523" s="15">
        <v>519</v>
      </c>
      <c r="B523" s="15" t="s">
        <v>49</v>
      </c>
      <c r="C523" s="15" t="s">
        <v>756</v>
      </c>
      <c r="D523" s="15" t="s">
        <v>135</v>
      </c>
      <c r="E523" s="15" t="s">
        <v>116</v>
      </c>
      <c r="F523" s="15" t="s">
        <v>35</v>
      </c>
      <c r="G523" s="15" t="s">
        <v>74</v>
      </c>
      <c r="H523" s="15" t="s">
        <v>3753</v>
      </c>
      <c r="I523" s="15" t="s">
        <v>3754</v>
      </c>
      <c r="J523" s="15" t="s">
        <v>3755</v>
      </c>
      <c r="K523" s="15" t="s">
        <v>166</v>
      </c>
      <c r="L523" s="15" t="s">
        <v>167</v>
      </c>
      <c r="M523" s="15" t="s">
        <v>168</v>
      </c>
      <c r="N523" s="15" t="s">
        <v>169</v>
      </c>
      <c r="O523" s="15" t="s">
        <v>98</v>
      </c>
      <c r="P523" s="15" t="s">
        <v>2640</v>
      </c>
      <c r="Q523" s="15" t="s">
        <v>2641</v>
      </c>
      <c r="R523" s="16">
        <v>44329</v>
      </c>
      <c r="S523" s="17" t="s">
        <v>70</v>
      </c>
      <c r="T523" s="20">
        <f>HYPERLINK("https://vnm.spiral.com.vn//uploaded/20210513/3bd602a2-361c-4bc2-8139-ff8c820a4139.JPEG","15:53:21")</f>
      </c>
      <c r="U523" s="20">
        <f>HYPERLINK("https://vnm.spiral.com.vn//uploaded/20210513/a040bd63-7d44-4938-8e12-e9054f932090.JPEG","16:26:09")</f>
      </c>
      <c r="V523" s="18">
        <v>0.02277777777777778</v>
      </c>
      <c r="W523" s="15" t="s">
        <v>3756</v>
      </c>
      <c r="X523" s="15" t="s">
        <v>3757</v>
      </c>
      <c r="Y523" s="15" t="s">
        <v>35</v>
      </c>
      <c r="Z523" s="19">
        <v>0</v>
      </c>
      <c r="AA523" s="15">
        <v>0</v>
      </c>
      <c r="AB523" s="15" t="s">
        <v>35</v>
      </c>
    </row>
    <row r="524">
      <c r="A524" s="15">
        <v>520</v>
      </c>
      <c r="B524" s="15" t="s">
        <v>103</v>
      </c>
      <c r="C524" s="15" t="s">
        <v>186</v>
      </c>
      <c r="D524" s="15" t="s">
        <v>35</v>
      </c>
      <c r="E524" s="15" t="s">
        <v>35</v>
      </c>
      <c r="F524" s="15" t="s">
        <v>35</v>
      </c>
      <c r="G524" s="15" t="s">
        <v>36</v>
      </c>
      <c r="H524" s="15" t="s">
        <v>3758</v>
      </c>
      <c r="I524" s="15" t="s">
        <v>3759</v>
      </c>
      <c r="J524" s="15" t="s">
        <v>3760</v>
      </c>
      <c r="K524" s="15" t="s">
        <v>40</v>
      </c>
      <c r="L524" s="15" t="s">
        <v>41</v>
      </c>
      <c r="M524" s="15" t="s">
        <v>565</v>
      </c>
      <c r="N524" s="15" t="s">
        <v>566</v>
      </c>
      <c r="O524" s="15" t="s">
        <v>44</v>
      </c>
      <c r="P524" s="15" t="s">
        <v>3761</v>
      </c>
      <c r="Q524" s="15" t="s">
        <v>3762</v>
      </c>
      <c r="R524" s="16">
        <v>44329</v>
      </c>
      <c r="S524" s="17" t="s">
        <v>2925</v>
      </c>
      <c r="T524" s="20">
        <f>HYPERLINK("https://vnm.spiral.com.vn//uploaded/20210513/BBCE77A3-F177-4030-A226-1C18AB978457.jpg","16:26:05")</f>
      </c>
      <c r="U524" s="18"/>
      <c r="V524" s="18" t="s">
        <v>35</v>
      </c>
      <c r="W524" s="15" t="s">
        <v>3763</v>
      </c>
      <c r="X524" s="15" t="s">
        <v>35</v>
      </c>
      <c r="Y524" s="15" t="s">
        <v>35</v>
      </c>
      <c r="Z524" s="19">
        <v>0</v>
      </c>
      <c r="AA524" s="15">
        <v>0</v>
      </c>
      <c r="AB524" s="15" t="s">
        <v>35</v>
      </c>
    </row>
    <row r="525">
      <c r="A525" s="15">
        <v>521</v>
      </c>
      <c r="B525" s="15" t="s">
        <v>33</v>
      </c>
      <c r="C525" s="15" t="s">
        <v>765</v>
      </c>
      <c r="D525" s="15" t="s">
        <v>35</v>
      </c>
      <c r="E525" s="15" t="s">
        <v>35</v>
      </c>
      <c r="F525" s="15" t="s">
        <v>35</v>
      </c>
      <c r="G525" s="15" t="s">
        <v>74</v>
      </c>
      <c r="H525" s="15" t="s">
        <v>3764</v>
      </c>
      <c r="I525" s="15" t="s">
        <v>981</v>
      </c>
      <c r="J525" s="15" t="s">
        <v>3765</v>
      </c>
      <c r="K525" s="15" t="s">
        <v>769</v>
      </c>
      <c r="L525" s="15" t="s">
        <v>770</v>
      </c>
      <c r="M525" s="15" t="s">
        <v>1532</v>
      </c>
      <c r="N525" s="15" t="s">
        <v>1533</v>
      </c>
      <c r="O525" s="15" t="s">
        <v>156</v>
      </c>
      <c r="P525" s="15" t="s">
        <v>3766</v>
      </c>
      <c r="Q525" s="15" t="s">
        <v>3767</v>
      </c>
      <c r="R525" s="16">
        <v>44329</v>
      </c>
      <c r="S525" s="17" t="s">
        <v>3768</v>
      </c>
      <c r="T525" s="20">
        <f>HYPERLINK("https://vnm.spiral.com.vn//uploaded/20210513/42FF3089-5093-4FD9-B708-5112B3AD0A3E.jpg","05:51:43")</f>
      </c>
      <c r="U525" s="20">
        <f>HYPERLINK("https://vnm.spiral.com.vn//uploaded/20210513/8AB5F1F1-D8BF-46EF-A368-0A9552FE3810.jpg","16:25:53")</f>
      </c>
      <c r="V525" s="18">
        <v>0.44039351851851855</v>
      </c>
      <c r="W525" s="15" t="s">
        <v>3769</v>
      </c>
      <c r="X525" s="15" t="s">
        <v>3770</v>
      </c>
      <c r="Y525" s="15" t="s">
        <v>35</v>
      </c>
      <c r="Z525" s="19">
        <v>0</v>
      </c>
      <c r="AA525" s="15">
        <v>0</v>
      </c>
      <c r="AB525" s="15" t="s">
        <v>35</v>
      </c>
    </row>
    <row r="526">
      <c r="A526" s="15">
        <v>522</v>
      </c>
      <c r="B526" s="15" t="s">
        <v>87</v>
      </c>
      <c r="C526" s="15" t="s">
        <v>88</v>
      </c>
      <c r="D526" s="15" t="s">
        <v>148</v>
      </c>
      <c r="E526" s="15" t="s">
        <v>90</v>
      </c>
      <c r="F526" s="15" t="s">
        <v>35</v>
      </c>
      <c r="G526" s="15" t="s">
        <v>74</v>
      </c>
      <c r="H526" s="15" t="s">
        <v>3771</v>
      </c>
      <c r="I526" s="15" t="s">
        <v>3772</v>
      </c>
      <c r="J526" s="15" t="s">
        <v>3773</v>
      </c>
      <c r="K526" s="15" t="s">
        <v>1204</v>
      </c>
      <c r="L526" s="15" t="s">
        <v>1205</v>
      </c>
      <c r="M526" s="15" t="s">
        <v>3774</v>
      </c>
      <c r="N526" s="15" t="s">
        <v>3775</v>
      </c>
      <c r="O526" s="15" t="s">
        <v>156</v>
      </c>
      <c r="P526" s="15" t="s">
        <v>3776</v>
      </c>
      <c r="Q526" s="15" t="s">
        <v>3777</v>
      </c>
      <c r="R526" s="16">
        <v>44329</v>
      </c>
      <c r="S526" s="17" t="s">
        <v>159</v>
      </c>
      <c r="T526" s="20">
        <f>HYPERLINK("https://vnm.spiral.com.vn//uploaded/20210513/176023FD-D7B2-40A1-9840-1FEED2C21540.jpg","06:50:22")</f>
      </c>
      <c r="U526" s="20">
        <f>HYPERLINK("https://vnm.spiral.com.vn//uploaded/20210513/A5154F7D-46FB-4367-8FD1-9DF4D969191A.jpg","16:25:33")</f>
      </c>
      <c r="V526" s="18">
        <v>0.3994328703703704</v>
      </c>
      <c r="W526" s="15" t="s">
        <v>3778</v>
      </c>
      <c r="X526" s="15" t="s">
        <v>3779</v>
      </c>
      <c r="Y526" s="15" t="s">
        <v>35</v>
      </c>
      <c r="Z526" s="19">
        <v>0</v>
      </c>
      <c r="AA526" s="15">
        <v>0</v>
      </c>
      <c r="AB526" s="15" t="s">
        <v>35</v>
      </c>
    </row>
    <row r="527">
      <c r="A527" s="15">
        <v>523</v>
      </c>
      <c r="B527" s="15" t="s">
        <v>87</v>
      </c>
      <c r="C527" s="15" t="s">
        <v>88</v>
      </c>
      <c r="D527" s="15" t="s">
        <v>148</v>
      </c>
      <c r="E527" s="15" t="s">
        <v>90</v>
      </c>
      <c r="F527" s="15" t="s">
        <v>35</v>
      </c>
      <c r="G527" s="15" t="s">
        <v>74</v>
      </c>
      <c r="H527" s="15" t="s">
        <v>3771</v>
      </c>
      <c r="I527" s="15" t="s">
        <v>3772</v>
      </c>
      <c r="J527" s="15" t="s">
        <v>3773</v>
      </c>
      <c r="K527" s="15" t="s">
        <v>1204</v>
      </c>
      <c r="L527" s="15" t="s">
        <v>1205</v>
      </c>
      <c r="M527" s="15" t="s">
        <v>3774</v>
      </c>
      <c r="N527" s="15" t="s">
        <v>3775</v>
      </c>
      <c r="O527" s="15" t="s">
        <v>156</v>
      </c>
      <c r="P527" s="15" t="s">
        <v>3780</v>
      </c>
      <c r="Q527" s="15" t="s">
        <v>3781</v>
      </c>
      <c r="R527" s="16">
        <v>44329</v>
      </c>
      <c r="S527" s="17" t="s">
        <v>159</v>
      </c>
      <c r="T527" s="20">
        <f>HYPERLINK("https://vnm.spiral.com.vn//uploaded/20210513/A313C8F9-6654-47D1-96FB-3B4A46335D39.jpg","06:30:21")</f>
      </c>
      <c r="U527" s="20">
        <f>HYPERLINK("https://vnm.spiral.com.vn//uploaded/20210513/59D9C950-82D2-4C91-ABA5-31C05D2BB027.jpg","16:25:26")</f>
      </c>
      <c r="V527" s="18">
        <v>0.41325231481481484</v>
      </c>
      <c r="W527" s="15" t="s">
        <v>3782</v>
      </c>
      <c r="X527" s="15" t="s">
        <v>3783</v>
      </c>
      <c r="Y527" s="15" t="s">
        <v>35</v>
      </c>
      <c r="Z527" s="19">
        <v>0</v>
      </c>
      <c r="AA527" s="15">
        <v>0</v>
      </c>
      <c r="AB527" s="15" t="s">
        <v>35</v>
      </c>
    </row>
    <row r="528">
      <c r="A528" s="15">
        <v>524</v>
      </c>
      <c r="B528" s="15" t="s">
        <v>33</v>
      </c>
      <c r="C528" s="15" t="s">
        <v>2999</v>
      </c>
      <c r="D528" s="15" t="s">
        <v>35</v>
      </c>
      <c r="E528" s="15" t="s">
        <v>35</v>
      </c>
      <c r="F528" s="15" t="s">
        <v>35</v>
      </c>
      <c r="G528" s="15" t="s">
        <v>74</v>
      </c>
      <c r="H528" s="15" t="s">
        <v>3784</v>
      </c>
      <c r="I528" s="15" t="s">
        <v>3785</v>
      </c>
      <c r="J528" s="15" t="s">
        <v>3786</v>
      </c>
      <c r="K528" s="15" t="s">
        <v>2887</v>
      </c>
      <c r="L528" s="15" t="s">
        <v>2888</v>
      </c>
      <c r="M528" s="15" t="s">
        <v>2889</v>
      </c>
      <c r="N528" s="15" t="s">
        <v>2890</v>
      </c>
      <c r="O528" s="15" t="s">
        <v>156</v>
      </c>
      <c r="P528" s="15" t="s">
        <v>3787</v>
      </c>
      <c r="Q528" s="15" t="s">
        <v>3788</v>
      </c>
      <c r="R528" s="16">
        <v>44329</v>
      </c>
      <c r="S528" s="17" t="s">
        <v>159</v>
      </c>
      <c r="T528" s="20">
        <f>HYPERLINK("https://vnm.spiral.com.vn//uploaded/20210513/DE772EC6-0B00-4977-B5F7-875A234E9C9B.jpg","07:00:24")</f>
      </c>
      <c r="U528" s="20">
        <f>HYPERLINK("https://vnm.spiral.com.vn//uploaded/20210513/02222901-AF72-426E-93D8-2A370A5C3DA7.jpg","16:25:09")</f>
      </c>
      <c r="V528" s="18">
        <v>0.3921875</v>
      </c>
      <c r="W528" s="15" t="s">
        <v>3789</v>
      </c>
      <c r="X528" s="15" t="s">
        <v>3790</v>
      </c>
      <c r="Y528" s="15" t="s">
        <v>35</v>
      </c>
      <c r="Z528" s="19">
        <v>0</v>
      </c>
      <c r="AA528" s="15">
        <v>0</v>
      </c>
      <c r="AB528" s="15" t="s">
        <v>35</v>
      </c>
    </row>
    <row r="529">
      <c r="A529" s="15">
        <v>525</v>
      </c>
      <c r="B529" s="15" t="s">
        <v>87</v>
      </c>
      <c r="C529" s="15" t="s">
        <v>88</v>
      </c>
      <c r="D529" s="15" t="s">
        <v>135</v>
      </c>
      <c r="E529" s="15" t="s">
        <v>116</v>
      </c>
      <c r="F529" s="15" t="s">
        <v>35</v>
      </c>
      <c r="G529" s="15" t="s">
        <v>74</v>
      </c>
      <c r="H529" s="15" t="s">
        <v>3791</v>
      </c>
      <c r="I529" s="15" t="s">
        <v>3792</v>
      </c>
      <c r="J529" s="15" t="s">
        <v>3793</v>
      </c>
      <c r="K529" s="15" t="s">
        <v>390</v>
      </c>
      <c r="L529" s="15" t="s">
        <v>391</v>
      </c>
      <c r="M529" s="15" t="s">
        <v>392</v>
      </c>
      <c r="N529" s="15" t="s">
        <v>393</v>
      </c>
      <c r="O529" s="15" t="s">
        <v>82</v>
      </c>
      <c r="P529" s="15" t="s">
        <v>1265</v>
      </c>
      <c r="Q529" s="15" t="s">
        <v>1266</v>
      </c>
      <c r="R529" s="16">
        <v>44329</v>
      </c>
      <c r="S529" s="17" t="s">
        <v>70</v>
      </c>
      <c r="T529" s="20">
        <f>HYPERLINK("https://vnm.spiral.com.vn//uploaded/20210513/aa797538-a2f5-4935-9e79-23c42ca80147.JPEG","15:39:13")</f>
      </c>
      <c r="U529" s="20">
        <f>HYPERLINK("https://vnm.spiral.com.vn//uploaded/20210513/30017da1-0e45-4bfd-a046-f68e06d79c93.JPEG","16:24:51")</f>
      </c>
      <c r="V529" s="18">
        <v>0.031689814814814816</v>
      </c>
      <c r="W529" s="15" t="s">
        <v>3794</v>
      </c>
      <c r="X529" s="15" t="s">
        <v>3795</v>
      </c>
      <c r="Y529" s="15" t="s">
        <v>35</v>
      </c>
      <c r="Z529" s="19">
        <v>0</v>
      </c>
      <c r="AA529" s="15">
        <v>0</v>
      </c>
      <c r="AB529" s="15" t="s">
        <v>35</v>
      </c>
    </row>
    <row r="530">
      <c r="A530" s="15">
        <v>526</v>
      </c>
      <c r="B530" s="15" t="s">
        <v>343</v>
      </c>
      <c r="C530" s="15" t="s">
        <v>344</v>
      </c>
      <c r="D530" s="15" t="s">
        <v>432</v>
      </c>
      <c r="E530" s="15" t="s">
        <v>116</v>
      </c>
      <c r="F530" s="15" t="s">
        <v>35</v>
      </c>
      <c r="G530" s="15" t="s">
        <v>74</v>
      </c>
      <c r="H530" s="15" t="s">
        <v>3796</v>
      </c>
      <c r="I530" s="15" t="s">
        <v>3797</v>
      </c>
      <c r="J530" s="15" t="s">
        <v>3798</v>
      </c>
      <c r="K530" s="15" t="s">
        <v>1168</v>
      </c>
      <c r="L530" s="15" t="s">
        <v>1169</v>
      </c>
      <c r="M530" s="15" t="s">
        <v>1170</v>
      </c>
      <c r="N530" s="15" t="s">
        <v>1171</v>
      </c>
      <c r="O530" s="15" t="s">
        <v>82</v>
      </c>
      <c r="P530" s="15" t="s">
        <v>3799</v>
      </c>
      <c r="Q530" s="15" t="s">
        <v>3800</v>
      </c>
      <c r="R530" s="16">
        <v>44329</v>
      </c>
      <c r="S530" s="17" t="s">
        <v>70</v>
      </c>
      <c r="T530" s="20">
        <f>HYPERLINK("https://vnm.spiral.com.vn//uploaded/20210513/f9393a7e-d9a8-4bc3-bfb6-bdf698aa9768.JPEG","16:24:31")</f>
      </c>
      <c r="U530" s="18"/>
      <c r="V530" s="18" t="s">
        <v>35</v>
      </c>
      <c r="W530" s="15" t="s">
        <v>3801</v>
      </c>
      <c r="X530" s="15" t="s">
        <v>35</v>
      </c>
      <c r="Y530" s="15" t="s">
        <v>35</v>
      </c>
      <c r="Z530" s="19">
        <v>0</v>
      </c>
      <c r="AA530" s="15">
        <v>0</v>
      </c>
      <c r="AB530" s="15" t="s">
        <v>35</v>
      </c>
    </row>
    <row r="531">
      <c r="A531" s="15">
        <v>527</v>
      </c>
      <c r="B531" s="15" t="s">
        <v>33</v>
      </c>
      <c r="C531" s="15" t="s">
        <v>765</v>
      </c>
      <c r="D531" s="15" t="s">
        <v>35</v>
      </c>
      <c r="E531" s="15" t="s">
        <v>35</v>
      </c>
      <c r="F531" s="15" t="s">
        <v>35</v>
      </c>
      <c r="G531" s="15" t="s">
        <v>74</v>
      </c>
      <c r="H531" s="15" t="s">
        <v>3802</v>
      </c>
      <c r="I531" s="15" t="s">
        <v>3803</v>
      </c>
      <c r="J531" s="15" t="s">
        <v>3804</v>
      </c>
      <c r="K531" s="15" t="s">
        <v>769</v>
      </c>
      <c r="L531" s="15" t="s">
        <v>770</v>
      </c>
      <c r="M531" s="15" t="s">
        <v>1532</v>
      </c>
      <c r="N531" s="15" t="s">
        <v>1533</v>
      </c>
      <c r="O531" s="15" t="s">
        <v>82</v>
      </c>
      <c r="P531" s="15" t="s">
        <v>3805</v>
      </c>
      <c r="Q531" s="15" t="s">
        <v>3806</v>
      </c>
      <c r="R531" s="16">
        <v>44329</v>
      </c>
      <c r="S531" s="17" t="s">
        <v>70</v>
      </c>
      <c r="T531" s="20">
        <f>HYPERLINK("https://vnm.spiral.com.vn//uploaded/20210513/654512f5-0b8f-4ef9-9821-a50fdf1a826e.JPEG","16:24:31")</f>
      </c>
      <c r="U531" s="18"/>
      <c r="V531" s="18" t="s">
        <v>35</v>
      </c>
      <c r="W531" s="15" t="s">
        <v>3807</v>
      </c>
      <c r="X531" s="15" t="s">
        <v>35</v>
      </c>
      <c r="Y531" s="15" t="s">
        <v>35</v>
      </c>
      <c r="Z531" s="19">
        <v>0</v>
      </c>
      <c r="AA531" s="15">
        <v>0</v>
      </c>
      <c r="AB531" s="15" t="s">
        <v>35</v>
      </c>
    </row>
    <row r="532">
      <c r="A532" s="15">
        <v>528</v>
      </c>
      <c r="B532" s="15" t="s">
        <v>87</v>
      </c>
      <c r="C532" s="15" t="s">
        <v>88</v>
      </c>
      <c r="D532" s="15" t="s">
        <v>432</v>
      </c>
      <c r="E532" s="15" t="s">
        <v>116</v>
      </c>
      <c r="F532" s="15" t="s">
        <v>35</v>
      </c>
      <c r="G532" s="15" t="s">
        <v>74</v>
      </c>
      <c r="H532" s="15" t="s">
        <v>3808</v>
      </c>
      <c r="I532" s="15" t="s">
        <v>3809</v>
      </c>
      <c r="J532" s="15" t="s">
        <v>3810</v>
      </c>
      <c r="K532" s="15" t="s">
        <v>625</v>
      </c>
      <c r="L532" s="15" t="s">
        <v>626</v>
      </c>
      <c r="M532" s="15" t="s">
        <v>1022</v>
      </c>
      <c r="N532" s="15" t="s">
        <v>1023</v>
      </c>
      <c r="O532" s="15" t="s">
        <v>82</v>
      </c>
      <c r="P532" s="15" t="s">
        <v>1024</v>
      </c>
      <c r="Q532" s="15" t="s">
        <v>1025</v>
      </c>
      <c r="R532" s="16">
        <v>44329</v>
      </c>
      <c r="S532" s="17" t="s">
        <v>70</v>
      </c>
      <c r="T532" s="20">
        <f>HYPERLINK("https://vnm.spiral.com.vn//uploaded/20210513/EA8C9FBB-4668-40C8-9620-E69AB14ADA38.jpg","16:04:46")</f>
      </c>
      <c r="U532" s="20">
        <f>HYPERLINK("https://vnm.spiral.com.vn//uploaded/20210513/AC1B146D-99F0-4F81-B767-C0D48B7CDC82.jpg","16:24:26")</f>
      </c>
      <c r="V532" s="18">
        <v>0.013657407407407408</v>
      </c>
      <c r="W532" s="15" t="s">
        <v>3811</v>
      </c>
      <c r="X532" s="15" t="s">
        <v>3812</v>
      </c>
      <c r="Y532" s="15" t="s">
        <v>35</v>
      </c>
      <c r="Z532" s="19">
        <v>0</v>
      </c>
      <c r="AA532" s="15">
        <v>0</v>
      </c>
      <c r="AB532" s="15" t="s">
        <v>35</v>
      </c>
    </row>
    <row r="533">
      <c r="A533" s="15">
        <v>529</v>
      </c>
      <c r="B533" s="15" t="s">
        <v>61</v>
      </c>
      <c r="C533" s="15" t="s">
        <v>442</v>
      </c>
      <c r="D533" s="15" t="s">
        <v>135</v>
      </c>
      <c r="E533" s="15" t="s">
        <v>116</v>
      </c>
      <c r="F533" s="15" t="s">
        <v>35</v>
      </c>
      <c r="G533" s="15" t="s">
        <v>74</v>
      </c>
      <c r="H533" s="15" t="s">
        <v>3813</v>
      </c>
      <c r="I533" s="15" t="s">
        <v>3814</v>
      </c>
      <c r="J533" s="15" t="s">
        <v>3815</v>
      </c>
      <c r="K533" s="15" t="s">
        <v>152</v>
      </c>
      <c r="L533" s="15" t="s">
        <v>153</v>
      </c>
      <c r="M533" s="15" t="s">
        <v>232</v>
      </c>
      <c r="N533" s="15" t="s">
        <v>233</v>
      </c>
      <c r="O533" s="15" t="s">
        <v>82</v>
      </c>
      <c r="P533" s="15" t="s">
        <v>446</v>
      </c>
      <c r="Q533" s="15" t="s">
        <v>447</v>
      </c>
      <c r="R533" s="16">
        <v>44329</v>
      </c>
      <c r="S533" s="17" t="s">
        <v>70</v>
      </c>
      <c r="T533" s="20">
        <f>HYPERLINK("https://vnm.spiral.com.vn//uploaded/20210513/9e96a5b9-03ad-4104-8b0e-a44740878e2c.JPEG","16:08:35")</f>
      </c>
      <c r="U533" s="20">
        <f>HYPERLINK("https://vnm.spiral.com.vn//uploaded/20210513/8e1e5ba9-3f73-4a1a-a3f4-a53c758bc798.JPEG","16:24:11")</f>
      </c>
      <c r="V533" s="18">
        <v>0.010833333333333334</v>
      </c>
      <c r="W533" s="15" t="s">
        <v>3816</v>
      </c>
      <c r="X533" s="15" t="s">
        <v>3817</v>
      </c>
      <c r="Y533" s="15" t="s">
        <v>35</v>
      </c>
      <c r="Z533" s="19">
        <v>0</v>
      </c>
      <c r="AA533" s="15">
        <v>0</v>
      </c>
      <c r="AB533" s="15" t="s">
        <v>35</v>
      </c>
    </row>
    <row r="534">
      <c r="A534" s="15">
        <v>530</v>
      </c>
      <c r="B534" s="15" t="s">
        <v>87</v>
      </c>
      <c r="C534" s="15" t="s">
        <v>88</v>
      </c>
      <c r="D534" s="15" t="s">
        <v>432</v>
      </c>
      <c r="E534" s="15" t="s">
        <v>116</v>
      </c>
      <c r="F534" s="15" t="s">
        <v>35</v>
      </c>
      <c r="G534" s="15" t="s">
        <v>74</v>
      </c>
      <c r="H534" s="15" t="s">
        <v>3818</v>
      </c>
      <c r="I534" s="15" t="s">
        <v>3819</v>
      </c>
      <c r="J534" s="15" t="s">
        <v>3820</v>
      </c>
      <c r="K534" s="15" t="s">
        <v>625</v>
      </c>
      <c r="L534" s="15" t="s">
        <v>626</v>
      </c>
      <c r="M534" s="15" t="s">
        <v>1022</v>
      </c>
      <c r="N534" s="15" t="s">
        <v>1023</v>
      </c>
      <c r="O534" s="15" t="s">
        <v>82</v>
      </c>
      <c r="P534" s="15" t="s">
        <v>2241</v>
      </c>
      <c r="Q534" s="15" t="s">
        <v>2242</v>
      </c>
      <c r="R534" s="16">
        <v>44329</v>
      </c>
      <c r="S534" s="17" t="s">
        <v>70</v>
      </c>
      <c r="T534" s="20">
        <f>HYPERLINK("https://vnm.spiral.com.vn//uploaded/20210513/DDDBDFDC-CD30-4E57-95F8-C02574A9E244.jpg","15:47:33")</f>
      </c>
      <c r="U534" s="20">
        <f>HYPERLINK("https://vnm.spiral.com.vn//uploaded/20210513/AF6D9E47-F1CA-4D8C-93AC-6A9A1F77799D.jpg","16:24:06")</f>
      </c>
      <c r="V534" s="18">
        <v>0.025381944444444443</v>
      </c>
      <c r="W534" s="15" t="s">
        <v>3821</v>
      </c>
      <c r="X534" s="15" t="s">
        <v>3822</v>
      </c>
      <c r="Y534" s="15" t="s">
        <v>35</v>
      </c>
      <c r="Z534" s="19">
        <v>0</v>
      </c>
      <c r="AA534" s="15">
        <v>0</v>
      </c>
      <c r="AB534" s="15" t="s">
        <v>35</v>
      </c>
    </row>
    <row r="535">
      <c r="A535" s="15">
        <v>531</v>
      </c>
      <c r="B535" s="15" t="s">
        <v>87</v>
      </c>
      <c r="C535" s="15" t="s">
        <v>88</v>
      </c>
      <c r="D535" s="15" t="s">
        <v>148</v>
      </c>
      <c r="E535" s="15" t="s">
        <v>90</v>
      </c>
      <c r="F535" s="15" t="s">
        <v>35</v>
      </c>
      <c r="G535" s="15" t="s">
        <v>74</v>
      </c>
      <c r="H535" s="15" t="s">
        <v>3823</v>
      </c>
      <c r="I535" s="15" t="s">
        <v>3824</v>
      </c>
      <c r="J535" s="15" t="s">
        <v>3825</v>
      </c>
      <c r="K535" s="15" t="s">
        <v>1204</v>
      </c>
      <c r="L535" s="15" t="s">
        <v>1205</v>
      </c>
      <c r="M535" s="15" t="s">
        <v>1965</v>
      </c>
      <c r="N535" s="15" t="s">
        <v>1966</v>
      </c>
      <c r="O535" s="15" t="s">
        <v>156</v>
      </c>
      <c r="P535" s="15" t="s">
        <v>3826</v>
      </c>
      <c r="Q535" s="15" t="s">
        <v>3827</v>
      </c>
      <c r="R535" s="16">
        <v>44329</v>
      </c>
      <c r="S535" s="17" t="s">
        <v>159</v>
      </c>
      <c r="T535" s="20">
        <f>HYPERLINK("https://vnm.spiral.com.vn//uploaded/20210513/BF124B0B-C7F1-41A6-B714-911DEC2F28A4.jpg","06:50:48")</f>
      </c>
      <c r="U535" s="20">
        <f>HYPERLINK("https://vnm.spiral.com.vn//uploaded/20210513/C10E4A8A-8C1D-444C-8771-F7D2135018C0.jpg","16:24:02")</f>
      </c>
      <c r="V535" s="18">
        <v>0.3980787037037037</v>
      </c>
      <c r="W535" s="15" t="s">
        <v>3828</v>
      </c>
      <c r="X535" s="15" t="s">
        <v>3829</v>
      </c>
      <c r="Y535" s="15" t="s">
        <v>35</v>
      </c>
      <c r="Z535" s="19">
        <v>0</v>
      </c>
      <c r="AA535" s="15">
        <v>0</v>
      </c>
      <c r="AB535" s="15" t="s">
        <v>35</v>
      </c>
    </row>
    <row r="536">
      <c r="A536" s="15">
        <v>532</v>
      </c>
      <c r="B536" s="15" t="s">
        <v>343</v>
      </c>
      <c r="C536" s="15" t="s">
        <v>2135</v>
      </c>
      <c r="D536" s="15" t="s">
        <v>432</v>
      </c>
      <c r="E536" s="15" t="s">
        <v>116</v>
      </c>
      <c r="F536" s="15" t="s">
        <v>35</v>
      </c>
      <c r="G536" s="15" t="s">
        <v>74</v>
      </c>
      <c r="H536" s="15" t="s">
        <v>3830</v>
      </c>
      <c r="I536" s="15" t="s">
        <v>3831</v>
      </c>
      <c r="J536" s="15" t="s">
        <v>3832</v>
      </c>
      <c r="K536" s="15" t="s">
        <v>1168</v>
      </c>
      <c r="L536" s="15" t="s">
        <v>1169</v>
      </c>
      <c r="M536" s="15" t="s">
        <v>1170</v>
      </c>
      <c r="N536" s="15" t="s">
        <v>1171</v>
      </c>
      <c r="O536" s="15" t="s">
        <v>82</v>
      </c>
      <c r="P536" s="15" t="s">
        <v>2139</v>
      </c>
      <c r="Q536" s="15" t="s">
        <v>2140</v>
      </c>
      <c r="R536" s="16">
        <v>44329</v>
      </c>
      <c r="S536" s="17" t="s">
        <v>70</v>
      </c>
      <c r="T536" s="20">
        <f>HYPERLINK("https://vnm.spiral.com.vn//uploaded/20210513/2720BBFE-53BE-4A37-9A9F-883317275C95.jpg","15:24:33")</f>
      </c>
      <c r="U536" s="20">
        <f>HYPERLINK("https://vnm.spiral.com.vn//uploaded/20210513/8EC59526-CC07-4B27-965A-FBD2F836F424.jpg","16:23:37")</f>
      </c>
      <c r="V536" s="18">
        <v>0.04101851851851852</v>
      </c>
      <c r="W536" s="15" t="s">
        <v>3833</v>
      </c>
      <c r="X536" s="15" t="s">
        <v>3834</v>
      </c>
      <c r="Y536" s="15" t="s">
        <v>35</v>
      </c>
      <c r="Z536" s="19">
        <v>0</v>
      </c>
      <c r="AA536" s="15">
        <v>0</v>
      </c>
      <c r="AB536" s="15" t="s">
        <v>35</v>
      </c>
    </row>
    <row r="537">
      <c r="A537" s="15">
        <v>533</v>
      </c>
      <c r="B537" s="15" t="s">
        <v>33</v>
      </c>
      <c r="C537" s="15" t="s">
        <v>765</v>
      </c>
      <c r="D537" s="15" t="s">
        <v>35</v>
      </c>
      <c r="E537" s="15" t="s">
        <v>35</v>
      </c>
      <c r="F537" s="15" t="s">
        <v>35</v>
      </c>
      <c r="G537" s="15" t="s">
        <v>74</v>
      </c>
      <c r="H537" s="15" t="s">
        <v>3835</v>
      </c>
      <c r="I537" s="15" t="s">
        <v>767</v>
      </c>
      <c r="J537" s="15" t="s">
        <v>3836</v>
      </c>
      <c r="K537" s="15" t="s">
        <v>540</v>
      </c>
      <c r="L537" s="15" t="s">
        <v>541</v>
      </c>
      <c r="M537" s="15" t="s">
        <v>769</v>
      </c>
      <c r="N537" s="15" t="s">
        <v>770</v>
      </c>
      <c r="O537" s="15" t="s">
        <v>82</v>
      </c>
      <c r="P537" s="15" t="s">
        <v>3837</v>
      </c>
      <c r="Q537" s="15" t="s">
        <v>3838</v>
      </c>
      <c r="R537" s="16">
        <v>44329</v>
      </c>
      <c r="S537" s="17" t="s">
        <v>70</v>
      </c>
      <c r="T537" s="20">
        <f>HYPERLINK("https://vnm.spiral.com.vn//uploaded/20210513/e2ee9b86-84a0-4234-b62a-523ac7729122.JPEG","07:52:40")</f>
      </c>
      <c r="U537" s="20">
        <f>HYPERLINK("https://vnm.spiral.com.vn//uploaded/20210513/c6b5605d-e16b-4c25-ae00-04689a7ef791.JPEG","16:23:15")</f>
      </c>
      <c r="V537" s="18">
        <v>0.35457175925925927</v>
      </c>
      <c r="W537" s="15" t="s">
        <v>3839</v>
      </c>
      <c r="X537" s="15" t="s">
        <v>3840</v>
      </c>
      <c r="Y537" s="15" t="s">
        <v>35</v>
      </c>
      <c r="Z537" s="19">
        <v>0</v>
      </c>
      <c r="AA537" s="15">
        <v>0</v>
      </c>
      <c r="AB537" s="15" t="s">
        <v>35</v>
      </c>
    </row>
    <row r="538">
      <c r="A538" s="15">
        <v>534</v>
      </c>
      <c r="B538" s="15" t="s">
        <v>61</v>
      </c>
      <c r="C538" s="15" t="s">
        <v>737</v>
      </c>
      <c r="D538" s="15" t="s">
        <v>35</v>
      </c>
      <c r="E538" s="15" t="s">
        <v>35</v>
      </c>
      <c r="F538" s="15" t="s">
        <v>35</v>
      </c>
      <c r="G538" s="15" t="s">
        <v>36</v>
      </c>
      <c r="H538" s="15" t="s">
        <v>3841</v>
      </c>
      <c r="I538" s="15" t="s">
        <v>3842</v>
      </c>
      <c r="J538" s="15" t="s">
        <v>3843</v>
      </c>
      <c r="K538" s="15" t="s">
        <v>40</v>
      </c>
      <c r="L538" s="15" t="s">
        <v>41</v>
      </c>
      <c r="M538" s="15" t="s">
        <v>205</v>
      </c>
      <c r="N538" s="15" t="s">
        <v>206</v>
      </c>
      <c r="O538" s="15" t="s">
        <v>44</v>
      </c>
      <c r="P538" s="15" t="s">
        <v>3844</v>
      </c>
      <c r="Q538" s="15" t="s">
        <v>3845</v>
      </c>
      <c r="R538" s="16">
        <v>44329</v>
      </c>
      <c r="S538" s="17" t="s">
        <v>159</v>
      </c>
      <c r="T538" s="20">
        <f>HYPERLINK("https://vnm.spiral.com.vn//uploaded/20210513/E2984569-2CF2-4033-B30E-4624F89AC048.jpg","07:14:05")</f>
      </c>
      <c r="U538" s="20">
        <f>HYPERLINK("https://vnm.spiral.com.vn//uploaded/20210513/9F947F23-4682-45F0-A4EF-4600AAA7D39D.jpg","16:22:57")</f>
      </c>
      <c r="V538" s="18">
        <v>0.3811574074074074</v>
      </c>
      <c r="W538" s="15" t="s">
        <v>3846</v>
      </c>
      <c r="X538" s="15" t="s">
        <v>3847</v>
      </c>
      <c r="Y538" s="15" t="s">
        <v>35</v>
      </c>
      <c r="Z538" s="19">
        <v>0</v>
      </c>
      <c r="AA538" s="15">
        <v>0</v>
      </c>
      <c r="AB538" s="15" t="s">
        <v>35</v>
      </c>
    </row>
    <row r="539">
      <c r="A539" s="15">
        <v>535</v>
      </c>
      <c r="B539" s="15" t="s">
        <v>61</v>
      </c>
      <c r="C539" s="15" t="s">
        <v>147</v>
      </c>
      <c r="D539" s="15" t="s">
        <v>35</v>
      </c>
      <c r="E539" s="15" t="s">
        <v>35</v>
      </c>
      <c r="F539" s="15" t="s">
        <v>3172</v>
      </c>
      <c r="G539" s="15" t="s">
        <v>36</v>
      </c>
      <c r="H539" s="15" t="s">
        <v>3848</v>
      </c>
      <c r="I539" s="15" t="s">
        <v>3849</v>
      </c>
      <c r="J539" s="15" t="s">
        <v>3850</v>
      </c>
      <c r="K539" s="15" t="s">
        <v>40</v>
      </c>
      <c r="L539" s="15" t="s">
        <v>41</v>
      </c>
      <c r="M539" s="15" t="s">
        <v>66</v>
      </c>
      <c r="N539" s="15" t="s">
        <v>67</v>
      </c>
      <c r="O539" s="15" t="s">
        <v>44</v>
      </c>
      <c r="P539" s="15" t="s">
        <v>3851</v>
      </c>
      <c r="Q539" s="15" t="s">
        <v>3852</v>
      </c>
      <c r="R539" s="16">
        <v>44329</v>
      </c>
      <c r="S539" s="17" t="s">
        <v>1696</v>
      </c>
      <c r="T539" s="20">
        <f>HYPERLINK("https://vnm.spiral.com.vn//uploaded/20210513/4F6D3745-4F4E-4090-9748-532586F501D7.jpg","07:24:41")</f>
      </c>
      <c r="U539" s="20">
        <f>HYPERLINK("https://vnm.spiral.com.vn//uploaded/20210513/4336B925-E052-453B-96F4-753EF1892DF2.jpg","16:22:54")</f>
      </c>
      <c r="V539" s="18">
        <v>0.37376157407407407</v>
      </c>
      <c r="W539" s="15" t="s">
        <v>3853</v>
      </c>
      <c r="X539" s="15" t="s">
        <v>3854</v>
      </c>
      <c r="Y539" s="15" t="s">
        <v>35</v>
      </c>
      <c r="Z539" s="19">
        <v>0</v>
      </c>
      <c r="AA539" s="15">
        <v>0</v>
      </c>
      <c r="AB539" s="15" t="s">
        <v>35</v>
      </c>
    </row>
    <row r="540">
      <c r="A540" s="15">
        <v>536</v>
      </c>
      <c r="B540" s="15" t="s">
        <v>343</v>
      </c>
      <c r="C540" s="15" t="s">
        <v>344</v>
      </c>
      <c r="D540" s="15" t="s">
        <v>432</v>
      </c>
      <c r="E540" s="15" t="s">
        <v>116</v>
      </c>
      <c r="F540" s="15" t="s">
        <v>35</v>
      </c>
      <c r="G540" s="15" t="s">
        <v>74</v>
      </c>
      <c r="H540" s="15" t="s">
        <v>3855</v>
      </c>
      <c r="I540" s="15" t="s">
        <v>3856</v>
      </c>
      <c r="J540" s="15" t="s">
        <v>3857</v>
      </c>
      <c r="K540" s="15" t="s">
        <v>512</v>
      </c>
      <c r="L540" s="15" t="s">
        <v>513</v>
      </c>
      <c r="M540" s="15" t="s">
        <v>514</v>
      </c>
      <c r="N540" s="15" t="s">
        <v>515</v>
      </c>
      <c r="O540" s="15" t="s">
        <v>82</v>
      </c>
      <c r="P540" s="15" t="s">
        <v>523</v>
      </c>
      <c r="Q540" s="15" t="s">
        <v>524</v>
      </c>
      <c r="R540" s="16">
        <v>44329</v>
      </c>
      <c r="S540" s="17" t="s">
        <v>70</v>
      </c>
      <c r="T540" s="20">
        <f>HYPERLINK("https://vnm.spiral.com.vn//uploaded/20210513/EF04C7A6-0F03-41B7-ACB0-BFEF694C4562.jpg","15:43:07")</f>
      </c>
      <c r="U540" s="20">
        <f>HYPERLINK("https://vnm.spiral.com.vn//uploaded/20210513/BD690AB6-D777-4459-B8D7-FDBC2F6C8F29.jpg","16:22:31")</f>
      </c>
      <c r="V540" s="18">
        <v>0.02736111111111111</v>
      </c>
      <c r="W540" s="15" t="s">
        <v>3858</v>
      </c>
      <c r="X540" s="15" t="s">
        <v>3859</v>
      </c>
      <c r="Y540" s="15" t="s">
        <v>35</v>
      </c>
      <c r="Z540" s="19">
        <v>0</v>
      </c>
      <c r="AA540" s="15">
        <v>0</v>
      </c>
      <c r="AB540" s="15" t="s">
        <v>35</v>
      </c>
    </row>
    <row r="541">
      <c r="A541" s="15">
        <v>537</v>
      </c>
      <c r="B541" s="15" t="s">
        <v>246</v>
      </c>
      <c r="C541" s="15" t="s">
        <v>259</v>
      </c>
      <c r="D541" s="15" t="s">
        <v>432</v>
      </c>
      <c r="E541" s="15" t="s">
        <v>116</v>
      </c>
      <c r="F541" s="15" t="s">
        <v>35</v>
      </c>
      <c r="G541" s="15" t="s">
        <v>74</v>
      </c>
      <c r="H541" s="15" t="s">
        <v>3860</v>
      </c>
      <c r="I541" s="15" t="s">
        <v>3861</v>
      </c>
      <c r="J541" s="15" t="s">
        <v>3862</v>
      </c>
      <c r="K541" s="15" t="s">
        <v>166</v>
      </c>
      <c r="L541" s="15" t="s">
        <v>167</v>
      </c>
      <c r="M541" s="15" t="s">
        <v>263</v>
      </c>
      <c r="N541" s="15" t="s">
        <v>264</v>
      </c>
      <c r="O541" s="15" t="s">
        <v>82</v>
      </c>
      <c r="P541" s="15" t="s">
        <v>2216</v>
      </c>
      <c r="Q541" s="15" t="s">
        <v>2217</v>
      </c>
      <c r="R541" s="16">
        <v>44329</v>
      </c>
      <c r="S541" s="17" t="s">
        <v>70</v>
      </c>
      <c r="T541" s="20">
        <f>HYPERLINK("https://vnm.spiral.com.vn//uploaded/20210513/a8d3b80c-5856-4061-a3e0-74c1f5560999.JPEG","16:04:42")</f>
      </c>
      <c r="U541" s="20">
        <f>HYPERLINK("https://vnm.spiral.com.vn//uploaded/20210513/38fd35e6-d3a4-4a32-a836-6afe305dfd90.JPEG","16:22:04")</f>
      </c>
      <c r="V541" s="18">
        <v>0.012060185185185186</v>
      </c>
      <c r="W541" s="15" t="s">
        <v>3863</v>
      </c>
      <c r="X541" s="15" t="s">
        <v>3864</v>
      </c>
      <c r="Y541" s="15" t="s">
        <v>35</v>
      </c>
      <c r="Z541" s="19">
        <v>0</v>
      </c>
      <c r="AA541" s="15">
        <v>0</v>
      </c>
      <c r="AB541" s="15" t="s">
        <v>35</v>
      </c>
    </row>
    <row r="542">
      <c r="A542" s="15">
        <v>538</v>
      </c>
      <c r="B542" s="15" t="s">
        <v>61</v>
      </c>
      <c r="C542" s="15" t="s">
        <v>62</v>
      </c>
      <c r="D542" s="15" t="s">
        <v>35</v>
      </c>
      <c r="E542" s="15" t="s">
        <v>35</v>
      </c>
      <c r="F542" s="15" t="s">
        <v>3865</v>
      </c>
      <c r="G542" s="15" t="s">
        <v>36</v>
      </c>
      <c r="H542" s="15" t="s">
        <v>3866</v>
      </c>
      <c r="I542" s="15" t="s">
        <v>3867</v>
      </c>
      <c r="J542" s="15" t="s">
        <v>3868</v>
      </c>
      <c r="K542" s="15" t="s">
        <v>40</v>
      </c>
      <c r="L542" s="15" t="s">
        <v>41</v>
      </c>
      <c r="M542" s="15" t="s">
        <v>66</v>
      </c>
      <c r="N542" s="15" t="s">
        <v>67</v>
      </c>
      <c r="O542" s="15" t="s">
        <v>44</v>
      </c>
      <c r="P542" s="15" t="s">
        <v>3869</v>
      </c>
      <c r="Q542" s="15" t="s">
        <v>3870</v>
      </c>
      <c r="R542" s="16">
        <v>44329</v>
      </c>
      <c r="S542" s="17" t="s">
        <v>1112</v>
      </c>
      <c r="T542" s="20">
        <f>HYPERLINK("https://vnm.spiral.com.vn//uploaded/20210513/E821752D-B740-4952-8882-7007CD296E03.jpg","08:06:54")</f>
      </c>
      <c r="U542" s="20">
        <f>HYPERLINK("https://vnm.spiral.com.vn//uploaded/20210513/A3954752-B2AE-452C-A142-4DA209D5D6CB.jpg","16:21:44")</f>
      </c>
      <c r="V542" s="18">
        <v>0.3436342592592593</v>
      </c>
      <c r="W542" s="15" t="s">
        <v>3871</v>
      </c>
      <c r="X542" s="15" t="s">
        <v>3872</v>
      </c>
      <c r="Y542" s="15" t="s">
        <v>35</v>
      </c>
      <c r="Z542" s="19">
        <v>0</v>
      </c>
      <c r="AA542" s="15">
        <v>0</v>
      </c>
      <c r="AB542" s="15" t="s">
        <v>35</v>
      </c>
    </row>
    <row r="543">
      <c r="A543" s="15">
        <v>539</v>
      </c>
      <c r="B543" s="15" t="s">
        <v>61</v>
      </c>
      <c r="C543" s="15" t="s">
        <v>62</v>
      </c>
      <c r="D543" s="15" t="s">
        <v>35</v>
      </c>
      <c r="E543" s="15" t="s">
        <v>35</v>
      </c>
      <c r="F543" s="15" t="s">
        <v>35</v>
      </c>
      <c r="G543" s="15" t="s">
        <v>36</v>
      </c>
      <c r="H543" s="15" t="s">
        <v>3873</v>
      </c>
      <c r="I543" s="15" t="s">
        <v>3874</v>
      </c>
      <c r="J543" s="15" t="s">
        <v>3875</v>
      </c>
      <c r="K543" s="15" t="s">
        <v>40</v>
      </c>
      <c r="L543" s="15" t="s">
        <v>41</v>
      </c>
      <c r="M543" s="15" t="s">
        <v>66</v>
      </c>
      <c r="N543" s="15" t="s">
        <v>67</v>
      </c>
      <c r="O543" s="15" t="s">
        <v>44</v>
      </c>
      <c r="P543" s="15" t="s">
        <v>3876</v>
      </c>
      <c r="Q543" s="15" t="s">
        <v>3877</v>
      </c>
      <c r="R543" s="16">
        <v>44329</v>
      </c>
      <c r="S543" s="17" t="s">
        <v>1696</v>
      </c>
      <c r="T543" s="20">
        <f>HYPERLINK("https://vnm.spiral.com.vn//uploaded/20210513/5a1448b3-78c6-4414-b03c-b0ac45941e02.JPEG","06:50:05")</f>
      </c>
      <c r="U543" s="20">
        <f>HYPERLINK("https://vnm.spiral.com.vn//uploaded/20210513/c7c8b146-bd06-460e-96e8-65d6d93b0017.JPEG","16:21:44")</f>
      </c>
      <c r="V543" s="18">
        <v>0.39697916666666666</v>
      </c>
      <c r="W543" s="15" t="s">
        <v>3878</v>
      </c>
      <c r="X543" s="15" t="s">
        <v>3879</v>
      </c>
      <c r="Y543" s="15" t="s">
        <v>35</v>
      </c>
      <c r="Z543" s="19">
        <v>0</v>
      </c>
      <c r="AA543" s="15">
        <v>0</v>
      </c>
      <c r="AB543" s="15" t="s">
        <v>35</v>
      </c>
    </row>
    <row r="544">
      <c r="A544" s="15">
        <v>540</v>
      </c>
      <c r="B544" s="15" t="s">
        <v>61</v>
      </c>
      <c r="C544" s="15" t="s">
        <v>398</v>
      </c>
      <c r="D544" s="15" t="s">
        <v>35</v>
      </c>
      <c r="E544" s="15" t="s">
        <v>35</v>
      </c>
      <c r="F544" s="15" t="s">
        <v>35</v>
      </c>
      <c r="G544" s="15" t="s">
        <v>36</v>
      </c>
      <c r="H544" s="15" t="s">
        <v>3880</v>
      </c>
      <c r="I544" s="15" t="s">
        <v>3881</v>
      </c>
      <c r="J544" s="15" t="s">
        <v>3882</v>
      </c>
      <c r="K544" s="15" t="s">
        <v>40</v>
      </c>
      <c r="L544" s="15" t="s">
        <v>41</v>
      </c>
      <c r="M544" s="15" t="s">
        <v>66</v>
      </c>
      <c r="N544" s="15" t="s">
        <v>67</v>
      </c>
      <c r="O544" s="15" t="s">
        <v>44</v>
      </c>
      <c r="P544" s="15" t="s">
        <v>3883</v>
      </c>
      <c r="Q544" s="15" t="s">
        <v>3884</v>
      </c>
      <c r="R544" s="16">
        <v>44329</v>
      </c>
      <c r="S544" s="17" t="s">
        <v>3885</v>
      </c>
      <c r="T544" s="20">
        <f>HYPERLINK("https://vnm.spiral.com.vn//uploaded/20210513/0f3b564d-8ab8-448f-9245-6c902a608863.JPEG","07:14:14")</f>
      </c>
      <c r="U544" s="20">
        <f>HYPERLINK("https://vnm.spiral.com.vn//uploaded/20210513/33cdc896-b80a-48ba-9e2f-ed2b2b29ac52.JPEG","16:21:39")</f>
      </c>
      <c r="V544" s="18">
        <v>0.38015046296296295</v>
      </c>
      <c r="W544" s="15" t="s">
        <v>3886</v>
      </c>
      <c r="X544" s="15" t="s">
        <v>3887</v>
      </c>
      <c r="Y544" s="15" t="s">
        <v>35</v>
      </c>
      <c r="Z544" s="19">
        <v>0</v>
      </c>
      <c r="AA544" s="15">
        <v>0</v>
      </c>
      <c r="AB544" s="15" t="s">
        <v>35</v>
      </c>
    </row>
    <row r="545">
      <c r="A545" s="15">
        <v>541</v>
      </c>
      <c r="B545" s="15" t="s">
        <v>87</v>
      </c>
      <c r="C545" s="15" t="s">
        <v>88</v>
      </c>
      <c r="D545" s="15" t="s">
        <v>35</v>
      </c>
      <c r="E545" s="15" t="s">
        <v>35</v>
      </c>
      <c r="F545" s="15" t="s">
        <v>1191</v>
      </c>
      <c r="G545" s="15" t="s">
        <v>36</v>
      </c>
      <c r="H545" s="15" t="s">
        <v>3888</v>
      </c>
      <c r="I545" s="15" t="s">
        <v>3889</v>
      </c>
      <c r="J545" s="15" t="s">
        <v>3890</v>
      </c>
      <c r="K545" s="15" t="s">
        <v>40</v>
      </c>
      <c r="L545" s="15" t="s">
        <v>41</v>
      </c>
      <c r="M545" s="15" t="s">
        <v>1195</v>
      </c>
      <c r="N545" s="15" t="s">
        <v>1196</v>
      </c>
      <c r="O545" s="15" t="s">
        <v>44</v>
      </c>
      <c r="P545" s="15" t="s">
        <v>3891</v>
      </c>
      <c r="Q545" s="15" t="s">
        <v>3892</v>
      </c>
      <c r="R545" s="16">
        <v>44329</v>
      </c>
      <c r="S545" s="17" t="s">
        <v>2003</v>
      </c>
      <c r="T545" s="20">
        <f>HYPERLINK("https://vnm.spiral.com.vn//uploaded/20210513/476B14E9-DC49-45CB-9ADE-EE9F9BC7E8D0.jpg","16:20:41")</f>
      </c>
      <c r="U545" s="18"/>
      <c r="V545" s="18" t="s">
        <v>35</v>
      </c>
      <c r="W545" s="15" t="s">
        <v>3893</v>
      </c>
      <c r="X545" s="15" t="s">
        <v>35</v>
      </c>
      <c r="Y545" s="15" t="s">
        <v>35</v>
      </c>
      <c r="Z545" s="19">
        <v>0</v>
      </c>
      <c r="AA545" s="15">
        <v>0</v>
      </c>
      <c r="AB545" s="15" t="s">
        <v>35</v>
      </c>
    </row>
    <row r="546">
      <c r="A546" s="15">
        <v>542</v>
      </c>
      <c r="B546" s="15" t="s">
        <v>49</v>
      </c>
      <c r="C546" s="15" t="s">
        <v>369</v>
      </c>
      <c r="D546" s="15" t="s">
        <v>35</v>
      </c>
      <c r="E546" s="15" t="s">
        <v>35</v>
      </c>
      <c r="F546" s="15" t="s">
        <v>370</v>
      </c>
      <c r="G546" s="15" t="s">
        <v>36</v>
      </c>
      <c r="H546" s="15" t="s">
        <v>3894</v>
      </c>
      <c r="I546" s="15" t="s">
        <v>3895</v>
      </c>
      <c r="J546" s="15" t="s">
        <v>3896</v>
      </c>
      <c r="K546" s="15" t="s">
        <v>40</v>
      </c>
      <c r="L546" s="15" t="s">
        <v>41</v>
      </c>
      <c r="M546" s="15" t="s">
        <v>55</v>
      </c>
      <c r="N546" s="15" t="s">
        <v>56</v>
      </c>
      <c r="O546" s="15" t="s">
        <v>44</v>
      </c>
      <c r="P546" s="15" t="s">
        <v>3897</v>
      </c>
      <c r="Q546" s="15" t="s">
        <v>3898</v>
      </c>
      <c r="R546" s="16">
        <v>44329</v>
      </c>
      <c r="S546" s="17" t="s">
        <v>3899</v>
      </c>
      <c r="T546" s="20">
        <f>HYPERLINK("https://vnm.spiral.com.vn//uploaded/20210513/713aff62-9e5d-4edc-8408-5bd906fa6627.JPEG","12:02:09")</f>
      </c>
      <c r="U546" s="20">
        <f>HYPERLINK("https://vnm.spiral.com.vn//uploaded/20210513/9928e874-4d34-4fa3-8042-208a78f5646d.JPEG","16:20:29")</f>
      </c>
      <c r="V546" s="18">
        <v>0.17939814814814814</v>
      </c>
      <c r="W546" s="15" t="s">
        <v>3900</v>
      </c>
      <c r="X546" s="15" t="s">
        <v>3901</v>
      </c>
      <c r="Y546" s="15" t="s">
        <v>35</v>
      </c>
      <c r="Z546" s="19">
        <v>0</v>
      </c>
      <c r="AA546" s="15">
        <v>0</v>
      </c>
      <c r="AB546" s="15" t="s">
        <v>35</v>
      </c>
    </row>
    <row r="547">
      <c r="A547" s="15">
        <v>543</v>
      </c>
      <c r="B547" s="15" t="s">
        <v>87</v>
      </c>
      <c r="C547" s="15" t="s">
        <v>88</v>
      </c>
      <c r="D547" s="15" t="s">
        <v>379</v>
      </c>
      <c r="E547" s="15" t="s">
        <v>35</v>
      </c>
      <c r="F547" s="15" t="s">
        <v>35</v>
      </c>
      <c r="G547" s="15" t="s">
        <v>35</v>
      </c>
      <c r="H547" s="15" t="s">
        <v>3902</v>
      </c>
      <c r="I547" s="15" t="s">
        <v>3903</v>
      </c>
      <c r="J547" s="15" t="s">
        <v>3904</v>
      </c>
      <c r="K547" s="15" t="s">
        <v>94</v>
      </c>
      <c r="L547" s="15" t="s">
        <v>95</v>
      </c>
      <c r="M547" s="15" t="s">
        <v>748</v>
      </c>
      <c r="N547" s="15" t="s">
        <v>749</v>
      </c>
      <c r="O547" s="15" t="s">
        <v>98</v>
      </c>
      <c r="P547" s="15" t="s">
        <v>1617</v>
      </c>
      <c r="Q547" s="15" t="s">
        <v>1618</v>
      </c>
      <c r="R547" s="16">
        <v>44329</v>
      </c>
      <c r="S547" s="17" t="s">
        <v>70</v>
      </c>
      <c r="T547" s="20">
        <f>HYPERLINK("https://vnm.spiral.com.vn//uploaded/20210513/b938656d-6422-4850-907f-16944cd4fb57.JPEG","16:20:14")</f>
      </c>
      <c r="U547" s="18"/>
      <c r="V547" s="18" t="s">
        <v>35</v>
      </c>
      <c r="W547" s="15" t="s">
        <v>3905</v>
      </c>
      <c r="X547" s="15" t="s">
        <v>35</v>
      </c>
      <c r="Y547" s="15" t="s">
        <v>35</v>
      </c>
      <c r="Z547" s="19">
        <v>0</v>
      </c>
      <c r="AA547" s="15">
        <v>0</v>
      </c>
      <c r="AB547" s="15" t="s">
        <v>35</v>
      </c>
    </row>
    <row r="548">
      <c r="A548" s="15">
        <v>544</v>
      </c>
      <c r="B548" s="15" t="s">
        <v>87</v>
      </c>
      <c r="C548" s="15" t="s">
        <v>88</v>
      </c>
      <c r="D548" s="15" t="s">
        <v>74</v>
      </c>
      <c r="E548" s="15" t="s">
        <v>90</v>
      </c>
      <c r="F548" s="15" t="s">
        <v>35</v>
      </c>
      <c r="G548" s="15" t="s">
        <v>74</v>
      </c>
      <c r="H548" s="15" t="s">
        <v>3906</v>
      </c>
      <c r="I548" s="15" t="s">
        <v>3907</v>
      </c>
      <c r="J548" s="15" t="s">
        <v>3908</v>
      </c>
      <c r="K548" s="15" t="s">
        <v>190</v>
      </c>
      <c r="L548" s="15" t="s">
        <v>191</v>
      </c>
      <c r="M548" s="15" t="s">
        <v>1031</v>
      </c>
      <c r="N548" s="15" t="s">
        <v>1032</v>
      </c>
      <c r="O548" s="15" t="s">
        <v>82</v>
      </c>
      <c r="P548" s="15" t="s">
        <v>3909</v>
      </c>
      <c r="Q548" s="15" t="s">
        <v>3910</v>
      </c>
      <c r="R548" s="16">
        <v>44329</v>
      </c>
      <c r="S548" s="17" t="s">
        <v>70</v>
      </c>
      <c r="T548" s="20">
        <f>HYPERLINK("https://vnm.spiral.com.vn//uploaded/20210513/999DF882-36B7-4258-B251-ECEC15DF1753.jpg","16:20:11")</f>
      </c>
      <c r="U548" s="18"/>
      <c r="V548" s="18" t="s">
        <v>35</v>
      </c>
      <c r="W548" s="15" t="s">
        <v>3911</v>
      </c>
      <c r="X548" s="15" t="s">
        <v>35</v>
      </c>
      <c r="Y548" s="15" t="s">
        <v>35</v>
      </c>
      <c r="Z548" s="19">
        <v>0</v>
      </c>
      <c r="AA548" s="15">
        <v>0</v>
      </c>
      <c r="AB548" s="15" t="s">
        <v>35</v>
      </c>
    </row>
    <row r="549">
      <c r="A549" s="15">
        <v>545</v>
      </c>
      <c r="B549" s="15" t="s">
        <v>87</v>
      </c>
      <c r="C549" s="15" t="s">
        <v>88</v>
      </c>
      <c r="D549" s="15" t="s">
        <v>610</v>
      </c>
      <c r="E549" s="15" t="s">
        <v>90</v>
      </c>
      <c r="F549" s="15" t="s">
        <v>35</v>
      </c>
      <c r="G549" s="15" t="s">
        <v>74</v>
      </c>
      <c r="H549" s="15" t="s">
        <v>3912</v>
      </c>
      <c r="I549" s="15" t="s">
        <v>3913</v>
      </c>
      <c r="J549" s="15" t="s">
        <v>3914</v>
      </c>
      <c r="K549" s="15" t="s">
        <v>614</v>
      </c>
      <c r="L549" s="15" t="s">
        <v>615</v>
      </c>
      <c r="M549" s="15" t="s">
        <v>616</v>
      </c>
      <c r="N549" s="15" t="s">
        <v>617</v>
      </c>
      <c r="O549" s="15" t="s">
        <v>82</v>
      </c>
      <c r="P549" s="15" t="s">
        <v>1846</v>
      </c>
      <c r="Q549" s="15" t="s">
        <v>1847</v>
      </c>
      <c r="R549" s="16">
        <v>44329</v>
      </c>
      <c r="S549" s="17" t="s">
        <v>70</v>
      </c>
      <c r="T549" s="20">
        <f>HYPERLINK("https://vnm.spiral.com.vn//uploaded/20210513/c8b9ac37-c746-4371-a704-8b7ead9b7c47.JPEG","15:48:20")</f>
      </c>
      <c r="U549" s="20">
        <f>HYPERLINK("https://vnm.spiral.com.vn//uploaded/20210513/5ef4e470-8297-4ba1-af52-4a5ada5adaf2.JPEG","16:20:11")</f>
      </c>
      <c r="V549" s="18">
        <v>0.022118055555555554</v>
      </c>
      <c r="W549" s="15" t="s">
        <v>3915</v>
      </c>
      <c r="X549" s="15" t="s">
        <v>3916</v>
      </c>
      <c r="Y549" s="15" t="s">
        <v>35</v>
      </c>
      <c r="Z549" s="19">
        <v>0</v>
      </c>
      <c r="AA549" s="15">
        <v>0</v>
      </c>
      <c r="AB549" s="15" t="s">
        <v>35</v>
      </c>
    </row>
    <row r="550">
      <c r="A550" s="15">
        <v>546</v>
      </c>
      <c r="B550" s="15" t="s">
        <v>246</v>
      </c>
      <c r="C550" s="15" t="s">
        <v>276</v>
      </c>
      <c r="D550" s="15" t="s">
        <v>89</v>
      </c>
      <c r="E550" s="15" t="s">
        <v>90</v>
      </c>
      <c r="F550" s="15" t="s">
        <v>35</v>
      </c>
      <c r="G550" s="15" t="s">
        <v>74</v>
      </c>
      <c r="H550" s="15" t="s">
        <v>3917</v>
      </c>
      <c r="I550" s="15" t="s">
        <v>3918</v>
      </c>
      <c r="J550" s="15" t="s">
        <v>3919</v>
      </c>
      <c r="K550" s="15" t="s">
        <v>263</v>
      </c>
      <c r="L550" s="15" t="s">
        <v>264</v>
      </c>
      <c r="M550" s="15" t="s">
        <v>280</v>
      </c>
      <c r="N550" s="15" t="s">
        <v>281</v>
      </c>
      <c r="O550" s="15" t="s">
        <v>156</v>
      </c>
      <c r="P550" s="15" t="s">
        <v>3920</v>
      </c>
      <c r="Q550" s="15" t="s">
        <v>283</v>
      </c>
      <c r="R550" s="16">
        <v>44329</v>
      </c>
      <c r="S550" s="17" t="s">
        <v>159</v>
      </c>
      <c r="T550" s="20">
        <f>HYPERLINK("https://vnm.spiral.com.vn//uploaded/20210513/39D9C165-59EF-4A46-99CE-AFC0EE4D4F2D.jpg","06:48:24")</f>
      </c>
      <c r="U550" s="20">
        <f>HYPERLINK("https://vnm.spiral.com.vn//uploaded/20210513/809F5794-8739-4FE7-BC58-ED9F7C1C736D.jpg","16:19:25")</f>
      </c>
      <c r="V550" s="18">
        <v>0.39653935185185185</v>
      </c>
      <c r="W550" s="15" t="s">
        <v>3921</v>
      </c>
      <c r="X550" s="15" t="s">
        <v>3922</v>
      </c>
      <c r="Y550" s="15" t="s">
        <v>35</v>
      </c>
      <c r="Z550" s="19">
        <v>0</v>
      </c>
      <c r="AA550" s="15">
        <v>0</v>
      </c>
      <c r="AB550" s="15" t="s">
        <v>35</v>
      </c>
    </row>
    <row r="551">
      <c r="A551" s="15">
        <v>547</v>
      </c>
      <c r="B551" s="15" t="s">
        <v>343</v>
      </c>
      <c r="C551" s="15" t="s">
        <v>344</v>
      </c>
      <c r="D551" s="15" t="s">
        <v>1644</v>
      </c>
      <c r="E551" s="15" t="s">
        <v>35</v>
      </c>
      <c r="F551" s="15" t="s">
        <v>35</v>
      </c>
      <c r="G551" s="15" t="s">
        <v>74</v>
      </c>
      <c r="H551" s="15" t="s">
        <v>3923</v>
      </c>
      <c r="I551" s="15" t="s">
        <v>3924</v>
      </c>
      <c r="J551" s="15" t="s">
        <v>3925</v>
      </c>
      <c r="K551" s="15" t="s">
        <v>584</v>
      </c>
      <c r="L551" s="15" t="s">
        <v>585</v>
      </c>
      <c r="M551" s="15" t="s">
        <v>827</v>
      </c>
      <c r="N551" s="15" t="s">
        <v>828</v>
      </c>
      <c r="O551" s="15" t="s">
        <v>82</v>
      </c>
      <c r="P551" s="15" t="s">
        <v>2471</v>
      </c>
      <c r="Q551" s="15" t="s">
        <v>2472</v>
      </c>
      <c r="R551" s="16">
        <v>44329</v>
      </c>
      <c r="S551" s="17" t="s">
        <v>70</v>
      </c>
      <c r="T551" s="20">
        <f>HYPERLINK("https://vnm.spiral.com.vn//uploaded/20210513/E5B80E67-30A9-4171-A1F7-8A2F709EB2B9.jpg","11:41:10")</f>
      </c>
      <c r="U551" s="20">
        <f>HYPERLINK("https://vnm.spiral.com.vn//uploaded/20210513/552432A0-60A4-4826-A696-2277F7FA9913.jpg","16:19:25")</f>
      </c>
      <c r="V551" s="18">
        <v>0.19322916666666667</v>
      </c>
      <c r="W551" s="15" t="s">
        <v>3926</v>
      </c>
      <c r="X551" s="15" t="s">
        <v>3927</v>
      </c>
      <c r="Y551" s="15" t="s">
        <v>35</v>
      </c>
      <c r="Z551" s="19">
        <v>0</v>
      </c>
      <c r="AA551" s="15">
        <v>0</v>
      </c>
      <c r="AB551" s="15" t="s">
        <v>35</v>
      </c>
    </row>
    <row r="552">
      <c r="A552" s="15">
        <v>548</v>
      </c>
      <c r="B552" s="15" t="s">
        <v>87</v>
      </c>
      <c r="C552" s="15" t="s">
        <v>88</v>
      </c>
      <c r="D552" s="15" t="s">
        <v>135</v>
      </c>
      <c r="E552" s="15" t="s">
        <v>116</v>
      </c>
      <c r="F552" s="15" t="s">
        <v>35</v>
      </c>
      <c r="G552" s="15" t="s">
        <v>74</v>
      </c>
      <c r="H552" s="15" t="s">
        <v>3928</v>
      </c>
      <c r="I552" s="15" t="s">
        <v>3929</v>
      </c>
      <c r="J552" s="15" t="s">
        <v>3930</v>
      </c>
      <c r="K552" s="15" t="s">
        <v>390</v>
      </c>
      <c r="L552" s="15" t="s">
        <v>391</v>
      </c>
      <c r="M552" s="15" t="s">
        <v>392</v>
      </c>
      <c r="N552" s="15" t="s">
        <v>393</v>
      </c>
      <c r="O552" s="15" t="s">
        <v>82</v>
      </c>
      <c r="P552" s="15" t="s">
        <v>1980</v>
      </c>
      <c r="Q552" s="15" t="s">
        <v>1981</v>
      </c>
      <c r="R552" s="16">
        <v>44329</v>
      </c>
      <c r="S552" s="17" t="s">
        <v>70</v>
      </c>
      <c r="T552" s="20">
        <f>HYPERLINK("https://vnm.spiral.com.vn//uploaded/20210513/f8757286-46cb-4713-83cb-babfd0bb2f65.JPEG","14:05:22")</f>
      </c>
      <c r="U552" s="20">
        <f>HYPERLINK("https://vnm.spiral.com.vn//uploaded/20210513/b97799be-016a-4084-82da-2bc91fd1dfa7.JPEG","16:19:15")</f>
      </c>
      <c r="V552" s="18">
        <v>0.09297453703703704</v>
      </c>
      <c r="W552" s="15" t="s">
        <v>3931</v>
      </c>
      <c r="X552" s="15" t="s">
        <v>3932</v>
      </c>
      <c r="Y552" s="15" t="s">
        <v>35</v>
      </c>
      <c r="Z552" s="19">
        <v>0</v>
      </c>
      <c r="AA552" s="15">
        <v>0</v>
      </c>
      <c r="AB552" s="15" t="s">
        <v>35</v>
      </c>
    </row>
    <row r="553">
      <c r="A553" s="15">
        <v>549</v>
      </c>
      <c r="B553" s="15" t="s">
        <v>61</v>
      </c>
      <c r="C553" s="15" t="s">
        <v>62</v>
      </c>
      <c r="D553" s="15" t="s">
        <v>35</v>
      </c>
      <c r="E553" s="15" t="s">
        <v>35</v>
      </c>
      <c r="F553" s="15" t="s">
        <v>35</v>
      </c>
      <c r="G553" s="15" t="s">
        <v>36</v>
      </c>
      <c r="H553" s="15" t="s">
        <v>3933</v>
      </c>
      <c r="I553" s="15" t="s">
        <v>471</v>
      </c>
      <c r="J553" s="15" t="s">
        <v>3934</v>
      </c>
      <c r="K553" s="15" t="s">
        <v>40</v>
      </c>
      <c r="L553" s="15" t="s">
        <v>41</v>
      </c>
      <c r="M553" s="15" t="s">
        <v>66</v>
      </c>
      <c r="N553" s="15" t="s">
        <v>67</v>
      </c>
      <c r="O553" s="15" t="s">
        <v>44</v>
      </c>
      <c r="P553" s="15" t="s">
        <v>3935</v>
      </c>
      <c r="Q553" s="15" t="s">
        <v>762</v>
      </c>
      <c r="R553" s="16">
        <v>44329</v>
      </c>
      <c r="S553" s="17" t="s">
        <v>70</v>
      </c>
      <c r="T553" s="20">
        <f>HYPERLINK("https://vnm.spiral.com.vn//uploaded/20210513/2903616e-f14d-420c-8654-253bb245fa19.JPEG","08:03:20")</f>
      </c>
      <c r="U553" s="20">
        <f>HYPERLINK("https://vnm.spiral.com.vn//uploaded/20210513/75b272c8-7c12-4fbb-867d-79a41d0cf0d3.JPEG","16:18:51")</f>
      </c>
      <c r="V553" s="18">
        <v>0.3441087962962963</v>
      </c>
      <c r="W553" s="15" t="s">
        <v>3936</v>
      </c>
      <c r="X553" s="15" t="s">
        <v>3937</v>
      </c>
      <c r="Y553" s="15" t="s">
        <v>35</v>
      </c>
      <c r="Z553" s="19">
        <v>0</v>
      </c>
      <c r="AA553" s="15">
        <v>0</v>
      </c>
      <c r="AB553" s="15" t="s">
        <v>35</v>
      </c>
    </row>
    <row r="554">
      <c r="A554" s="15">
        <v>550</v>
      </c>
      <c r="B554" s="15" t="s">
        <v>87</v>
      </c>
      <c r="C554" s="15" t="s">
        <v>88</v>
      </c>
      <c r="D554" s="15" t="s">
        <v>35</v>
      </c>
      <c r="E554" s="15" t="s">
        <v>35</v>
      </c>
      <c r="F554" s="15" t="s">
        <v>2667</v>
      </c>
      <c r="G554" s="15" t="s">
        <v>36</v>
      </c>
      <c r="H554" s="15" t="s">
        <v>3938</v>
      </c>
      <c r="I554" s="15" t="s">
        <v>3939</v>
      </c>
      <c r="J554" s="15" t="s">
        <v>3940</v>
      </c>
      <c r="K554" s="15" t="s">
        <v>40</v>
      </c>
      <c r="L554" s="15" t="s">
        <v>41</v>
      </c>
      <c r="M554" s="15" t="s">
        <v>1195</v>
      </c>
      <c r="N554" s="15" t="s">
        <v>1196</v>
      </c>
      <c r="O554" s="15" t="s">
        <v>44</v>
      </c>
      <c r="P554" s="15" t="s">
        <v>3941</v>
      </c>
      <c r="Q554" s="15" t="s">
        <v>3942</v>
      </c>
      <c r="R554" s="16">
        <v>44329</v>
      </c>
      <c r="S554" s="17" t="s">
        <v>2003</v>
      </c>
      <c r="T554" s="20">
        <f>HYPERLINK("https://vnm.spiral.com.vn//uploaded/20210513/4F64DC5D-3414-40FA-AAFB-B5AC42DD4266.jpg","16:18:45")</f>
      </c>
      <c r="U554" s="18"/>
      <c r="V554" s="18" t="s">
        <v>35</v>
      </c>
      <c r="W554" s="15" t="s">
        <v>3943</v>
      </c>
      <c r="X554" s="15" t="s">
        <v>35</v>
      </c>
      <c r="Y554" s="15" t="s">
        <v>35</v>
      </c>
      <c r="Z554" s="19">
        <v>0</v>
      </c>
      <c r="AA554" s="15">
        <v>0</v>
      </c>
      <c r="AB554" s="15" t="s">
        <v>35</v>
      </c>
    </row>
    <row r="555">
      <c r="A555" s="15">
        <v>551</v>
      </c>
      <c r="B555" s="15" t="s">
        <v>61</v>
      </c>
      <c r="C555" s="15" t="s">
        <v>303</v>
      </c>
      <c r="D555" s="15" t="s">
        <v>135</v>
      </c>
      <c r="E555" s="15" t="s">
        <v>116</v>
      </c>
      <c r="F555" s="15" t="s">
        <v>35</v>
      </c>
      <c r="G555" s="15" t="s">
        <v>74</v>
      </c>
      <c r="H555" s="15" t="s">
        <v>3944</v>
      </c>
      <c r="I555" s="15" t="s">
        <v>3945</v>
      </c>
      <c r="J555" s="15" t="s">
        <v>3946</v>
      </c>
      <c r="K555" s="15" t="s">
        <v>232</v>
      </c>
      <c r="L555" s="15" t="s">
        <v>233</v>
      </c>
      <c r="M555" s="15" t="s">
        <v>503</v>
      </c>
      <c r="N555" s="15" t="s">
        <v>504</v>
      </c>
      <c r="O555" s="15" t="s">
        <v>82</v>
      </c>
      <c r="P555" s="15" t="s">
        <v>2063</v>
      </c>
      <c r="Q555" s="15" t="s">
        <v>2064</v>
      </c>
      <c r="R555" s="16">
        <v>44329</v>
      </c>
      <c r="S555" s="17" t="s">
        <v>70</v>
      </c>
      <c r="T555" s="20">
        <f>HYPERLINK("https://vnm.spiral.com.vn//uploaded/20210513/FED00263-9E82-4B8E-98EE-DF9D8E6766BB.jpg","12:08:24")</f>
      </c>
      <c r="U555" s="20">
        <f>HYPERLINK("https://vnm.spiral.com.vn//uploaded/20210513/B32CE9FA-CB20-478F-9134-399B497E210F.jpg","16:18:01")</f>
      </c>
      <c r="V555" s="18">
        <v>0.1733449074074074</v>
      </c>
      <c r="W555" s="15" t="s">
        <v>3947</v>
      </c>
      <c r="X555" s="15" t="s">
        <v>2065</v>
      </c>
      <c r="Y555" s="15" t="s">
        <v>35</v>
      </c>
      <c r="Z555" s="19">
        <v>0</v>
      </c>
      <c r="AA555" s="15">
        <v>0</v>
      </c>
      <c r="AB555" s="15" t="s">
        <v>35</v>
      </c>
    </row>
    <row r="556">
      <c r="A556" s="15">
        <v>552</v>
      </c>
      <c r="B556" s="15" t="s">
        <v>87</v>
      </c>
      <c r="C556" s="15" t="s">
        <v>88</v>
      </c>
      <c r="D556" s="15" t="s">
        <v>115</v>
      </c>
      <c r="E556" s="15" t="s">
        <v>116</v>
      </c>
      <c r="F556" s="15" t="s">
        <v>35</v>
      </c>
      <c r="G556" s="15" t="s">
        <v>74</v>
      </c>
      <c r="H556" s="15" t="s">
        <v>3948</v>
      </c>
      <c r="I556" s="15" t="s">
        <v>3949</v>
      </c>
      <c r="J556" s="15" t="s">
        <v>3950</v>
      </c>
      <c r="K556" s="15" t="s">
        <v>120</v>
      </c>
      <c r="L556" s="15" t="s">
        <v>121</v>
      </c>
      <c r="M556" s="15" t="s">
        <v>1073</v>
      </c>
      <c r="N556" s="15" t="s">
        <v>1074</v>
      </c>
      <c r="O556" s="15" t="s">
        <v>82</v>
      </c>
      <c r="P556" s="15" t="s">
        <v>3951</v>
      </c>
      <c r="Q556" s="15" t="s">
        <v>3952</v>
      </c>
      <c r="R556" s="16">
        <v>44329</v>
      </c>
      <c r="S556" s="17" t="s">
        <v>70</v>
      </c>
      <c r="T556" s="20">
        <f>HYPERLINK("https://vnm.spiral.com.vn//uploaded/20210513/8836dbaf-2715-459f-b1c9-f60b38f7b5e0.JPEG","16:17:53")</f>
      </c>
      <c r="U556" s="18"/>
      <c r="V556" s="18" t="s">
        <v>35</v>
      </c>
      <c r="W556" s="15" t="s">
        <v>3953</v>
      </c>
      <c r="X556" s="15" t="s">
        <v>35</v>
      </c>
      <c r="Y556" s="15" t="s">
        <v>35</v>
      </c>
      <c r="Z556" s="19">
        <v>0</v>
      </c>
      <c r="AA556" s="15">
        <v>0</v>
      </c>
      <c r="AB556" s="15" t="s">
        <v>35</v>
      </c>
    </row>
    <row r="557">
      <c r="A557" s="15">
        <v>553</v>
      </c>
      <c r="B557" s="15" t="s">
        <v>33</v>
      </c>
      <c r="C557" s="15" t="s">
        <v>73</v>
      </c>
      <c r="D557" s="15" t="s">
        <v>35</v>
      </c>
      <c r="E557" s="15" t="s">
        <v>35</v>
      </c>
      <c r="F557" s="15" t="s">
        <v>35</v>
      </c>
      <c r="G557" s="15" t="s">
        <v>36</v>
      </c>
      <c r="H557" s="15" t="s">
        <v>3954</v>
      </c>
      <c r="I557" s="15" t="s">
        <v>3955</v>
      </c>
      <c r="J557" s="15" t="s">
        <v>3956</v>
      </c>
      <c r="K557" s="15" t="s">
        <v>40</v>
      </c>
      <c r="L557" s="15" t="s">
        <v>41</v>
      </c>
      <c r="M557" s="15" t="s">
        <v>42</v>
      </c>
      <c r="N557" s="15" t="s">
        <v>43</v>
      </c>
      <c r="O557" s="15" t="s">
        <v>44</v>
      </c>
      <c r="P557" s="15" t="s">
        <v>3957</v>
      </c>
      <c r="Q557" s="15" t="s">
        <v>3958</v>
      </c>
      <c r="R557" s="16">
        <v>44329</v>
      </c>
      <c r="S557" s="17" t="s">
        <v>159</v>
      </c>
      <c r="T557" s="20">
        <f>HYPERLINK("https://vnm.spiral.com.vn//uploaded/20210513/468df11d-8af5-45c9-8eb1-c4c869ab9e36.JPEG","07:17:45")</f>
      </c>
      <c r="U557" s="20">
        <f>HYPERLINK("https://vnm.spiral.com.vn//uploaded/20210513/e47f6e62-bbdb-4453-94cf-2dd67ef2f1a3.JPEG","16:17:45")</f>
      </c>
      <c r="V557" s="18">
        <v>0.375</v>
      </c>
      <c r="W557" s="15" t="s">
        <v>3959</v>
      </c>
      <c r="X557" s="15" t="s">
        <v>3960</v>
      </c>
      <c r="Y557" s="15" t="s">
        <v>35</v>
      </c>
      <c r="Z557" s="19">
        <v>0</v>
      </c>
      <c r="AA557" s="15">
        <v>0</v>
      </c>
      <c r="AB557" s="15" t="s">
        <v>35</v>
      </c>
    </row>
    <row r="558">
      <c r="A558" s="15">
        <v>554</v>
      </c>
      <c r="B558" s="15" t="s">
        <v>61</v>
      </c>
      <c r="C558" s="15" t="s">
        <v>320</v>
      </c>
      <c r="D558" s="15" t="s">
        <v>35</v>
      </c>
      <c r="E558" s="15" t="s">
        <v>35</v>
      </c>
      <c r="F558" s="15" t="s">
        <v>35</v>
      </c>
      <c r="G558" s="15" t="s">
        <v>36</v>
      </c>
      <c r="H558" s="15" t="s">
        <v>3961</v>
      </c>
      <c r="I558" s="15" t="s">
        <v>3962</v>
      </c>
      <c r="J558" s="15" t="s">
        <v>3963</v>
      </c>
      <c r="K558" s="15" t="s">
        <v>40</v>
      </c>
      <c r="L558" s="15" t="s">
        <v>41</v>
      </c>
      <c r="M558" s="15" t="s">
        <v>205</v>
      </c>
      <c r="N558" s="15" t="s">
        <v>206</v>
      </c>
      <c r="O558" s="15" t="s">
        <v>44</v>
      </c>
      <c r="P558" s="15" t="s">
        <v>3964</v>
      </c>
      <c r="Q558" s="15" t="s">
        <v>3965</v>
      </c>
      <c r="R558" s="16">
        <v>44329</v>
      </c>
      <c r="S558" s="17" t="s">
        <v>2925</v>
      </c>
      <c r="T558" s="20">
        <f>HYPERLINK("https://vnm.spiral.com.vn//uploaded/20210513/04290100-71AF-429F-B912-C27C78BBBE6A.jpg","16:17:42")</f>
      </c>
      <c r="U558" s="18"/>
      <c r="V558" s="18" t="s">
        <v>35</v>
      </c>
      <c r="W558" s="15" t="s">
        <v>3966</v>
      </c>
      <c r="X558" s="15" t="s">
        <v>35</v>
      </c>
      <c r="Y558" s="15" t="s">
        <v>35</v>
      </c>
      <c r="Z558" s="19">
        <v>0</v>
      </c>
      <c r="AA558" s="15">
        <v>0</v>
      </c>
      <c r="AB558" s="15" t="s">
        <v>35</v>
      </c>
    </row>
    <row r="559">
      <c r="A559" s="15">
        <v>555</v>
      </c>
      <c r="B559" s="15" t="s">
        <v>103</v>
      </c>
      <c r="C559" s="15" t="s">
        <v>1078</v>
      </c>
      <c r="D559" s="15" t="s">
        <v>35</v>
      </c>
      <c r="E559" s="15" t="s">
        <v>35</v>
      </c>
      <c r="F559" s="15" t="s">
        <v>35</v>
      </c>
      <c r="G559" s="15" t="s">
        <v>35</v>
      </c>
      <c r="H559" s="15" t="s">
        <v>3967</v>
      </c>
      <c r="I559" s="15" t="s">
        <v>3968</v>
      </c>
      <c r="J559" s="15" t="s">
        <v>3969</v>
      </c>
      <c r="K559" s="15" t="s">
        <v>40</v>
      </c>
      <c r="L559" s="15" t="s">
        <v>41</v>
      </c>
      <c r="M559" s="15" t="s">
        <v>565</v>
      </c>
      <c r="N559" s="15" t="s">
        <v>566</v>
      </c>
      <c r="O559" s="15" t="s">
        <v>44</v>
      </c>
      <c r="P559" s="15" t="s">
        <v>3970</v>
      </c>
      <c r="Q559" s="15" t="s">
        <v>3971</v>
      </c>
      <c r="R559" s="16">
        <v>44329</v>
      </c>
      <c r="S559" s="17" t="s">
        <v>3972</v>
      </c>
      <c r="T559" s="20">
        <f>HYPERLINK("https://vnm.spiral.com.vn//uploaded/20210513/70d2e3ee-6b32-41b7-9138-0fcfa3fc5e9e.JPEG","12:18:02")</f>
      </c>
      <c r="U559" s="20">
        <f>HYPERLINK("https://vnm.spiral.com.vn//uploaded/20210513/6d7b4b2c-b622-47dc-9a26-825fb50878e5.JPEG","16:17:34")</f>
      </c>
      <c r="V559" s="18">
        <v>0.1663425925925926</v>
      </c>
      <c r="W559" s="15" t="s">
        <v>3973</v>
      </c>
      <c r="X559" s="15" t="s">
        <v>3974</v>
      </c>
      <c r="Y559" s="15" t="s">
        <v>35</v>
      </c>
      <c r="Z559" s="19">
        <v>0</v>
      </c>
      <c r="AA559" s="15">
        <v>0</v>
      </c>
      <c r="AB559" s="15" t="s">
        <v>35</v>
      </c>
    </row>
    <row r="560">
      <c r="A560" s="15">
        <v>556</v>
      </c>
      <c r="B560" s="15" t="s">
        <v>87</v>
      </c>
      <c r="C560" s="15" t="s">
        <v>88</v>
      </c>
      <c r="D560" s="15" t="s">
        <v>357</v>
      </c>
      <c r="E560" s="15" t="s">
        <v>90</v>
      </c>
      <c r="F560" s="15" t="s">
        <v>35</v>
      </c>
      <c r="G560" s="15" t="s">
        <v>74</v>
      </c>
      <c r="H560" s="15" t="s">
        <v>3975</v>
      </c>
      <c r="I560" s="15" t="s">
        <v>3976</v>
      </c>
      <c r="J560" s="15" t="s">
        <v>3977</v>
      </c>
      <c r="K560" s="15" t="s">
        <v>94</v>
      </c>
      <c r="L560" s="15" t="s">
        <v>95</v>
      </c>
      <c r="M560" s="15" t="s">
        <v>1570</v>
      </c>
      <c r="N560" s="15" t="s">
        <v>1571</v>
      </c>
      <c r="O560" s="15" t="s">
        <v>98</v>
      </c>
      <c r="P560" s="15" t="s">
        <v>2024</v>
      </c>
      <c r="Q560" s="15" t="s">
        <v>2025</v>
      </c>
      <c r="R560" s="16">
        <v>44329</v>
      </c>
      <c r="S560" s="17" t="s">
        <v>70</v>
      </c>
      <c r="T560" s="20">
        <f>HYPERLINK("https://vnm.spiral.com.vn//uploaded/20210513/91c3efdd-62e4-465e-ae2a-b43370111bdc.JPEG","15:57:58")</f>
      </c>
      <c r="U560" s="20">
        <f>HYPERLINK("https://vnm.spiral.com.vn//uploaded/20210513/11ec253b-35d3-4d8c-b38e-eacf6ca58608.JPEG","16:17:12")</f>
      </c>
      <c r="V560" s="18">
        <v>0.013356481481481481</v>
      </c>
      <c r="W560" s="15" t="s">
        <v>3978</v>
      </c>
      <c r="X560" s="15" t="s">
        <v>3979</v>
      </c>
      <c r="Y560" s="15" t="s">
        <v>35</v>
      </c>
      <c r="Z560" s="19">
        <v>0</v>
      </c>
      <c r="AA560" s="15">
        <v>0</v>
      </c>
      <c r="AB560" s="15" t="s">
        <v>35</v>
      </c>
    </row>
    <row r="561">
      <c r="A561" s="15">
        <v>557</v>
      </c>
      <c r="B561" s="15" t="s">
        <v>87</v>
      </c>
      <c r="C561" s="15" t="s">
        <v>88</v>
      </c>
      <c r="D561" s="15" t="s">
        <v>89</v>
      </c>
      <c r="E561" s="15" t="s">
        <v>90</v>
      </c>
      <c r="F561" s="15" t="s">
        <v>35</v>
      </c>
      <c r="G561" s="15" t="s">
        <v>74</v>
      </c>
      <c r="H561" s="15" t="s">
        <v>3980</v>
      </c>
      <c r="I561" s="15" t="s">
        <v>3981</v>
      </c>
      <c r="J561" s="15" t="s">
        <v>3982</v>
      </c>
      <c r="K561" s="15" t="s">
        <v>94</v>
      </c>
      <c r="L561" s="15" t="s">
        <v>95</v>
      </c>
      <c r="M561" s="15" t="s">
        <v>96</v>
      </c>
      <c r="N561" s="15" t="s">
        <v>97</v>
      </c>
      <c r="O561" s="15" t="s">
        <v>98</v>
      </c>
      <c r="P561" s="15" t="s">
        <v>1288</v>
      </c>
      <c r="Q561" s="15" t="s">
        <v>1289</v>
      </c>
      <c r="R561" s="16">
        <v>44329</v>
      </c>
      <c r="S561" s="17" t="s">
        <v>70</v>
      </c>
      <c r="T561" s="20">
        <f>HYPERLINK("https://vnm.spiral.com.vn//uploaded/20210513/bb358e54-f176-4f7f-9eb3-dedb68181788.JPEG","16:16:35")</f>
      </c>
      <c r="U561" s="18"/>
      <c r="V561" s="18" t="s">
        <v>35</v>
      </c>
      <c r="W561" s="15" t="s">
        <v>3983</v>
      </c>
      <c r="X561" s="15" t="s">
        <v>35</v>
      </c>
      <c r="Y561" s="15" t="s">
        <v>35</v>
      </c>
      <c r="Z561" s="19">
        <v>0</v>
      </c>
      <c r="AA561" s="15">
        <v>0</v>
      </c>
      <c r="AB561" s="15" t="s">
        <v>35</v>
      </c>
    </row>
    <row r="562">
      <c r="A562" s="15">
        <v>558</v>
      </c>
      <c r="B562" s="15" t="s">
        <v>87</v>
      </c>
      <c r="C562" s="15" t="s">
        <v>88</v>
      </c>
      <c r="D562" s="15" t="s">
        <v>35</v>
      </c>
      <c r="E562" s="15" t="s">
        <v>35</v>
      </c>
      <c r="F562" s="15" t="s">
        <v>35</v>
      </c>
      <c r="G562" s="15" t="s">
        <v>74</v>
      </c>
      <c r="H562" s="15" t="s">
        <v>3984</v>
      </c>
      <c r="I562" s="15" t="s">
        <v>3985</v>
      </c>
      <c r="J562" s="15" t="s">
        <v>3986</v>
      </c>
      <c r="K562" s="15" t="s">
        <v>888</v>
      </c>
      <c r="L562" s="15" t="s">
        <v>889</v>
      </c>
      <c r="M562" s="15" t="s">
        <v>924</v>
      </c>
      <c r="N562" s="15" t="s">
        <v>925</v>
      </c>
      <c r="O562" s="15" t="s">
        <v>82</v>
      </c>
      <c r="P562" s="15" t="s">
        <v>1460</v>
      </c>
      <c r="Q562" s="15" t="s">
        <v>1461</v>
      </c>
      <c r="R562" s="16">
        <v>44329</v>
      </c>
      <c r="S562" s="17" t="s">
        <v>70</v>
      </c>
      <c r="T562" s="20">
        <f>HYPERLINK("https://vnm.spiral.com.vn//uploaded/20210513/61FDC8EF-225D-4C73-83C9-ADE35851211A.jpg","15:47:49")</f>
      </c>
      <c r="U562" s="20">
        <f>HYPERLINK("https://vnm.spiral.com.vn//uploaded/20210513/13F6A94C-1404-4017-B81C-2F2E09A5071E.jpg","16:16:25")</f>
      </c>
      <c r="V562" s="18">
        <v>0.01986111111111111</v>
      </c>
      <c r="W562" s="15" t="s">
        <v>3987</v>
      </c>
      <c r="X562" s="15" t="s">
        <v>3988</v>
      </c>
      <c r="Y562" s="15" t="s">
        <v>35</v>
      </c>
      <c r="Z562" s="19">
        <v>0</v>
      </c>
      <c r="AA562" s="15">
        <v>0</v>
      </c>
      <c r="AB562" s="15" t="s">
        <v>35</v>
      </c>
    </row>
    <row r="563">
      <c r="A563" s="15">
        <v>559</v>
      </c>
      <c r="B563" s="15" t="s">
        <v>87</v>
      </c>
      <c r="C563" s="15" t="s">
        <v>88</v>
      </c>
      <c r="D563" s="15" t="s">
        <v>35</v>
      </c>
      <c r="E563" s="15" t="s">
        <v>35</v>
      </c>
      <c r="F563" s="15" t="s">
        <v>1191</v>
      </c>
      <c r="G563" s="15" t="s">
        <v>36</v>
      </c>
      <c r="H563" s="15" t="s">
        <v>3989</v>
      </c>
      <c r="I563" s="15" t="s">
        <v>3990</v>
      </c>
      <c r="J563" s="15" t="s">
        <v>3991</v>
      </c>
      <c r="K563" s="15" t="s">
        <v>40</v>
      </c>
      <c r="L563" s="15" t="s">
        <v>41</v>
      </c>
      <c r="M563" s="15" t="s">
        <v>810</v>
      </c>
      <c r="N563" s="15" t="s">
        <v>811</v>
      </c>
      <c r="O563" s="15" t="s">
        <v>44</v>
      </c>
      <c r="P563" s="15" t="s">
        <v>3992</v>
      </c>
      <c r="Q563" s="15" t="s">
        <v>3993</v>
      </c>
      <c r="R563" s="16">
        <v>44329</v>
      </c>
      <c r="S563" s="17" t="s">
        <v>3899</v>
      </c>
      <c r="T563" s="20">
        <f>HYPERLINK("https://vnm.spiral.com.vn//uploaded/20210513/6a2640ac-1346-4587-ba37-de7168bfe6d5.JPEG","12:09:49")</f>
      </c>
      <c r="U563" s="20">
        <f>HYPERLINK("https://vnm.spiral.com.vn//uploaded/20210513/40dbf934-a8aa-4b93-ae76-b9a1622d8c99.JPEG","16:16:23")</f>
      </c>
      <c r="V563" s="18">
        <v>0.17122685185185185</v>
      </c>
      <c r="W563" s="15" t="s">
        <v>3994</v>
      </c>
      <c r="X563" s="15" t="s">
        <v>3994</v>
      </c>
      <c r="Y563" s="15" t="s">
        <v>35</v>
      </c>
      <c r="Z563" s="19">
        <v>0</v>
      </c>
      <c r="AA563" s="15">
        <v>0</v>
      </c>
      <c r="AB563" s="15" t="s">
        <v>35</v>
      </c>
    </row>
    <row r="564">
      <c r="A564" s="15">
        <v>560</v>
      </c>
      <c r="B564" s="15" t="s">
        <v>87</v>
      </c>
      <c r="C564" s="15" t="s">
        <v>88</v>
      </c>
      <c r="D564" s="15" t="s">
        <v>432</v>
      </c>
      <c r="E564" s="15" t="s">
        <v>116</v>
      </c>
      <c r="F564" s="15" t="s">
        <v>35</v>
      </c>
      <c r="G564" s="15" t="s">
        <v>74</v>
      </c>
      <c r="H564" s="15" t="s">
        <v>3995</v>
      </c>
      <c r="I564" s="15" t="s">
        <v>3996</v>
      </c>
      <c r="J564" s="15" t="s">
        <v>3997</v>
      </c>
      <c r="K564" s="15" t="s">
        <v>625</v>
      </c>
      <c r="L564" s="15" t="s">
        <v>626</v>
      </c>
      <c r="M564" s="15" t="s">
        <v>627</v>
      </c>
      <c r="N564" s="15" t="s">
        <v>628</v>
      </c>
      <c r="O564" s="15" t="s">
        <v>82</v>
      </c>
      <c r="P564" s="15" t="s">
        <v>2569</v>
      </c>
      <c r="Q564" s="15" t="s">
        <v>2570</v>
      </c>
      <c r="R564" s="16">
        <v>44329</v>
      </c>
      <c r="S564" s="17" t="s">
        <v>70</v>
      </c>
      <c r="T564" s="20">
        <f>HYPERLINK("https://vnm.spiral.com.vn//uploaded/20210513/416FC085-73DA-4339-8D26-8C45563E79A5.jpg","15:27:48")</f>
      </c>
      <c r="U564" s="20">
        <f>HYPERLINK("https://vnm.spiral.com.vn//uploaded/20210513/58F033CF-391C-4683-8D27-78895B5238F5.jpg","16:16:19")</f>
      </c>
      <c r="V564" s="18">
        <v>0.03369212962962963</v>
      </c>
      <c r="W564" s="15" t="s">
        <v>3998</v>
      </c>
      <c r="X564" s="15" t="s">
        <v>3999</v>
      </c>
      <c r="Y564" s="15" t="s">
        <v>35</v>
      </c>
      <c r="Z564" s="19">
        <v>0</v>
      </c>
      <c r="AA564" s="15">
        <v>0</v>
      </c>
      <c r="AB564" s="15" t="s">
        <v>35</v>
      </c>
    </row>
    <row r="565">
      <c r="A565" s="15">
        <v>561</v>
      </c>
      <c r="B565" s="15" t="s">
        <v>61</v>
      </c>
      <c r="C565" s="15" t="s">
        <v>320</v>
      </c>
      <c r="D565" s="15" t="s">
        <v>135</v>
      </c>
      <c r="E565" s="15" t="s">
        <v>116</v>
      </c>
      <c r="F565" s="15" t="s">
        <v>35</v>
      </c>
      <c r="G565" s="15" t="s">
        <v>74</v>
      </c>
      <c r="H565" s="15" t="s">
        <v>4000</v>
      </c>
      <c r="I565" s="15" t="s">
        <v>4001</v>
      </c>
      <c r="J565" s="15" t="s">
        <v>4002</v>
      </c>
      <c r="K565" s="15" t="s">
        <v>154</v>
      </c>
      <c r="L565" s="15" t="s">
        <v>155</v>
      </c>
      <c r="M565" s="15" t="s">
        <v>2458</v>
      </c>
      <c r="N565" s="15" t="s">
        <v>2459</v>
      </c>
      <c r="O565" s="15" t="s">
        <v>82</v>
      </c>
      <c r="P565" s="15" t="s">
        <v>4003</v>
      </c>
      <c r="Q565" s="15" t="s">
        <v>4004</v>
      </c>
      <c r="R565" s="16">
        <v>44329</v>
      </c>
      <c r="S565" s="17" t="s">
        <v>70</v>
      </c>
      <c r="T565" s="20">
        <f>HYPERLINK("https://vnm.spiral.com.vn//uploaded/20210513/3e501525-c0d3-49cb-bd2e-22a16a206913.JPEG","15:33:28")</f>
      </c>
      <c r="U565" s="20">
        <f>HYPERLINK("https://vnm.spiral.com.vn//uploaded/20210513/0c4fa3ce-e8d7-42a5-8bc1-fa1f7598cf69.JPEG","16:15:53")</f>
      </c>
      <c r="V565" s="18">
        <v>0.029456018518518517</v>
      </c>
      <c r="W565" s="15" t="s">
        <v>4005</v>
      </c>
      <c r="X565" s="15" t="s">
        <v>4005</v>
      </c>
      <c r="Y565" s="15" t="s">
        <v>35</v>
      </c>
      <c r="Z565" s="19">
        <v>0</v>
      </c>
      <c r="AA565" s="15">
        <v>0</v>
      </c>
      <c r="AB565" s="15" t="s">
        <v>35</v>
      </c>
    </row>
    <row r="566">
      <c r="A566" s="15">
        <v>562</v>
      </c>
      <c r="B566" s="15" t="s">
        <v>87</v>
      </c>
      <c r="C566" s="15" t="s">
        <v>88</v>
      </c>
      <c r="D566" s="15" t="s">
        <v>35</v>
      </c>
      <c r="E566" s="15" t="s">
        <v>35</v>
      </c>
      <c r="F566" s="15" t="s">
        <v>2077</v>
      </c>
      <c r="G566" s="15" t="s">
        <v>36</v>
      </c>
      <c r="H566" s="15" t="s">
        <v>4006</v>
      </c>
      <c r="I566" s="15" t="s">
        <v>4007</v>
      </c>
      <c r="J566" s="15" t="s">
        <v>4008</v>
      </c>
      <c r="K566" s="15" t="s">
        <v>40</v>
      </c>
      <c r="L566" s="15" t="s">
        <v>41</v>
      </c>
      <c r="M566" s="15" t="s">
        <v>289</v>
      </c>
      <c r="N566" s="15" t="s">
        <v>290</v>
      </c>
      <c r="O566" s="15" t="s">
        <v>44</v>
      </c>
      <c r="P566" s="15" t="s">
        <v>4009</v>
      </c>
      <c r="Q566" s="15" t="s">
        <v>4010</v>
      </c>
      <c r="R566" s="16">
        <v>44329</v>
      </c>
      <c r="S566" s="17" t="s">
        <v>2925</v>
      </c>
      <c r="T566" s="20">
        <f>HYPERLINK("https://vnm.spiral.com.vn//uploaded/20210513/758988d5-34f0-4720-afa2-2f92cdc99d55.JPEG","16:15:51")</f>
      </c>
      <c r="U566" s="18"/>
      <c r="V566" s="18" t="s">
        <v>35</v>
      </c>
      <c r="W566" s="15" t="s">
        <v>4011</v>
      </c>
      <c r="X566" s="15" t="s">
        <v>35</v>
      </c>
      <c r="Y566" s="15" t="s">
        <v>35</v>
      </c>
      <c r="Z566" s="19">
        <v>0</v>
      </c>
      <c r="AA566" s="15">
        <v>0</v>
      </c>
      <c r="AB566" s="15" t="s">
        <v>35</v>
      </c>
    </row>
    <row r="567">
      <c r="A567" s="15">
        <v>563</v>
      </c>
      <c r="B567" s="15" t="s">
        <v>87</v>
      </c>
      <c r="C567" s="15" t="s">
        <v>88</v>
      </c>
      <c r="D567" s="15" t="s">
        <v>35</v>
      </c>
      <c r="E567" s="15" t="s">
        <v>35</v>
      </c>
      <c r="F567" s="15" t="s">
        <v>2077</v>
      </c>
      <c r="G567" s="15" t="s">
        <v>36</v>
      </c>
      <c r="H567" s="15" t="s">
        <v>4012</v>
      </c>
      <c r="I567" s="15" t="s">
        <v>4013</v>
      </c>
      <c r="J567" s="15" t="s">
        <v>4014</v>
      </c>
      <c r="K567" s="15" t="s">
        <v>40</v>
      </c>
      <c r="L567" s="15" t="s">
        <v>41</v>
      </c>
      <c r="M567" s="15" t="s">
        <v>289</v>
      </c>
      <c r="N567" s="15" t="s">
        <v>290</v>
      </c>
      <c r="O567" s="15" t="s">
        <v>44</v>
      </c>
      <c r="P567" s="15" t="s">
        <v>4015</v>
      </c>
      <c r="Q567" s="15" t="s">
        <v>4016</v>
      </c>
      <c r="R567" s="16">
        <v>44329</v>
      </c>
      <c r="S567" s="17" t="s">
        <v>2925</v>
      </c>
      <c r="T567" s="20">
        <f>HYPERLINK("https://vnm.spiral.com.vn//uploaded/20210513/9819915F-8A95-4B9D-832F-1ED2945779C7.jpg","16:15:45")</f>
      </c>
      <c r="U567" s="18"/>
      <c r="V567" s="18" t="s">
        <v>35</v>
      </c>
      <c r="W567" s="15" t="s">
        <v>4017</v>
      </c>
      <c r="X567" s="15" t="s">
        <v>35</v>
      </c>
      <c r="Y567" s="15" t="s">
        <v>35</v>
      </c>
      <c r="Z567" s="19">
        <v>0</v>
      </c>
      <c r="AA567" s="15">
        <v>0</v>
      </c>
      <c r="AB567" s="15" t="s">
        <v>35</v>
      </c>
    </row>
    <row r="568">
      <c r="A568" s="15">
        <v>564</v>
      </c>
      <c r="B568" s="15" t="s">
        <v>87</v>
      </c>
      <c r="C568" s="15" t="s">
        <v>88</v>
      </c>
      <c r="D568" s="15" t="s">
        <v>35</v>
      </c>
      <c r="E568" s="15" t="s">
        <v>35</v>
      </c>
      <c r="F568" s="15" t="s">
        <v>2077</v>
      </c>
      <c r="G568" s="15" t="s">
        <v>36</v>
      </c>
      <c r="H568" s="15" t="s">
        <v>4018</v>
      </c>
      <c r="I568" s="15" t="s">
        <v>4019</v>
      </c>
      <c r="J568" s="15" t="s">
        <v>4020</v>
      </c>
      <c r="K568" s="15" t="s">
        <v>40</v>
      </c>
      <c r="L568" s="15" t="s">
        <v>41</v>
      </c>
      <c r="M568" s="15" t="s">
        <v>289</v>
      </c>
      <c r="N568" s="15" t="s">
        <v>290</v>
      </c>
      <c r="O568" s="15" t="s">
        <v>44</v>
      </c>
      <c r="P568" s="15" t="s">
        <v>4021</v>
      </c>
      <c r="Q568" s="15" t="s">
        <v>4022</v>
      </c>
      <c r="R568" s="16">
        <v>44329</v>
      </c>
      <c r="S568" s="17" t="s">
        <v>2925</v>
      </c>
      <c r="T568" s="20">
        <f>HYPERLINK("https://vnm.spiral.com.vn//uploaded/20210513/43e01c37-73ce-4d4d-ab15-3c92a3757fc2.JPEG","16:15:27")</f>
      </c>
      <c r="U568" s="18"/>
      <c r="V568" s="18" t="s">
        <v>35</v>
      </c>
      <c r="W568" s="15" t="s">
        <v>4023</v>
      </c>
      <c r="X568" s="15" t="s">
        <v>35</v>
      </c>
      <c r="Y568" s="15" t="s">
        <v>35</v>
      </c>
      <c r="Z568" s="19">
        <v>0</v>
      </c>
      <c r="AA568" s="15">
        <v>0</v>
      </c>
      <c r="AB568" s="15" t="s">
        <v>35</v>
      </c>
    </row>
    <row r="569">
      <c r="A569" s="15">
        <v>565</v>
      </c>
      <c r="B569" s="15" t="s">
        <v>61</v>
      </c>
      <c r="C569" s="15" t="s">
        <v>303</v>
      </c>
      <c r="D569" s="15" t="s">
        <v>89</v>
      </c>
      <c r="E569" s="15" t="s">
        <v>90</v>
      </c>
      <c r="F569" s="15" t="s">
        <v>35</v>
      </c>
      <c r="G569" s="15" t="s">
        <v>74</v>
      </c>
      <c r="H569" s="15" t="s">
        <v>2126</v>
      </c>
      <c r="I569" s="15" t="s">
        <v>2127</v>
      </c>
      <c r="J569" s="15" t="s">
        <v>2128</v>
      </c>
      <c r="K569" s="15" t="s">
        <v>232</v>
      </c>
      <c r="L569" s="15" t="s">
        <v>233</v>
      </c>
      <c r="M569" s="15" t="s">
        <v>503</v>
      </c>
      <c r="N569" s="15" t="s">
        <v>504</v>
      </c>
      <c r="O569" s="15" t="s">
        <v>156</v>
      </c>
      <c r="P569" s="15" t="s">
        <v>4024</v>
      </c>
      <c r="Q569" s="15" t="s">
        <v>4025</v>
      </c>
      <c r="R569" s="16">
        <v>44329</v>
      </c>
      <c r="S569" s="17" t="s">
        <v>159</v>
      </c>
      <c r="T569" s="20">
        <f>HYPERLINK("https://vnm.spiral.com.vn//uploaded/20210513/1fafd85a-0fd5-4f30-9695-8407ad976869.JPEG","06:50:50")</f>
      </c>
      <c r="U569" s="20">
        <f>HYPERLINK("https://vnm.spiral.com.vn//uploaded/20210513/38f5f136-5f65-45dc-b2d8-ce5acd4dd249.JPEG","16:15:19")</f>
      </c>
      <c r="V569" s="18">
        <v>0.3920023148148148</v>
      </c>
      <c r="W569" s="15" t="s">
        <v>4026</v>
      </c>
      <c r="X569" s="15" t="s">
        <v>4027</v>
      </c>
      <c r="Y569" s="15" t="s">
        <v>35</v>
      </c>
      <c r="Z569" s="19">
        <v>0</v>
      </c>
      <c r="AA569" s="15">
        <v>0</v>
      </c>
      <c r="AB569" s="15" t="s">
        <v>35</v>
      </c>
    </row>
    <row r="570">
      <c r="A570" s="15">
        <v>566</v>
      </c>
      <c r="B570" s="15" t="s">
        <v>61</v>
      </c>
      <c r="C570" s="15" t="s">
        <v>62</v>
      </c>
      <c r="D570" s="15" t="s">
        <v>35</v>
      </c>
      <c r="E570" s="15" t="s">
        <v>35</v>
      </c>
      <c r="F570" s="15" t="s">
        <v>35</v>
      </c>
      <c r="G570" s="15" t="s">
        <v>36</v>
      </c>
      <c r="H570" s="15" t="s">
        <v>4028</v>
      </c>
      <c r="I570" s="15" t="s">
        <v>4029</v>
      </c>
      <c r="J570" s="15" t="s">
        <v>4030</v>
      </c>
      <c r="K570" s="15" t="s">
        <v>40</v>
      </c>
      <c r="L570" s="15" t="s">
        <v>41</v>
      </c>
      <c r="M570" s="15" t="s">
        <v>66</v>
      </c>
      <c r="N570" s="15" t="s">
        <v>67</v>
      </c>
      <c r="O570" s="15" t="s">
        <v>44</v>
      </c>
      <c r="P570" s="15" t="s">
        <v>4031</v>
      </c>
      <c r="Q570" s="15" t="s">
        <v>4032</v>
      </c>
      <c r="R570" s="16">
        <v>44329</v>
      </c>
      <c r="S570" s="17" t="s">
        <v>273</v>
      </c>
      <c r="T570" s="20">
        <f>HYPERLINK("https://vnm.spiral.com.vn//uploaded/20210513/55f5e985-053d-4616-8eab-d9c49a95e160.JPEG","07:22:21")</f>
      </c>
      <c r="U570" s="20">
        <f>HYPERLINK("https://vnm.spiral.com.vn//uploaded/20210513/31493f22-d7ad-4f9f-857d-175a71168a56.JPEG","16:14:27")</f>
      </c>
      <c r="V570" s="18">
        <v>0.36951388888888886</v>
      </c>
      <c r="W570" s="15" t="s">
        <v>4033</v>
      </c>
      <c r="X570" s="15" t="s">
        <v>4034</v>
      </c>
      <c r="Y570" s="15" t="s">
        <v>35</v>
      </c>
      <c r="Z570" s="19">
        <v>0</v>
      </c>
      <c r="AA570" s="15">
        <v>0</v>
      </c>
      <c r="AB570" s="15" t="s">
        <v>35</v>
      </c>
    </row>
    <row r="571">
      <c r="A571" s="15">
        <v>567</v>
      </c>
      <c r="B571" s="15" t="s">
        <v>61</v>
      </c>
      <c r="C571" s="15" t="s">
        <v>320</v>
      </c>
      <c r="D571" s="15" t="s">
        <v>432</v>
      </c>
      <c r="E571" s="15" t="s">
        <v>116</v>
      </c>
      <c r="F571" s="15" t="s">
        <v>35</v>
      </c>
      <c r="G571" s="15" t="s">
        <v>74</v>
      </c>
      <c r="H571" s="15" t="s">
        <v>4035</v>
      </c>
      <c r="I571" s="15" t="s">
        <v>4036</v>
      </c>
      <c r="J571" s="15" t="s">
        <v>4037</v>
      </c>
      <c r="K571" s="15" t="s">
        <v>154</v>
      </c>
      <c r="L571" s="15" t="s">
        <v>155</v>
      </c>
      <c r="M571" s="15" t="s">
        <v>2458</v>
      </c>
      <c r="N571" s="15" t="s">
        <v>2459</v>
      </c>
      <c r="O571" s="15" t="s">
        <v>156</v>
      </c>
      <c r="P571" s="15" t="s">
        <v>2803</v>
      </c>
      <c r="Q571" s="15" t="s">
        <v>2804</v>
      </c>
      <c r="R571" s="16">
        <v>44329</v>
      </c>
      <c r="S571" s="17" t="s">
        <v>70</v>
      </c>
      <c r="T571" s="20">
        <f>HYPERLINK("https://vnm.spiral.com.vn//uploaded/20210513/1f0dfe3e-4502-4ee2-a349-3bddbe0c48d8.JPEG","15:42:32")</f>
      </c>
      <c r="U571" s="20">
        <f>HYPERLINK("https://vnm.spiral.com.vn//uploaded/20210513/afc7a3b5-8d3b-4ae5-8c7b-734c6231b48d.JPEG","16:14:19")</f>
      </c>
      <c r="V571" s="18">
        <v>0.02207175925925926</v>
      </c>
      <c r="W571" s="15" t="s">
        <v>4038</v>
      </c>
      <c r="X571" s="15" t="s">
        <v>4039</v>
      </c>
      <c r="Y571" s="15" t="s">
        <v>35</v>
      </c>
      <c r="Z571" s="19">
        <v>0</v>
      </c>
      <c r="AA571" s="15">
        <v>0</v>
      </c>
      <c r="AB571" s="15" t="s">
        <v>35</v>
      </c>
    </row>
    <row r="572">
      <c r="A572" s="15">
        <v>568</v>
      </c>
      <c r="B572" s="15" t="s">
        <v>87</v>
      </c>
      <c r="C572" s="15" t="s">
        <v>88</v>
      </c>
      <c r="D572" s="15" t="s">
        <v>135</v>
      </c>
      <c r="E572" s="15" t="s">
        <v>116</v>
      </c>
      <c r="F572" s="15" t="s">
        <v>35</v>
      </c>
      <c r="G572" s="15" t="s">
        <v>74</v>
      </c>
      <c r="H572" s="15" t="s">
        <v>4040</v>
      </c>
      <c r="I572" s="15" t="s">
        <v>4041</v>
      </c>
      <c r="J572" s="15" t="s">
        <v>4042</v>
      </c>
      <c r="K572" s="15" t="s">
        <v>390</v>
      </c>
      <c r="L572" s="15" t="s">
        <v>391</v>
      </c>
      <c r="M572" s="15" t="s">
        <v>392</v>
      </c>
      <c r="N572" s="15" t="s">
        <v>393</v>
      </c>
      <c r="O572" s="15" t="s">
        <v>82</v>
      </c>
      <c r="P572" s="15" t="s">
        <v>1415</v>
      </c>
      <c r="Q572" s="15" t="s">
        <v>1416</v>
      </c>
      <c r="R572" s="16">
        <v>44329</v>
      </c>
      <c r="S572" s="17" t="s">
        <v>70</v>
      </c>
      <c r="T572" s="20">
        <f>HYPERLINK("https://vnm.spiral.com.vn//uploaded/20210513/d5918db3-67a4-46c9-ac91-e9037e9717ed.jpg","13:15:15")</f>
      </c>
      <c r="U572" s="20">
        <f>HYPERLINK("https://vnm.spiral.com.vn//uploaded/20210513/74e10b35-fbec-40e3-a083-2c1802651613.jpg","16:14:06")</f>
      </c>
      <c r="V572" s="18">
        <v>0.12420138888888889</v>
      </c>
      <c r="W572" s="15" t="s">
        <v>4043</v>
      </c>
      <c r="X572" s="15" t="s">
        <v>4044</v>
      </c>
      <c r="Y572" s="15" t="s">
        <v>35</v>
      </c>
      <c r="Z572" s="19">
        <v>0</v>
      </c>
      <c r="AA572" s="15">
        <v>0</v>
      </c>
      <c r="AB572" s="15" t="s">
        <v>35</v>
      </c>
    </row>
    <row r="573">
      <c r="A573" s="15">
        <v>569</v>
      </c>
      <c r="B573" s="15" t="s">
        <v>87</v>
      </c>
      <c r="C573" s="15" t="s">
        <v>88</v>
      </c>
      <c r="D573" s="15" t="s">
        <v>148</v>
      </c>
      <c r="E573" s="15" t="s">
        <v>90</v>
      </c>
      <c r="F573" s="15" t="s">
        <v>35</v>
      </c>
      <c r="G573" s="15" t="s">
        <v>74</v>
      </c>
      <c r="H573" s="15" t="s">
        <v>1201</v>
      </c>
      <c r="I573" s="15" t="s">
        <v>1202</v>
      </c>
      <c r="J573" s="15" t="s">
        <v>1203</v>
      </c>
      <c r="K573" s="15" t="s">
        <v>1204</v>
      </c>
      <c r="L573" s="15" t="s">
        <v>1205</v>
      </c>
      <c r="M573" s="15" t="s">
        <v>1206</v>
      </c>
      <c r="N573" s="15" t="s">
        <v>1207</v>
      </c>
      <c r="O573" s="15" t="s">
        <v>156</v>
      </c>
      <c r="P573" s="15" t="s">
        <v>4045</v>
      </c>
      <c r="Q573" s="15" t="s">
        <v>4046</v>
      </c>
      <c r="R573" s="16">
        <v>44329</v>
      </c>
      <c r="S573" s="17" t="s">
        <v>159</v>
      </c>
      <c r="T573" s="20">
        <f>HYPERLINK("https://vnm.spiral.com.vn//uploaded/20210513/7ac50d08-921c-45f0-8094-78a4e0f2821f.jpg","06:55:54")</f>
      </c>
      <c r="U573" s="20">
        <f>HYPERLINK("https://vnm.spiral.com.vn//uploaded/20210513/18546d87-79ce-4ce2-875f-b17ad1990271.jpg","16:13:33")</f>
      </c>
      <c r="V573" s="18">
        <v>0.3872569444444444</v>
      </c>
      <c r="W573" s="15" t="s">
        <v>4047</v>
      </c>
      <c r="X573" s="15" t="s">
        <v>4048</v>
      </c>
      <c r="Y573" s="15" t="s">
        <v>35</v>
      </c>
      <c r="Z573" s="19">
        <v>0</v>
      </c>
      <c r="AA573" s="15">
        <v>0</v>
      </c>
      <c r="AB573" s="15" t="s">
        <v>35</v>
      </c>
    </row>
    <row r="574">
      <c r="A574" s="15">
        <v>570</v>
      </c>
      <c r="B574" s="15" t="s">
        <v>61</v>
      </c>
      <c r="C574" s="15" t="s">
        <v>320</v>
      </c>
      <c r="D574" s="15" t="s">
        <v>304</v>
      </c>
      <c r="E574" s="15" t="s">
        <v>305</v>
      </c>
      <c r="F574" s="15" t="s">
        <v>35</v>
      </c>
      <c r="G574" s="15" t="s">
        <v>74</v>
      </c>
      <c r="H574" s="15" t="s">
        <v>4049</v>
      </c>
      <c r="I574" s="15" t="s">
        <v>4050</v>
      </c>
      <c r="J574" s="15" t="s">
        <v>4051</v>
      </c>
      <c r="K574" s="15" t="s">
        <v>154</v>
      </c>
      <c r="L574" s="15" t="s">
        <v>155</v>
      </c>
      <c r="M574" s="15" t="s">
        <v>2458</v>
      </c>
      <c r="N574" s="15" t="s">
        <v>2459</v>
      </c>
      <c r="O574" s="15" t="s">
        <v>156</v>
      </c>
      <c r="P574" s="15" t="s">
        <v>4052</v>
      </c>
      <c r="Q574" s="15" t="s">
        <v>4053</v>
      </c>
      <c r="R574" s="16">
        <v>44329</v>
      </c>
      <c r="S574" s="17" t="s">
        <v>159</v>
      </c>
      <c r="T574" s="20">
        <f>HYPERLINK("https://vnm.spiral.com.vn//uploaded/20210513/753101d4-7714-44e7-85b2-ea76f1e8ac07.JPEG","06:49:49")</f>
      </c>
      <c r="U574" s="20">
        <f>HYPERLINK("https://vnm.spiral.com.vn//uploaded/20210513/5a2caa83-c336-4032-adbb-e90770b49516.JPEG","16:13:24")</f>
      </c>
      <c r="V574" s="18">
        <v>0.3913773148148148</v>
      </c>
      <c r="W574" s="15" t="s">
        <v>4054</v>
      </c>
      <c r="X574" s="15" t="s">
        <v>4055</v>
      </c>
      <c r="Y574" s="15" t="s">
        <v>35</v>
      </c>
      <c r="Z574" s="19">
        <v>0</v>
      </c>
      <c r="AA574" s="15">
        <v>0</v>
      </c>
      <c r="AB574" s="15" t="s">
        <v>35</v>
      </c>
    </row>
    <row r="575">
      <c r="A575" s="15">
        <v>571</v>
      </c>
      <c r="B575" s="15" t="s">
        <v>343</v>
      </c>
      <c r="C575" s="15" t="s">
        <v>344</v>
      </c>
      <c r="D575" s="15" t="s">
        <v>1644</v>
      </c>
      <c r="E575" s="15" t="s">
        <v>35</v>
      </c>
      <c r="F575" s="15" t="s">
        <v>35</v>
      </c>
      <c r="G575" s="15" t="s">
        <v>74</v>
      </c>
      <c r="H575" s="15" t="s">
        <v>4056</v>
      </c>
      <c r="I575" s="15" t="s">
        <v>4057</v>
      </c>
      <c r="J575" s="15" t="s">
        <v>4058</v>
      </c>
      <c r="K575" s="15" t="s">
        <v>584</v>
      </c>
      <c r="L575" s="15" t="s">
        <v>585</v>
      </c>
      <c r="M575" s="15" t="s">
        <v>827</v>
      </c>
      <c r="N575" s="15" t="s">
        <v>828</v>
      </c>
      <c r="O575" s="15" t="s">
        <v>82</v>
      </c>
      <c r="P575" s="15" t="s">
        <v>2717</v>
      </c>
      <c r="Q575" s="15" t="s">
        <v>2718</v>
      </c>
      <c r="R575" s="16">
        <v>44329</v>
      </c>
      <c r="S575" s="17" t="s">
        <v>70</v>
      </c>
      <c r="T575" s="20">
        <f>HYPERLINK("https://vnm.spiral.com.vn//uploaded/20210513/F4C491CC-2CB2-4711-B9A1-9B0DCB730A05.jpg","15:55:01")</f>
      </c>
      <c r="U575" s="20">
        <f>HYPERLINK("https://vnm.spiral.com.vn//uploaded/20210513/E3C0026F-1D69-4D7C-8046-0D25A1CADC0E.jpg","16:12:59")</f>
      </c>
      <c r="V575" s="18">
        <v>0.012476851851851852</v>
      </c>
      <c r="W575" s="15" t="s">
        <v>4059</v>
      </c>
      <c r="X575" s="15" t="s">
        <v>4060</v>
      </c>
      <c r="Y575" s="15" t="s">
        <v>35</v>
      </c>
      <c r="Z575" s="19">
        <v>0</v>
      </c>
      <c r="AA575" s="15">
        <v>0</v>
      </c>
      <c r="AB575" s="15" t="s">
        <v>35</v>
      </c>
    </row>
    <row r="576">
      <c r="A576" s="15">
        <v>572</v>
      </c>
      <c r="B576" s="15" t="s">
        <v>87</v>
      </c>
      <c r="C576" s="15" t="s">
        <v>88</v>
      </c>
      <c r="D576" s="15" t="s">
        <v>35</v>
      </c>
      <c r="E576" s="15" t="s">
        <v>35</v>
      </c>
      <c r="F576" s="15" t="s">
        <v>2667</v>
      </c>
      <c r="G576" s="15" t="s">
        <v>36</v>
      </c>
      <c r="H576" s="15" t="s">
        <v>4061</v>
      </c>
      <c r="I576" s="15" t="s">
        <v>4062</v>
      </c>
      <c r="J576" s="15" t="s">
        <v>4063</v>
      </c>
      <c r="K576" s="15" t="s">
        <v>40</v>
      </c>
      <c r="L576" s="15" t="s">
        <v>41</v>
      </c>
      <c r="M576" s="15" t="s">
        <v>1195</v>
      </c>
      <c r="N576" s="15" t="s">
        <v>1196</v>
      </c>
      <c r="O576" s="15" t="s">
        <v>44</v>
      </c>
      <c r="P576" s="15" t="s">
        <v>4064</v>
      </c>
      <c r="Q576" s="15" t="s">
        <v>4065</v>
      </c>
      <c r="R576" s="16">
        <v>44329</v>
      </c>
      <c r="S576" s="17" t="s">
        <v>2003</v>
      </c>
      <c r="T576" s="20">
        <f>HYPERLINK("https://vnm.spiral.com.vn//uploaded/20210513/B4C0352B-3FC6-4B3D-BAB1-2CBCF32281B2.jpg","16:12:24")</f>
      </c>
      <c r="U576" s="18"/>
      <c r="V576" s="18" t="s">
        <v>35</v>
      </c>
      <c r="W576" s="15" t="s">
        <v>4066</v>
      </c>
      <c r="X576" s="15" t="s">
        <v>35</v>
      </c>
      <c r="Y576" s="15" t="s">
        <v>35</v>
      </c>
      <c r="Z576" s="19">
        <v>0</v>
      </c>
      <c r="AA576" s="15">
        <v>0</v>
      </c>
      <c r="AB576" s="15" t="s">
        <v>35</v>
      </c>
    </row>
    <row r="577">
      <c r="A577" s="15">
        <v>573</v>
      </c>
      <c r="B577" s="15" t="s">
        <v>61</v>
      </c>
      <c r="C577" s="15" t="s">
        <v>904</v>
      </c>
      <c r="D577" s="15" t="s">
        <v>35</v>
      </c>
      <c r="E577" s="15" t="s">
        <v>35</v>
      </c>
      <c r="F577" s="15" t="s">
        <v>35</v>
      </c>
      <c r="G577" s="15" t="s">
        <v>36</v>
      </c>
      <c r="H577" s="15" t="s">
        <v>4067</v>
      </c>
      <c r="I577" s="15" t="s">
        <v>4068</v>
      </c>
      <c r="J577" s="15" t="s">
        <v>4069</v>
      </c>
      <c r="K577" s="15" t="s">
        <v>40</v>
      </c>
      <c r="L577" s="15" t="s">
        <v>41</v>
      </c>
      <c r="M577" s="15" t="s">
        <v>66</v>
      </c>
      <c r="N577" s="15" t="s">
        <v>67</v>
      </c>
      <c r="O577" s="15" t="s">
        <v>44</v>
      </c>
      <c r="P577" s="15" t="s">
        <v>4070</v>
      </c>
      <c r="Q577" s="15" t="s">
        <v>4071</v>
      </c>
      <c r="R577" s="16">
        <v>44329</v>
      </c>
      <c r="S577" s="17" t="s">
        <v>256</v>
      </c>
      <c r="T577" s="20">
        <f>HYPERLINK("https://vnm.spiral.com.vn//uploaded/20210513/C39CE3DC-DB3B-4352-ADF8-28C0C040ED29.jpg","07:34:17")</f>
      </c>
      <c r="U577" s="20">
        <f>HYPERLINK("https://vnm.spiral.com.vn//uploaded/20210513/77C6C678-FBFF-4652-99FE-22D4668F13AF.jpg","16:12:17")</f>
      </c>
      <c r="V577" s="18">
        <v>0.3597222222222222</v>
      </c>
      <c r="W577" s="15" t="s">
        <v>4072</v>
      </c>
      <c r="X577" s="15" t="s">
        <v>4073</v>
      </c>
      <c r="Y577" s="15" t="s">
        <v>35</v>
      </c>
      <c r="Z577" s="19">
        <v>0</v>
      </c>
      <c r="AA577" s="15">
        <v>0</v>
      </c>
      <c r="AB577" s="15" t="s">
        <v>35</v>
      </c>
    </row>
    <row r="578">
      <c r="A578" s="15">
        <v>574</v>
      </c>
      <c r="B578" s="15" t="s">
        <v>87</v>
      </c>
      <c r="C578" s="15" t="s">
        <v>88</v>
      </c>
      <c r="D578" s="15" t="s">
        <v>35</v>
      </c>
      <c r="E578" s="15" t="s">
        <v>35</v>
      </c>
      <c r="F578" s="15" t="s">
        <v>2077</v>
      </c>
      <c r="G578" s="15" t="s">
        <v>36</v>
      </c>
      <c r="H578" s="15" t="s">
        <v>4074</v>
      </c>
      <c r="I578" s="15" t="s">
        <v>4075</v>
      </c>
      <c r="J578" s="15" t="s">
        <v>4076</v>
      </c>
      <c r="K578" s="15" t="s">
        <v>40</v>
      </c>
      <c r="L578" s="15" t="s">
        <v>41</v>
      </c>
      <c r="M578" s="15" t="s">
        <v>289</v>
      </c>
      <c r="N578" s="15" t="s">
        <v>290</v>
      </c>
      <c r="O578" s="15" t="s">
        <v>44</v>
      </c>
      <c r="P578" s="15" t="s">
        <v>4077</v>
      </c>
      <c r="Q578" s="15" t="s">
        <v>4078</v>
      </c>
      <c r="R578" s="16">
        <v>44329</v>
      </c>
      <c r="S578" s="17" t="s">
        <v>2925</v>
      </c>
      <c r="T578" s="20">
        <f>HYPERLINK("https://vnm.spiral.com.vn//uploaded/20210513/8aa1d6e5-8792-45d8-93f9-4fbc4847d36b.JPEG","16:12:16")</f>
      </c>
      <c r="U578" s="18"/>
      <c r="V578" s="18" t="s">
        <v>35</v>
      </c>
      <c r="W578" s="15" t="s">
        <v>4079</v>
      </c>
      <c r="X578" s="15" t="s">
        <v>35</v>
      </c>
      <c r="Y578" s="15" t="s">
        <v>35</v>
      </c>
      <c r="Z578" s="19">
        <v>0</v>
      </c>
      <c r="AA578" s="15">
        <v>0</v>
      </c>
      <c r="AB578" s="15" t="s">
        <v>35</v>
      </c>
    </row>
    <row r="579">
      <c r="A579" s="15">
        <v>575</v>
      </c>
      <c r="B579" s="15" t="s">
        <v>87</v>
      </c>
      <c r="C579" s="15" t="s">
        <v>88</v>
      </c>
      <c r="D579" s="15" t="s">
        <v>357</v>
      </c>
      <c r="E579" s="15" t="s">
        <v>90</v>
      </c>
      <c r="F579" s="15" t="s">
        <v>35</v>
      </c>
      <c r="G579" s="15" t="s">
        <v>74</v>
      </c>
      <c r="H579" s="15" t="s">
        <v>4080</v>
      </c>
      <c r="I579" s="15" t="s">
        <v>4081</v>
      </c>
      <c r="J579" s="15" t="s">
        <v>4082</v>
      </c>
      <c r="K579" s="15" t="s">
        <v>94</v>
      </c>
      <c r="L579" s="15" t="s">
        <v>95</v>
      </c>
      <c r="M579" s="15" t="s">
        <v>1570</v>
      </c>
      <c r="N579" s="15" t="s">
        <v>1571</v>
      </c>
      <c r="O579" s="15" t="s">
        <v>98</v>
      </c>
      <c r="P579" s="15" t="s">
        <v>1572</v>
      </c>
      <c r="Q579" s="15" t="s">
        <v>1573</v>
      </c>
      <c r="R579" s="16">
        <v>44329</v>
      </c>
      <c r="S579" s="17" t="s">
        <v>70</v>
      </c>
      <c r="T579" s="20">
        <f>HYPERLINK("https://vnm.spiral.com.vn//uploaded/20210513/c050b81c-bdfa-4e56-8c20-7230441fcf01.JPEG","15:43:45")</f>
      </c>
      <c r="U579" s="20">
        <f>HYPERLINK("https://vnm.spiral.com.vn//uploaded/20210513/4fee707a-daac-4938-b187-9dabe18cb7ee.JPEG","16:12:16")</f>
      </c>
      <c r="V579" s="18">
        <v>0.01980324074074074</v>
      </c>
      <c r="W579" s="15" t="s">
        <v>4083</v>
      </c>
      <c r="X579" s="15" t="s">
        <v>4084</v>
      </c>
      <c r="Y579" s="15" t="s">
        <v>35</v>
      </c>
      <c r="Z579" s="19">
        <v>0</v>
      </c>
      <c r="AA579" s="15">
        <v>0</v>
      </c>
      <c r="AB579" s="15" t="s">
        <v>35</v>
      </c>
    </row>
    <row r="580">
      <c r="A580" s="15">
        <v>576</v>
      </c>
      <c r="B580" s="15" t="s">
        <v>103</v>
      </c>
      <c r="C580" s="15" t="s">
        <v>186</v>
      </c>
      <c r="D580" s="15" t="s">
        <v>432</v>
      </c>
      <c r="E580" s="15" t="s">
        <v>116</v>
      </c>
      <c r="F580" s="15" t="s">
        <v>35</v>
      </c>
      <c r="G580" s="15" t="s">
        <v>74</v>
      </c>
      <c r="H580" s="15" t="s">
        <v>4085</v>
      </c>
      <c r="I580" s="15" t="s">
        <v>4086</v>
      </c>
      <c r="J580" s="15" t="s">
        <v>4087</v>
      </c>
      <c r="K580" s="15" t="s">
        <v>436</v>
      </c>
      <c r="L580" s="15" t="s">
        <v>437</v>
      </c>
      <c r="M580" s="15" t="s">
        <v>438</v>
      </c>
      <c r="N580" s="15" t="s">
        <v>439</v>
      </c>
      <c r="O580" s="15" t="s">
        <v>82</v>
      </c>
      <c r="P580" s="15" t="s">
        <v>1886</v>
      </c>
      <c r="Q580" s="15" t="s">
        <v>1887</v>
      </c>
      <c r="R580" s="16">
        <v>44329</v>
      </c>
      <c r="S580" s="17" t="s">
        <v>70</v>
      </c>
      <c r="T580" s="20">
        <f>HYPERLINK("https://vnm.spiral.com.vn//uploaded/20210513/16136a7f-c3f9-47de-8dd5-94ec9d6fc5a5.JPEG","15:43:46")</f>
      </c>
      <c r="U580" s="20">
        <f>HYPERLINK("https://vnm.spiral.com.vn//uploaded/20210513/bbb1d689-d9cb-433e-93d8-6157015e6a68.JPEG","16:11:59")</f>
      </c>
      <c r="V580" s="18">
        <v>0.019594907407407408</v>
      </c>
      <c r="W580" s="15" t="s">
        <v>4088</v>
      </c>
      <c r="X580" s="15" t="s">
        <v>4089</v>
      </c>
      <c r="Y580" s="15" t="s">
        <v>35</v>
      </c>
      <c r="Z580" s="19">
        <v>0</v>
      </c>
      <c r="AA580" s="15">
        <v>0</v>
      </c>
      <c r="AB580" s="15" t="s">
        <v>35</v>
      </c>
    </row>
    <row r="581">
      <c r="A581" s="15">
        <v>577</v>
      </c>
      <c r="B581" s="15" t="s">
        <v>87</v>
      </c>
      <c r="C581" s="15" t="s">
        <v>88</v>
      </c>
      <c r="D581" s="15" t="s">
        <v>135</v>
      </c>
      <c r="E581" s="15" t="s">
        <v>116</v>
      </c>
      <c r="F581" s="15" t="s">
        <v>35</v>
      </c>
      <c r="G581" s="15" t="s">
        <v>74</v>
      </c>
      <c r="H581" s="15" t="s">
        <v>4090</v>
      </c>
      <c r="I581" s="15" t="s">
        <v>4091</v>
      </c>
      <c r="J581" s="15" t="s">
        <v>4092</v>
      </c>
      <c r="K581" s="15" t="s">
        <v>94</v>
      </c>
      <c r="L581" s="15" t="s">
        <v>95</v>
      </c>
      <c r="M581" s="15" t="s">
        <v>390</v>
      </c>
      <c r="N581" s="15" t="s">
        <v>391</v>
      </c>
      <c r="O581" s="15" t="s">
        <v>98</v>
      </c>
      <c r="P581" s="15" t="s">
        <v>392</v>
      </c>
      <c r="Q581" s="15" t="s">
        <v>393</v>
      </c>
      <c r="R581" s="16">
        <v>44329</v>
      </c>
      <c r="S581" s="17" t="s">
        <v>35</v>
      </c>
      <c r="T581" s="20">
        <f>HYPERLINK("https://vnm.spiral.com.vn//uploaded/20210513/e1168e41-29d9-45c3-beea-2eb089df886b.jpg","11:50:27")</f>
      </c>
      <c r="U581" s="20">
        <f>HYPERLINK("https://vnm.spiral.com.vn//uploaded/20210513/66a5244b-d44d-4979-9d62-355c0c33056f.jpg","16:11:49")</f>
      </c>
      <c r="V581" s="18">
        <v>0.18150462962962963</v>
      </c>
      <c r="W581" s="15" t="s">
        <v>4093</v>
      </c>
      <c r="X581" s="15" t="s">
        <v>4094</v>
      </c>
      <c r="Y581" s="15" t="s">
        <v>35</v>
      </c>
      <c r="Z581" s="19">
        <v>0</v>
      </c>
      <c r="AA581" s="15">
        <v>0</v>
      </c>
      <c r="AB581" s="15" t="s">
        <v>35</v>
      </c>
    </row>
    <row r="582">
      <c r="A582" s="15">
        <v>578</v>
      </c>
      <c r="B582" s="15" t="s">
        <v>246</v>
      </c>
      <c r="C582" s="15" t="s">
        <v>276</v>
      </c>
      <c r="D582" s="15" t="s">
        <v>148</v>
      </c>
      <c r="E582" s="15" t="s">
        <v>90</v>
      </c>
      <c r="F582" s="15" t="s">
        <v>35</v>
      </c>
      <c r="G582" s="15" t="s">
        <v>74</v>
      </c>
      <c r="H582" s="15" t="s">
        <v>4095</v>
      </c>
      <c r="I582" s="15" t="s">
        <v>4096</v>
      </c>
      <c r="J582" s="15" t="s">
        <v>4097</v>
      </c>
      <c r="K582" s="15" t="s">
        <v>263</v>
      </c>
      <c r="L582" s="15" t="s">
        <v>264</v>
      </c>
      <c r="M582" s="15" t="s">
        <v>280</v>
      </c>
      <c r="N582" s="15" t="s">
        <v>281</v>
      </c>
      <c r="O582" s="15" t="s">
        <v>156</v>
      </c>
      <c r="P582" s="15" t="s">
        <v>4098</v>
      </c>
      <c r="Q582" s="15" t="s">
        <v>4099</v>
      </c>
      <c r="R582" s="16">
        <v>44329</v>
      </c>
      <c r="S582" s="17" t="s">
        <v>159</v>
      </c>
      <c r="T582" s="20">
        <f>HYPERLINK("https://vnm.spiral.com.vn//uploaded/20210513/11E85351-202C-4C82-BF00-F30E5535D1F1.jpg","06:54:35")</f>
      </c>
      <c r="U582" s="20">
        <f>HYPERLINK("https://vnm.spiral.com.vn//uploaded/20210513/648F244F-5555-436F-BB22-7C1376045695.jpg","16:11:43")</f>
      </c>
      <c r="V582" s="18">
        <v>0.38689814814814816</v>
      </c>
      <c r="W582" s="15" t="s">
        <v>4100</v>
      </c>
      <c r="X582" s="15" t="s">
        <v>4101</v>
      </c>
      <c r="Y582" s="15" t="s">
        <v>35</v>
      </c>
      <c r="Z582" s="19">
        <v>0</v>
      </c>
      <c r="AA582" s="15">
        <v>0</v>
      </c>
      <c r="AB582" s="15" t="s">
        <v>35</v>
      </c>
    </row>
    <row r="583">
      <c r="A583" s="15">
        <v>579</v>
      </c>
      <c r="B583" s="15" t="s">
        <v>61</v>
      </c>
      <c r="C583" s="15" t="s">
        <v>904</v>
      </c>
      <c r="D583" s="15" t="s">
        <v>35</v>
      </c>
      <c r="E583" s="15" t="s">
        <v>35</v>
      </c>
      <c r="F583" s="15" t="s">
        <v>35</v>
      </c>
      <c r="G583" s="15" t="s">
        <v>36</v>
      </c>
      <c r="H583" s="15" t="s">
        <v>4102</v>
      </c>
      <c r="I583" s="15" t="s">
        <v>4103</v>
      </c>
      <c r="J583" s="15" t="s">
        <v>4104</v>
      </c>
      <c r="K583" s="15" t="s">
        <v>40</v>
      </c>
      <c r="L583" s="15" t="s">
        <v>41</v>
      </c>
      <c r="M583" s="15" t="s">
        <v>66</v>
      </c>
      <c r="N583" s="15" t="s">
        <v>67</v>
      </c>
      <c r="O583" s="15" t="s">
        <v>44</v>
      </c>
      <c r="P583" s="15" t="s">
        <v>4105</v>
      </c>
      <c r="Q583" s="15" t="s">
        <v>4106</v>
      </c>
      <c r="R583" s="16">
        <v>44329</v>
      </c>
      <c r="S583" s="17" t="s">
        <v>273</v>
      </c>
      <c r="T583" s="20">
        <f>HYPERLINK("https://vnm.spiral.com.vn//uploaded/20210513/5F39A2D3-9C90-446C-A834-BE33538E79B7.jpg","07:13:11")</f>
      </c>
      <c r="U583" s="20">
        <f>HYPERLINK("https://vnm.spiral.com.vn//uploaded/20210513/7F567649-41DE-43F2-B87D-A377B3061595.jpg","16:11:37")</f>
      </c>
      <c r="V583" s="18">
        <v>0.373912037037037</v>
      </c>
      <c r="W583" s="15" t="s">
        <v>4107</v>
      </c>
      <c r="X583" s="15" t="s">
        <v>4108</v>
      </c>
      <c r="Y583" s="15" t="s">
        <v>35</v>
      </c>
      <c r="Z583" s="19">
        <v>0</v>
      </c>
      <c r="AA583" s="15">
        <v>0</v>
      </c>
      <c r="AB583" s="15" t="s">
        <v>35</v>
      </c>
    </row>
    <row r="584">
      <c r="A584" s="15">
        <v>580</v>
      </c>
      <c r="B584" s="15" t="s">
        <v>103</v>
      </c>
      <c r="C584" s="15" t="s">
        <v>2116</v>
      </c>
      <c r="D584" s="15" t="s">
        <v>35</v>
      </c>
      <c r="E584" s="15" t="s">
        <v>35</v>
      </c>
      <c r="F584" s="15" t="s">
        <v>35</v>
      </c>
      <c r="G584" s="15" t="s">
        <v>35</v>
      </c>
      <c r="H584" s="15" t="s">
        <v>4109</v>
      </c>
      <c r="I584" s="15" t="s">
        <v>4110</v>
      </c>
      <c r="J584" s="15" t="s">
        <v>4111</v>
      </c>
      <c r="K584" s="15" t="s">
        <v>40</v>
      </c>
      <c r="L584" s="15" t="s">
        <v>41</v>
      </c>
      <c r="M584" s="15" t="s">
        <v>108</v>
      </c>
      <c r="N584" s="15" t="s">
        <v>109</v>
      </c>
      <c r="O584" s="15" t="s">
        <v>44</v>
      </c>
      <c r="P584" s="15" t="s">
        <v>4112</v>
      </c>
      <c r="Q584" s="15" t="s">
        <v>4113</v>
      </c>
      <c r="R584" s="16">
        <v>44329</v>
      </c>
      <c r="S584" s="17" t="s">
        <v>159</v>
      </c>
      <c r="T584" s="20">
        <f>HYPERLINK("https://vnm.spiral.com.vn//uploaded/20210513/7b2066a8-71fe-468c-9ae3-3402ec984b55.JPEG","07:03:14")</f>
      </c>
      <c r="U584" s="20">
        <f>HYPERLINK("https://vnm.spiral.com.vn//uploaded/20210513/93f34c7a-f063-4a02-8d89-edd05f70d286.JPEG","16:11:36")</f>
      </c>
      <c r="V584" s="18">
        <v>0.38081018518518517</v>
      </c>
      <c r="W584" s="15" t="s">
        <v>4114</v>
      </c>
      <c r="X584" s="15" t="s">
        <v>4115</v>
      </c>
      <c r="Y584" s="15" t="s">
        <v>35</v>
      </c>
      <c r="Z584" s="19">
        <v>0</v>
      </c>
      <c r="AA584" s="15">
        <v>0</v>
      </c>
      <c r="AB584" s="15" t="s">
        <v>35</v>
      </c>
    </row>
    <row r="585">
      <c r="A585" s="15">
        <v>581</v>
      </c>
      <c r="B585" s="15" t="s">
        <v>87</v>
      </c>
      <c r="C585" s="15" t="s">
        <v>88</v>
      </c>
      <c r="D585" s="15" t="s">
        <v>35</v>
      </c>
      <c r="E585" s="15" t="s">
        <v>35</v>
      </c>
      <c r="F585" s="15" t="s">
        <v>2773</v>
      </c>
      <c r="G585" s="15" t="s">
        <v>36</v>
      </c>
      <c r="H585" s="15" t="s">
        <v>4116</v>
      </c>
      <c r="I585" s="15" t="s">
        <v>4117</v>
      </c>
      <c r="J585" s="15" t="s">
        <v>4118</v>
      </c>
      <c r="K585" s="15" t="s">
        <v>40</v>
      </c>
      <c r="L585" s="15" t="s">
        <v>41</v>
      </c>
      <c r="M585" s="15" t="s">
        <v>810</v>
      </c>
      <c r="N585" s="15" t="s">
        <v>811</v>
      </c>
      <c r="O585" s="15" t="s">
        <v>44</v>
      </c>
      <c r="P585" s="15" t="s">
        <v>4119</v>
      </c>
      <c r="Q585" s="15" t="s">
        <v>4120</v>
      </c>
      <c r="R585" s="16">
        <v>44329</v>
      </c>
      <c r="S585" s="17" t="s">
        <v>475</v>
      </c>
      <c r="T585" s="20">
        <f>HYPERLINK("https://vnm.spiral.com.vn//uploaded/20210513/cefeea9b-8199-44e8-bc0e-d898fe5fcd6f.JPEG","08:01:24")</f>
      </c>
      <c r="U585" s="20">
        <f>HYPERLINK("https://vnm.spiral.com.vn//uploaded/20210513/a8fdc562-a8a1-4777-93a3-2551ea5bfad4.JPEG","16:11:35")</f>
      </c>
      <c r="V585" s="18">
        <v>0.3404050925925926</v>
      </c>
      <c r="W585" s="15" t="s">
        <v>4121</v>
      </c>
      <c r="X585" s="15" t="s">
        <v>4122</v>
      </c>
      <c r="Y585" s="15" t="s">
        <v>35</v>
      </c>
      <c r="Z585" s="19">
        <v>0</v>
      </c>
      <c r="AA585" s="15">
        <v>0</v>
      </c>
      <c r="AB585" s="15" t="s">
        <v>35</v>
      </c>
    </row>
    <row r="586">
      <c r="A586" s="15">
        <v>582</v>
      </c>
      <c r="B586" s="15" t="s">
        <v>87</v>
      </c>
      <c r="C586" s="15" t="s">
        <v>88</v>
      </c>
      <c r="D586" s="15" t="s">
        <v>35</v>
      </c>
      <c r="E586" s="15" t="s">
        <v>35</v>
      </c>
      <c r="F586" s="15" t="s">
        <v>1091</v>
      </c>
      <c r="G586" s="15" t="s">
        <v>36</v>
      </c>
      <c r="H586" s="15" t="s">
        <v>4123</v>
      </c>
      <c r="I586" s="15" t="s">
        <v>4124</v>
      </c>
      <c r="J586" s="15" t="s">
        <v>4125</v>
      </c>
      <c r="K586" s="15" t="s">
        <v>40</v>
      </c>
      <c r="L586" s="15" t="s">
        <v>41</v>
      </c>
      <c r="M586" s="15" t="s">
        <v>810</v>
      </c>
      <c r="N586" s="15" t="s">
        <v>811</v>
      </c>
      <c r="O586" s="15" t="s">
        <v>44</v>
      </c>
      <c r="P586" s="15" t="s">
        <v>4126</v>
      </c>
      <c r="Q586" s="15" t="s">
        <v>4127</v>
      </c>
      <c r="R586" s="16">
        <v>44329</v>
      </c>
      <c r="S586" s="17" t="s">
        <v>2925</v>
      </c>
      <c r="T586" s="20">
        <f>HYPERLINK("https://vnm.spiral.com.vn//uploaded/20210513/732c8c50-edef-456f-9b4d-80544c9860c5.JPEG","16:11:31")</f>
      </c>
      <c r="U586" s="18"/>
      <c r="V586" s="18" t="s">
        <v>35</v>
      </c>
      <c r="W586" s="15" t="s">
        <v>4128</v>
      </c>
      <c r="X586" s="15" t="s">
        <v>35</v>
      </c>
      <c r="Y586" s="15" t="s">
        <v>35</v>
      </c>
      <c r="Z586" s="19">
        <v>0</v>
      </c>
      <c r="AA586" s="15">
        <v>0</v>
      </c>
      <c r="AB586" s="15" t="s">
        <v>35</v>
      </c>
    </row>
    <row r="587">
      <c r="A587" s="15">
        <v>583</v>
      </c>
      <c r="B587" s="15" t="s">
        <v>87</v>
      </c>
      <c r="C587" s="15" t="s">
        <v>88</v>
      </c>
      <c r="D587" s="15" t="s">
        <v>148</v>
      </c>
      <c r="E587" s="15" t="s">
        <v>90</v>
      </c>
      <c r="F587" s="15" t="s">
        <v>35</v>
      </c>
      <c r="G587" s="15" t="s">
        <v>74</v>
      </c>
      <c r="H587" s="15" t="s">
        <v>1201</v>
      </c>
      <c r="I587" s="15" t="s">
        <v>1202</v>
      </c>
      <c r="J587" s="15" t="s">
        <v>1203</v>
      </c>
      <c r="K587" s="15" t="s">
        <v>1204</v>
      </c>
      <c r="L587" s="15" t="s">
        <v>1205</v>
      </c>
      <c r="M587" s="15" t="s">
        <v>1206</v>
      </c>
      <c r="N587" s="15" t="s">
        <v>1207</v>
      </c>
      <c r="O587" s="15" t="s">
        <v>156</v>
      </c>
      <c r="P587" s="15" t="s">
        <v>4129</v>
      </c>
      <c r="Q587" s="15" t="s">
        <v>4130</v>
      </c>
      <c r="R587" s="16">
        <v>44329</v>
      </c>
      <c r="S587" s="17" t="s">
        <v>4131</v>
      </c>
      <c r="T587" s="20">
        <f>HYPERLINK("https://vnm.spiral.com.vn//uploaded/20210513/66BEF868-5ADE-455B-888C-713FE54AAC4C.jpg","07:14:52")</f>
      </c>
      <c r="U587" s="20">
        <f>HYPERLINK("https://vnm.spiral.com.vn//uploaded/20210513/ACCDC950-FBC4-4981-824B-3AEC719CA20A.jpg","16:11:31")</f>
      </c>
      <c r="V587" s="18">
        <v>0.37267361111111114</v>
      </c>
      <c r="W587" s="15" t="s">
        <v>4132</v>
      </c>
      <c r="X587" s="15" t="s">
        <v>4133</v>
      </c>
      <c r="Y587" s="15" t="s">
        <v>35</v>
      </c>
      <c r="Z587" s="19">
        <v>0</v>
      </c>
      <c r="AA587" s="15">
        <v>0</v>
      </c>
      <c r="AB587" s="15" t="s">
        <v>35</v>
      </c>
    </row>
    <row r="588">
      <c r="A588" s="15">
        <v>584</v>
      </c>
      <c r="B588" s="15" t="s">
        <v>61</v>
      </c>
      <c r="C588" s="15" t="s">
        <v>147</v>
      </c>
      <c r="D588" s="15" t="s">
        <v>35</v>
      </c>
      <c r="E588" s="15" t="s">
        <v>35</v>
      </c>
      <c r="F588" s="15" t="s">
        <v>35</v>
      </c>
      <c r="G588" s="15" t="s">
        <v>36</v>
      </c>
      <c r="H588" s="15" t="s">
        <v>4134</v>
      </c>
      <c r="I588" s="15" t="s">
        <v>4135</v>
      </c>
      <c r="J588" s="15" t="s">
        <v>4136</v>
      </c>
      <c r="K588" s="15" t="s">
        <v>40</v>
      </c>
      <c r="L588" s="15" t="s">
        <v>41</v>
      </c>
      <c r="M588" s="15" t="s">
        <v>66</v>
      </c>
      <c r="N588" s="15" t="s">
        <v>67</v>
      </c>
      <c r="O588" s="15" t="s">
        <v>44</v>
      </c>
      <c r="P588" s="15" t="s">
        <v>4137</v>
      </c>
      <c r="Q588" s="15" t="s">
        <v>4138</v>
      </c>
      <c r="R588" s="16">
        <v>44329</v>
      </c>
      <c r="S588" s="17" t="s">
        <v>273</v>
      </c>
      <c r="T588" s="20">
        <f>HYPERLINK("https://vnm.spiral.com.vn//uploaded/20210513/41ebc792-c9ad-464b-96fc-f7d57f48414b.JPEG","07:20:57")</f>
      </c>
      <c r="U588" s="20">
        <f>HYPERLINK("https://vnm.spiral.com.vn//uploaded/20210513/d6f08c50-c456-4e93-b36f-1197d5547228.JPEG","16:11:30")</f>
      </c>
      <c r="V588" s="18">
        <v>0.3684375</v>
      </c>
      <c r="W588" s="15" t="s">
        <v>4139</v>
      </c>
      <c r="X588" s="15" t="s">
        <v>4140</v>
      </c>
      <c r="Y588" s="15" t="s">
        <v>35</v>
      </c>
      <c r="Z588" s="19">
        <v>0</v>
      </c>
      <c r="AA588" s="15">
        <v>0</v>
      </c>
      <c r="AB588" s="15" t="s">
        <v>35</v>
      </c>
    </row>
    <row r="589">
      <c r="A589" s="15">
        <v>585</v>
      </c>
      <c r="B589" s="15" t="s">
        <v>343</v>
      </c>
      <c r="C589" s="15" t="s">
        <v>344</v>
      </c>
      <c r="D589" s="15" t="s">
        <v>432</v>
      </c>
      <c r="E589" s="15" t="s">
        <v>116</v>
      </c>
      <c r="F589" s="15" t="s">
        <v>35</v>
      </c>
      <c r="G589" s="15" t="s">
        <v>74</v>
      </c>
      <c r="H589" s="15" t="s">
        <v>4141</v>
      </c>
      <c r="I589" s="15" t="s">
        <v>4142</v>
      </c>
      <c r="J589" s="15" t="s">
        <v>4143</v>
      </c>
      <c r="K589" s="15" t="s">
        <v>1168</v>
      </c>
      <c r="L589" s="15" t="s">
        <v>1169</v>
      </c>
      <c r="M589" s="15" t="s">
        <v>1170</v>
      </c>
      <c r="N589" s="15" t="s">
        <v>1171</v>
      </c>
      <c r="O589" s="15" t="s">
        <v>82</v>
      </c>
      <c r="P589" s="15" t="s">
        <v>3799</v>
      </c>
      <c r="Q589" s="15" t="s">
        <v>3800</v>
      </c>
      <c r="R589" s="16">
        <v>44329</v>
      </c>
      <c r="S589" s="17" t="s">
        <v>70</v>
      </c>
      <c r="T589" s="20">
        <f>HYPERLINK("https://vnm.spiral.com.vn//uploaded/20210513/1354aa9d-c396-4b75-95e2-3198c045f3ba.JPEG","15:40:41")</f>
      </c>
      <c r="U589" s="20">
        <f>HYPERLINK("https://vnm.spiral.com.vn//uploaded/20210513/94da6175-5b8c-4075-8885-c9bb60192d39.JPEG","16:11:27")</f>
      </c>
      <c r="V589" s="18">
        <v>0.02136574074074074</v>
      </c>
      <c r="W589" s="15" t="s">
        <v>4144</v>
      </c>
      <c r="X589" s="15" t="s">
        <v>4145</v>
      </c>
      <c r="Y589" s="15" t="s">
        <v>35</v>
      </c>
      <c r="Z589" s="19">
        <v>0</v>
      </c>
      <c r="AA589" s="15">
        <v>0</v>
      </c>
      <c r="AB589" s="15" t="s">
        <v>35</v>
      </c>
    </row>
    <row r="590">
      <c r="A590" s="15">
        <v>586</v>
      </c>
      <c r="B590" s="15" t="s">
        <v>246</v>
      </c>
      <c r="C590" s="15" t="s">
        <v>259</v>
      </c>
      <c r="D590" s="15" t="s">
        <v>35</v>
      </c>
      <c r="E590" s="15" t="s">
        <v>35</v>
      </c>
      <c r="F590" s="15" t="s">
        <v>943</v>
      </c>
      <c r="G590" s="15" t="s">
        <v>36</v>
      </c>
      <c r="H590" s="15" t="s">
        <v>4146</v>
      </c>
      <c r="I590" s="15" t="s">
        <v>4147</v>
      </c>
      <c r="J590" s="15" t="s">
        <v>4148</v>
      </c>
      <c r="K590" s="15" t="s">
        <v>40</v>
      </c>
      <c r="L590" s="15" t="s">
        <v>41</v>
      </c>
      <c r="M590" s="15" t="s">
        <v>252</v>
      </c>
      <c r="N590" s="15" t="s">
        <v>253</v>
      </c>
      <c r="O590" s="15" t="s">
        <v>44</v>
      </c>
      <c r="P590" s="15" t="s">
        <v>4149</v>
      </c>
      <c r="Q590" s="15" t="s">
        <v>4150</v>
      </c>
      <c r="R590" s="16">
        <v>44329</v>
      </c>
      <c r="S590" s="17" t="s">
        <v>2925</v>
      </c>
      <c r="T590" s="20">
        <f>HYPERLINK("https://vnm.spiral.com.vn//uploaded/20210513/F2FF2359-2067-436D-B81F-94A751FC4318.jpg","16:11:17")</f>
      </c>
      <c r="U590" s="18"/>
      <c r="V590" s="18" t="s">
        <v>35</v>
      </c>
      <c r="W590" s="15" t="s">
        <v>4151</v>
      </c>
      <c r="X590" s="15" t="s">
        <v>35</v>
      </c>
      <c r="Y590" s="15" t="s">
        <v>35</v>
      </c>
      <c r="Z590" s="19">
        <v>0</v>
      </c>
      <c r="AA590" s="15">
        <v>0</v>
      </c>
      <c r="AB590" s="15" t="s">
        <v>35</v>
      </c>
    </row>
    <row r="591">
      <c r="A591" s="15">
        <v>587</v>
      </c>
      <c r="B591" s="15" t="s">
        <v>33</v>
      </c>
      <c r="C591" s="15" t="s">
        <v>765</v>
      </c>
      <c r="D591" s="15" t="s">
        <v>35</v>
      </c>
      <c r="E591" s="15" t="s">
        <v>35</v>
      </c>
      <c r="F591" s="15" t="s">
        <v>35</v>
      </c>
      <c r="G591" s="15" t="s">
        <v>74</v>
      </c>
      <c r="H591" s="15" t="s">
        <v>4152</v>
      </c>
      <c r="I591" s="15" t="s">
        <v>4153</v>
      </c>
      <c r="J591" s="15" t="s">
        <v>4154</v>
      </c>
      <c r="K591" s="15" t="s">
        <v>769</v>
      </c>
      <c r="L591" s="15" t="s">
        <v>770</v>
      </c>
      <c r="M591" s="15" t="s">
        <v>1532</v>
      </c>
      <c r="N591" s="15" t="s">
        <v>1533</v>
      </c>
      <c r="O591" s="15" t="s">
        <v>82</v>
      </c>
      <c r="P591" s="15" t="s">
        <v>3805</v>
      </c>
      <c r="Q591" s="15" t="s">
        <v>3806</v>
      </c>
      <c r="R591" s="16">
        <v>44329</v>
      </c>
      <c r="S591" s="17" t="s">
        <v>70</v>
      </c>
      <c r="T591" s="20">
        <f>HYPERLINK("https://vnm.spiral.com.vn//uploaded/20210513/b1e434a7-e3ef-4653-ada4-5d0791b1bb6e.JPEG","11:10:59")</f>
      </c>
      <c r="U591" s="20">
        <f>HYPERLINK("https://vnm.spiral.com.vn//uploaded/20210513/059b3fd0-294d-4792-8e4b-b12378d10e1e.JPEG","16:10:51")</f>
      </c>
      <c r="V591" s="18">
        <v>0.20824074074074075</v>
      </c>
      <c r="W591" s="15" t="s">
        <v>4155</v>
      </c>
      <c r="X591" s="15" t="s">
        <v>4156</v>
      </c>
      <c r="Y591" s="15" t="s">
        <v>35</v>
      </c>
      <c r="Z591" s="19">
        <v>0</v>
      </c>
      <c r="AA591" s="15">
        <v>0</v>
      </c>
      <c r="AB591" s="15" t="s">
        <v>35</v>
      </c>
    </row>
    <row r="592">
      <c r="A592" s="15">
        <v>588</v>
      </c>
      <c r="B592" s="15" t="s">
        <v>103</v>
      </c>
      <c r="C592" s="15" t="s">
        <v>104</v>
      </c>
      <c r="D592" s="15" t="s">
        <v>35</v>
      </c>
      <c r="E592" s="15" t="s">
        <v>35</v>
      </c>
      <c r="F592" s="15" t="s">
        <v>4157</v>
      </c>
      <c r="G592" s="15" t="s">
        <v>36</v>
      </c>
      <c r="H592" s="15" t="s">
        <v>4158</v>
      </c>
      <c r="I592" s="15" t="s">
        <v>4159</v>
      </c>
      <c r="J592" s="15" t="s">
        <v>4160</v>
      </c>
      <c r="K592" s="15" t="s">
        <v>40</v>
      </c>
      <c r="L592" s="15" t="s">
        <v>41</v>
      </c>
      <c r="M592" s="15" t="s">
        <v>108</v>
      </c>
      <c r="N592" s="15" t="s">
        <v>109</v>
      </c>
      <c r="O592" s="15" t="s">
        <v>44</v>
      </c>
      <c r="P592" s="15" t="s">
        <v>4161</v>
      </c>
      <c r="Q592" s="15" t="s">
        <v>4162</v>
      </c>
      <c r="R592" s="16">
        <v>44329</v>
      </c>
      <c r="S592" s="17" t="s">
        <v>2925</v>
      </c>
      <c r="T592" s="20">
        <f>HYPERLINK("https://vnm.spiral.com.vn//uploaded/20210513/c3bdbe66-67c8-404e-b485-65c444aa4692.JPEG","16:10:46")</f>
      </c>
      <c r="U592" s="18"/>
      <c r="V592" s="18" t="s">
        <v>35</v>
      </c>
      <c r="W592" s="15" t="s">
        <v>4163</v>
      </c>
      <c r="X592" s="15" t="s">
        <v>35</v>
      </c>
      <c r="Y592" s="15" t="s">
        <v>35</v>
      </c>
      <c r="Z592" s="19">
        <v>0</v>
      </c>
      <c r="AA592" s="15">
        <v>0</v>
      </c>
      <c r="AB592" s="15" t="s">
        <v>35</v>
      </c>
    </row>
    <row r="593">
      <c r="A593" s="15">
        <v>589</v>
      </c>
      <c r="B593" s="15" t="s">
        <v>87</v>
      </c>
      <c r="C593" s="15" t="s">
        <v>88</v>
      </c>
      <c r="D593" s="15" t="s">
        <v>35</v>
      </c>
      <c r="E593" s="15" t="s">
        <v>35</v>
      </c>
      <c r="F593" s="15" t="s">
        <v>1191</v>
      </c>
      <c r="G593" s="15" t="s">
        <v>36</v>
      </c>
      <c r="H593" s="15" t="s">
        <v>4164</v>
      </c>
      <c r="I593" s="15" t="s">
        <v>4165</v>
      </c>
      <c r="J593" s="15" t="s">
        <v>4166</v>
      </c>
      <c r="K593" s="15" t="s">
        <v>40</v>
      </c>
      <c r="L593" s="15" t="s">
        <v>41</v>
      </c>
      <c r="M593" s="15" t="s">
        <v>1195</v>
      </c>
      <c r="N593" s="15" t="s">
        <v>1196</v>
      </c>
      <c r="O593" s="15" t="s">
        <v>44</v>
      </c>
      <c r="P593" s="15" t="s">
        <v>4167</v>
      </c>
      <c r="Q593" s="15" t="s">
        <v>4168</v>
      </c>
      <c r="R593" s="16">
        <v>44329</v>
      </c>
      <c r="S593" s="17" t="s">
        <v>2925</v>
      </c>
      <c r="T593" s="20">
        <f>HYPERLINK("https://vnm.spiral.com.vn//uploaded/20210513/C26D0699-BF53-473E-8249-EAFB73A74424.jpg","16:10:21")</f>
      </c>
      <c r="U593" s="18"/>
      <c r="V593" s="18" t="s">
        <v>35</v>
      </c>
      <c r="W593" s="15" t="s">
        <v>4169</v>
      </c>
      <c r="X593" s="15" t="s">
        <v>35</v>
      </c>
      <c r="Y593" s="15" t="s">
        <v>35</v>
      </c>
      <c r="Z593" s="19">
        <v>0</v>
      </c>
      <c r="AA593" s="15">
        <v>0</v>
      </c>
      <c r="AB593" s="15" t="s">
        <v>35</v>
      </c>
    </row>
    <row r="594">
      <c r="A594" s="15">
        <v>590</v>
      </c>
      <c r="B594" s="15" t="s">
        <v>246</v>
      </c>
      <c r="C594" s="15" t="s">
        <v>864</v>
      </c>
      <c r="D594" s="15" t="s">
        <v>35</v>
      </c>
      <c r="E594" s="15" t="s">
        <v>35</v>
      </c>
      <c r="F594" s="15" t="s">
        <v>3410</v>
      </c>
      <c r="G594" s="15" t="s">
        <v>36</v>
      </c>
      <c r="H594" s="15" t="s">
        <v>4170</v>
      </c>
      <c r="I594" s="15" t="s">
        <v>4171</v>
      </c>
      <c r="J594" s="15" t="s">
        <v>4172</v>
      </c>
      <c r="K594" s="15" t="s">
        <v>40</v>
      </c>
      <c r="L594" s="15" t="s">
        <v>41</v>
      </c>
      <c r="M594" s="15" t="s">
        <v>252</v>
      </c>
      <c r="N594" s="15" t="s">
        <v>253</v>
      </c>
      <c r="O594" s="15" t="s">
        <v>44</v>
      </c>
      <c r="P594" s="15" t="s">
        <v>4173</v>
      </c>
      <c r="Q594" s="15" t="s">
        <v>4174</v>
      </c>
      <c r="R594" s="16">
        <v>44329</v>
      </c>
      <c r="S594" s="17" t="s">
        <v>256</v>
      </c>
      <c r="T594" s="20">
        <f>HYPERLINK("https://vnm.spiral.com.vn//uploaded/20210513/63067863-6667-408F-A400-B32DC5E834C2.jpg","06:52:59")</f>
      </c>
      <c r="U594" s="20">
        <f>HYPERLINK("https://vnm.spiral.com.vn//uploaded/20210513/D467DDB9-E748-4FBA-ACD4-9C17243E6C47.jpg","16:09:42")</f>
      </c>
      <c r="V594" s="18">
        <v>0.3866087962962963</v>
      </c>
      <c r="W594" s="15" t="s">
        <v>4175</v>
      </c>
      <c r="X594" s="15" t="s">
        <v>4176</v>
      </c>
      <c r="Y594" s="15" t="s">
        <v>35</v>
      </c>
      <c r="Z594" s="19">
        <v>0</v>
      </c>
      <c r="AA594" s="15">
        <v>0</v>
      </c>
      <c r="AB594" s="15" t="s">
        <v>35</v>
      </c>
    </row>
    <row r="595">
      <c r="A595" s="15">
        <v>591</v>
      </c>
      <c r="B595" s="15" t="s">
        <v>87</v>
      </c>
      <c r="C595" s="15" t="s">
        <v>88</v>
      </c>
      <c r="D595" s="15" t="s">
        <v>357</v>
      </c>
      <c r="E595" s="15" t="s">
        <v>90</v>
      </c>
      <c r="F595" s="15" t="s">
        <v>35</v>
      </c>
      <c r="G595" s="15" t="s">
        <v>74</v>
      </c>
      <c r="H595" s="15" t="s">
        <v>4177</v>
      </c>
      <c r="I595" s="15" t="s">
        <v>4178</v>
      </c>
      <c r="J595" s="15" t="s">
        <v>4179</v>
      </c>
      <c r="K595" s="15" t="s">
        <v>1570</v>
      </c>
      <c r="L595" s="15" t="s">
        <v>1571</v>
      </c>
      <c r="M595" s="15" t="s">
        <v>2024</v>
      </c>
      <c r="N595" s="15" t="s">
        <v>2025</v>
      </c>
      <c r="O595" s="15" t="s">
        <v>82</v>
      </c>
      <c r="P595" s="15" t="s">
        <v>2172</v>
      </c>
      <c r="Q595" s="15" t="s">
        <v>2173</v>
      </c>
      <c r="R595" s="16">
        <v>44329</v>
      </c>
      <c r="S595" s="17" t="s">
        <v>70</v>
      </c>
      <c r="T595" s="20">
        <f>HYPERLINK("https://vnm.spiral.com.vn//uploaded/20210513/681a2ad6-024e-4fac-b7d6-7bb12da94c76.JPEG","15:47:00")</f>
      </c>
      <c r="U595" s="20">
        <f>HYPERLINK("https://vnm.spiral.com.vn//uploaded/20210513/147c0f8e-1423-44d9-9e71-b644b996a8e3.JPEG","16:09:39")</f>
      </c>
      <c r="V595" s="18">
        <v>0.015729166666666666</v>
      </c>
      <c r="W595" s="15" t="s">
        <v>4180</v>
      </c>
      <c r="X595" s="15" t="s">
        <v>4181</v>
      </c>
      <c r="Y595" s="15" t="s">
        <v>35</v>
      </c>
      <c r="Z595" s="19">
        <v>0</v>
      </c>
      <c r="AA595" s="15">
        <v>0</v>
      </c>
      <c r="AB595" s="15" t="s">
        <v>35</v>
      </c>
    </row>
    <row r="596">
      <c r="A596" s="15">
        <v>592</v>
      </c>
      <c r="B596" s="15" t="s">
        <v>61</v>
      </c>
      <c r="C596" s="15" t="s">
        <v>62</v>
      </c>
      <c r="D596" s="15" t="s">
        <v>35</v>
      </c>
      <c r="E596" s="15" t="s">
        <v>35</v>
      </c>
      <c r="F596" s="15" t="s">
        <v>3865</v>
      </c>
      <c r="G596" s="15" t="s">
        <v>36</v>
      </c>
      <c r="H596" s="15" t="s">
        <v>4182</v>
      </c>
      <c r="I596" s="15" t="s">
        <v>4183</v>
      </c>
      <c r="J596" s="15" t="s">
        <v>4184</v>
      </c>
      <c r="K596" s="15" t="s">
        <v>40</v>
      </c>
      <c r="L596" s="15" t="s">
        <v>41</v>
      </c>
      <c r="M596" s="15" t="s">
        <v>66</v>
      </c>
      <c r="N596" s="15" t="s">
        <v>67</v>
      </c>
      <c r="O596" s="15" t="s">
        <v>44</v>
      </c>
      <c r="P596" s="15" t="s">
        <v>4185</v>
      </c>
      <c r="Q596" s="15" t="s">
        <v>4186</v>
      </c>
      <c r="R596" s="16">
        <v>44329</v>
      </c>
      <c r="S596" s="17" t="s">
        <v>273</v>
      </c>
      <c r="T596" s="20">
        <f>HYPERLINK("https://vnm.spiral.com.vn//uploaded/20210513/f1cfaf57-8459-4562-80b9-8516fe478623.JPEG","07:20:28")</f>
      </c>
      <c r="U596" s="20">
        <f>HYPERLINK("https://vnm.spiral.com.vn//uploaded/20210513/e280c40d-de4e-4735-928c-345e6666606c.JPEG","16:09:33")</f>
      </c>
      <c r="V596" s="18">
        <v>0.3674189814814815</v>
      </c>
      <c r="W596" s="15" t="s">
        <v>4187</v>
      </c>
      <c r="X596" s="15" t="s">
        <v>4188</v>
      </c>
      <c r="Y596" s="15" t="s">
        <v>35</v>
      </c>
      <c r="Z596" s="19">
        <v>0</v>
      </c>
      <c r="AA596" s="15">
        <v>0</v>
      </c>
      <c r="AB596" s="15" t="s">
        <v>35</v>
      </c>
    </row>
    <row r="597">
      <c r="A597" s="15">
        <v>593</v>
      </c>
      <c r="B597" s="15" t="s">
        <v>87</v>
      </c>
      <c r="C597" s="15" t="s">
        <v>88</v>
      </c>
      <c r="D597" s="15" t="s">
        <v>4189</v>
      </c>
      <c r="E597" s="15" t="s">
        <v>90</v>
      </c>
      <c r="F597" s="15" t="s">
        <v>35</v>
      </c>
      <c r="G597" s="15" t="s">
        <v>74</v>
      </c>
      <c r="H597" s="15" t="s">
        <v>4190</v>
      </c>
      <c r="I597" s="15" t="s">
        <v>4191</v>
      </c>
      <c r="J597" s="15" t="s">
        <v>4192</v>
      </c>
      <c r="K597" s="15" t="s">
        <v>748</v>
      </c>
      <c r="L597" s="15" t="s">
        <v>749</v>
      </c>
      <c r="M597" s="15" t="s">
        <v>750</v>
      </c>
      <c r="N597" s="15" t="s">
        <v>751</v>
      </c>
      <c r="O597" s="15" t="s">
        <v>156</v>
      </c>
      <c r="P597" s="15" t="s">
        <v>4193</v>
      </c>
      <c r="Q597" s="15" t="s">
        <v>4194</v>
      </c>
      <c r="R597" s="16">
        <v>44329</v>
      </c>
      <c r="S597" s="17" t="s">
        <v>159</v>
      </c>
      <c r="T597" s="20">
        <f>HYPERLINK("https://vnm.spiral.com.vn//uploaded/20210513/39d45c11-4251-420c-bba3-c14347418631.JPEG","06:51:28")</f>
      </c>
      <c r="U597" s="20">
        <f>HYPERLINK("https://vnm.spiral.com.vn//uploaded/20210513/56b725e6-0ac9-443c-b510-20472122549d.JPEG","16:09:20")</f>
      </c>
      <c r="V597" s="18">
        <v>0.3874074074074074</v>
      </c>
      <c r="W597" s="15" t="s">
        <v>4195</v>
      </c>
      <c r="X597" s="15" t="s">
        <v>4196</v>
      </c>
      <c r="Y597" s="15" t="s">
        <v>35</v>
      </c>
      <c r="Z597" s="19">
        <v>0</v>
      </c>
      <c r="AA597" s="15">
        <v>0</v>
      </c>
      <c r="AB597" s="15" t="s">
        <v>35</v>
      </c>
    </row>
    <row r="598">
      <c r="A598" s="15">
        <v>594</v>
      </c>
      <c r="B598" s="15" t="s">
        <v>61</v>
      </c>
      <c r="C598" s="15" t="s">
        <v>62</v>
      </c>
      <c r="D598" s="15" t="s">
        <v>89</v>
      </c>
      <c r="E598" s="15" t="s">
        <v>90</v>
      </c>
      <c r="F598" s="15" t="s">
        <v>35</v>
      </c>
      <c r="G598" s="15" t="s">
        <v>74</v>
      </c>
      <c r="H598" s="15" t="s">
        <v>4197</v>
      </c>
      <c r="I598" s="15" t="s">
        <v>4198</v>
      </c>
      <c r="J598" s="15" t="s">
        <v>4199</v>
      </c>
      <c r="K598" s="15" t="s">
        <v>1586</v>
      </c>
      <c r="L598" s="15" t="s">
        <v>1587</v>
      </c>
      <c r="M598" s="15" t="s">
        <v>1588</v>
      </c>
      <c r="N598" s="15" t="s">
        <v>1589</v>
      </c>
      <c r="O598" s="15" t="s">
        <v>156</v>
      </c>
      <c r="P598" s="15" t="s">
        <v>4200</v>
      </c>
      <c r="Q598" s="15" t="s">
        <v>4201</v>
      </c>
      <c r="R598" s="16">
        <v>44329</v>
      </c>
      <c r="S598" s="17" t="s">
        <v>159</v>
      </c>
      <c r="T598" s="20">
        <f>HYPERLINK("https://vnm.spiral.com.vn//uploaded/20210513/2CC94983-3D0E-4EED-8C29-FED83808870D.jpg","06:53:50")</f>
      </c>
      <c r="U598" s="20">
        <f>HYPERLINK("https://vnm.spiral.com.vn//uploaded/20210513/1A7F809D-043B-4C9E-9A0E-83A3EDF2F6FA.jpg","16:09:12")</f>
      </c>
      <c r="V598" s="18">
        <v>0.3856712962962963</v>
      </c>
      <c r="W598" s="15" t="s">
        <v>4202</v>
      </c>
      <c r="X598" s="15" t="s">
        <v>4203</v>
      </c>
      <c r="Y598" s="15" t="s">
        <v>35</v>
      </c>
      <c r="Z598" s="19">
        <v>0</v>
      </c>
      <c r="AA598" s="15">
        <v>0</v>
      </c>
      <c r="AB598" s="15" t="s">
        <v>35</v>
      </c>
    </row>
    <row r="599">
      <c r="A599" s="15">
        <v>595</v>
      </c>
      <c r="B599" s="15" t="s">
        <v>61</v>
      </c>
      <c r="C599" s="15" t="s">
        <v>228</v>
      </c>
      <c r="D599" s="15" t="s">
        <v>135</v>
      </c>
      <c r="E599" s="15" t="s">
        <v>116</v>
      </c>
      <c r="F599" s="15" t="s">
        <v>35</v>
      </c>
      <c r="G599" s="15" t="s">
        <v>74</v>
      </c>
      <c r="H599" s="15" t="s">
        <v>4204</v>
      </c>
      <c r="I599" s="15" t="s">
        <v>4205</v>
      </c>
      <c r="J599" s="15" t="s">
        <v>4206</v>
      </c>
      <c r="K599" s="15" t="s">
        <v>152</v>
      </c>
      <c r="L599" s="15" t="s">
        <v>153</v>
      </c>
      <c r="M599" s="15" t="s">
        <v>232</v>
      </c>
      <c r="N599" s="15" t="s">
        <v>233</v>
      </c>
      <c r="O599" s="15" t="s">
        <v>98</v>
      </c>
      <c r="P599" s="15" t="s">
        <v>453</v>
      </c>
      <c r="Q599" s="15" t="s">
        <v>454</v>
      </c>
      <c r="R599" s="16">
        <v>44329</v>
      </c>
      <c r="S599" s="17" t="s">
        <v>35</v>
      </c>
      <c r="T599" s="20">
        <f>HYPERLINK("https://vnm.spiral.com.vn//uploaded/20210513/0116922B-360C-4BFE-B534-8AB9E9090600.jpg","15:35:03")</f>
      </c>
      <c r="U599" s="20">
        <f>HYPERLINK("https://vnm.spiral.com.vn//uploaded/20210513/67081584-B755-4729-A0BC-BA63E978CCF3.jpg","16:09:05")</f>
      </c>
      <c r="V599" s="18">
        <v>0.023634259259259258</v>
      </c>
      <c r="W599" s="15" t="s">
        <v>4207</v>
      </c>
      <c r="X599" s="15" t="s">
        <v>4208</v>
      </c>
      <c r="Y599" s="15" t="s">
        <v>35</v>
      </c>
      <c r="Z599" s="19">
        <v>0</v>
      </c>
      <c r="AA599" s="15">
        <v>0</v>
      </c>
      <c r="AB599" s="15" t="s">
        <v>35</v>
      </c>
    </row>
    <row r="600">
      <c r="A600" s="15">
        <v>596</v>
      </c>
      <c r="B600" s="15" t="s">
        <v>87</v>
      </c>
      <c r="C600" s="15" t="s">
        <v>88</v>
      </c>
      <c r="D600" s="15" t="s">
        <v>35</v>
      </c>
      <c r="E600" s="15" t="s">
        <v>35</v>
      </c>
      <c r="F600" s="15" t="s">
        <v>2667</v>
      </c>
      <c r="G600" s="15" t="s">
        <v>36</v>
      </c>
      <c r="H600" s="15" t="s">
        <v>4209</v>
      </c>
      <c r="I600" s="15" t="s">
        <v>4210</v>
      </c>
      <c r="J600" s="15" t="s">
        <v>4211</v>
      </c>
      <c r="K600" s="15" t="s">
        <v>40</v>
      </c>
      <c r="L600" s="15" t="s">
        <v>41</v>
      </c>
      <c r="M600" s="15" t="s">
        <v>1195</v>
      </c>
      <c r="N600" s="15" t="s">
        <v>1196</v>
      </c>
      <c r="O600" s="15" t="s">
        <v>44</v>
      </c>
      <c r="P600" s="15" t="s">
        <v>4212</v>
      </c>
      <c r="Q600" s="15" t="s">
        <v>4213</v>
      </c>
      <c r="R600" s="16">
        <v>44329</v>
      </c>
      <c r="S600" s="17" t="s">
        <v>475</v>
      </c>
      <c r="T600" s="20">
        <f>HYPERLINK("https://vnm.spiral.com.vn//uploaded/20210513/C9FC804B-9573-4EB4-B982-3427DD12C523.jpg","07:54:30")</f>
      </c>
      <c r="U600" s="20">
        <f>HYPERLINK("https://vnm.spiral.com.vn//uploaded/20210513/606D8D75-E155-44B8-AC2A-80A2B9A282BD.jpg","16:09:03")</f>
      </c>
      <c r="V600" s="18">
        <v>0.3434375</v>
      </c>
      <c r="W600" s="15" t="s">
        <v>4214</v>
      </c>
      <c r="X600" s="15" t="s">
        <v>4215</v>
      </c>
      <c r="Y600" s="15" t="s">
        <v>35</v>
      </c>
      <c r="Z600" s="19">
        <v>0</v>
      </c>
      <c r="AA600" s="15">
        <v>0</v>
      </c>
      <c r="AB600" s="15" t="s">
        <v>35</v>
      </c>
    </row>
    <row r="601">
      <c r="A601" s="15">
        <v>597</v>
      </c>
      <c r="B601" s="15" t="s">
        <v>87</v>
      </c>
      <c r="C601" s="15" t="s">
        <v>88</v>
      </c>
      <c r="D601" s="15" t="s">
        <v>35</v>
      </c>
      <c r="E601" s="15" t="s">
        <v>35</v>
      </c>
      <c r="F601" s="15" t="s">
        <v>2721</v>
      </c>
      <c r="G601" s="15" t="s">
        <v>36</v>
      </c>
      <c r="H601" s="15" t="s">
        <v>4216</v>
      </c>
      <c r="I601" s="15" t="s">
        <v>4217</v>
      </c>
      <c r="J601" s="15" t="s">
        <v>4218</v>
      </c>
      <c r="K601" s="15" t="s">
        <v>40</v>
      </c>
      <c r="L601" s="15" t="s">
        <v>41</v>
      </c>
      <c r="M601" s="15" t="s">
        <v>1195</v>
      </c>
      <c r="N601" s="15" t="s">
        <v>1196</v>
      </c>
      <c r="O601" s="15" t="s">
        <v>44</v>
      </c>
      <c r="P601" s="15" t="s">
        <v>4219</v>
      </c>
      <c r="Q601" s="15" t="s">
        <v>4220</v>
      </c>
      <c r="R601" s="16">
        <v>44329</v>
      </c>
      <c r="S601" s="17" t="s">
        <v>2925</v>
      </c>
      <c r="T601" s="20">
        <f>HYPERLINK("https://vnm.spiral.com.vn//uploaded/20210513/2b0feb72-03d8-4c19-9bbc-4c7b3f0f3133.JPEG","16:09:01")</f>
      </c>
      <c r="U601" s="18"/>
      <c r="V601" s="18" t="s">
        <v>35</v>
      </c>
      <c r="W601" s="15" t="s">
        <v>4221</v>
      </c>
      <c r="X601" s="15" t="s">
        <v>35</v>
      </c>
      <c r="Y601" s="15" t="s">
        <v>35</v>
      </c>
      <c r="Z601" s="19">
        <v>0</v>
      </c>
      <c r="AA601" s="15">
        <v>0</v>
      </c>
      <c r="AB601" s="15" t="s">
        <v>35</v>
      </c>
    </row>
    <row r="602">
      <c r="A602" s="15">
        <v>598</v>
      </c>
      <c r="B602" s="15" t="s">
        <v>103</v>
      </c>
      <c r="C602" s="15" t="s">
        <v>186</v>
      </c>
      <c r="D602" s="15" t="s">
        <v>35</v>
      </c>
      <c r="E602" s="15" t="s">
        <v>35</v>
      </c>
      <c r="F602" s="15" t="s">
        <v>35</v>
      </c>
      <c r="G602" s="15" t="s">
        <v>36</v>
      </c>
      <c r="H602" s="15" t="s">
        <v>4222</v>
      </c>
      <c r="I602" s="15" t="s">
        <v>4223</v>
      </c>
      <c r="J602" s="15" t="s">
        <v>4224</v>
      </c>
      <c r="K602" s="15" t="s">
        <v>40</v>
      </c>
      <c r="L602" s="15" t="s">
        <v>41</v>
      </c>
      <c r="M602" s="15" t="s">
        <v>565</v>
      </c>
      <c r="N602" s="15" t="s">
        <v>566</v>
      </c>
      <c r="O602" s="15" t="s">
        <v>44</v>
      </c>
      <c r="P602" s="15" t="s">
        <v>4225</v>
      </c>
      <c r="Q602" s="15" t="s">
        <v>4226</v>
      </c>
      <c r="R602" s="16">
        <v>44329</v>
      </c>
      <c r="S602" s="17" t="s">
        <v>475</v>
      </c>
      <c r="T602" s="20">
        <f>HYPERLINK("https://vnm.spiral.com.vn//uploaded/20210513/0CF9FF78-9E0E-43CE-9950-4DFA069314B1.jpg","07:49:07")</f>
      </c>
      <c r="U602" s="20">
        <f>HYPERLINK("https://vnm.spiral.com.vn//uploaded/20210513/6CAA4BA1-1ACF-403E-BA99-5282682BC9B2.jpg","16:08:56")</f>
      </c>
      <c r="V602" s="18">
        <v>0.3470949074074074</v>
      </c>
      <c r="W602" s="15" t="s">
        <v>4227</v>
      </c>
      <c r="X602" s="15" t="s">
        <v>4228</v>
      </c>
      <c r="Y602" s="15" t="s">
        <v>35</v>
      </c>
      <c r="Z602" s="19">
        <v>0</v>
      </c>
      <c r="AA602" s="15">
        <v>0</v>
      </c>
      <c r="AB602" s="15" t="s">
        <v>35</v>
      </c>
    </row>
    <row r="603">
      <c r="A603" s="15">
        <v>599</v>
      </c>
      <c r="B603" s="15" t="s">
        <v>61</v>
      </c>
      <c r="C603" s="15" t="s">
        <v>398</v>
      </c>
      <c r="D603" s="15" t="s">
        <v>35</v>
      </c>
      <c r="E603" s="15" t="s">
        <v>35</v>
      </c>
      <c r="F603" s="15" t="s">
        <v>35</v>
      </c>
      <c r="G603" s="15" t="s">
        <v>36</v>
      </c>
      <c r="H603" s="15" t="s">
        <v>4229</v>
      </c>
      <c r="I603" s="15" t="s">
        <v>4230</v>
      </c>
      <c r="J603" s="15" t="s">
        <v>4231</v>
      </c>
      <c r="K603" s="15" t="s">
        <v>40</v>
      </c>
      <c r="L603" s="15" t="s">
        <v>41</v>
      </c>
      <c r="M603" s="15" t="s">
        <v>66</v>
      </c>
      <c r="N603" s="15" t="s">
        <v>67</v>
      </c>
      <c r="O603" s="15" t="s">
        <v>44</v>
      </c>
      <c r="P603" s="15" t="s">
        <v>4232</v>
      </c>
      <c r="Q603" s="15" t="s">
        <v>4233</v>
      </c>
      <c r="R603" s="16">
        <v>44329</v>
      </c>
      <c r="S603" s="17" t="s">
        <v>273</v>
      </c>
      <c r="T603" s="20">
        <f>HYPERLINK("https://vnm.spiral.com.vn//uploaded/20210513/02d2ff28-ce3b-4c06-b76f-8c2000c01ebc.JPEG","07:25:22")</f>
      </c>
      <c r="U603" s="20">
        <f>HYPERLINK("https://vnm.spiral.com.vn//uploaded/20210513/276e88e7-657e-437c-937d-2ff56b9b9fc5.JPEG","16:08:49")</f>
      </c>
      <c r="V603" s="18">
        <v>0.3635069444444444</v>
      </c>
      <c r="W603" s="15" t="s">
        <v>4234</v>
      </c>
      <c r="X603" s="15" t="s">
        <v>4235</v>
      </c>
      <c r="Y603" s="15" t="s">
        <v>35</v>
      </c>
      <c r="Z603" s="19">
        <v>0</v>
      </c>
      <c r="AA603" s="15">
        <v>0</v>
      </c>
      <c r="AB603" s="15" t="s">
        <v>35</v>
      </c>
    </row>
    <row r="604">
      <c r="A604" s="15">
        <v>600</v>
      </c>
      <c r="B604" s="15" t="s">
        <v>343</v>
      </c>
      <c r="C604" s="15" t="s">
        <v>344</v>
      </c>
      <c r="D604" s="15" t="s">
        <v>432</v>
      </c>
      <c r="E604" s="15" t="s">
        <v>116</v>
      </c>
      <c r="F604" s="15" t="s">
        <v>35</v>
      </c>
      <c r="G604" s="15" t="s">
        <v>74</v>
      </c>
      <c r="H604" s="15" t="s">
        <v>4236</v>
      </c>
      <c r="I604" s="15" t="s">
        <v>4237</v>
      </c>
      <c r="J604" s="15" t="s">
        <v>4238</v>
      </c>
      <c r="K604" s="15" t="s">
        <v>1168</v>
      </c>
      <c r="L604" s="15" t="s">
        <v>1169</v>
      </c>
      <c r="M604" s="15" t="s">
        <v>1170</v>
      </c>
      <c r="N604" s="15" t="s">
        <v>1171</v>
      </c>
      <c r="O604" s="15" t="s">
        <v>82</v>
      </c>
      <c r="P604" s="15" t="s">
        <v>2597</v>
      </c>
      <c r="Q604" s="15" t="s">
        <v>2598</v>
      </c>
      <c r="R604" s="16">
        <v>44329</v>
      </c>
      <c r="S604" s="17" t="s">
        <v>70</v>
      </c>
      <c r="T604" s="20">
        <f>HYPERLINK("https://vnm.spiral.com.vn//uploaded/20210513/fe420a17-f701-420b-a451-bfaa36a1203a.JPEG","14:50:50")</f>
      </c>
      <c r="U604" s="20">
        <f>HYPERLINK("https://vnm.spiral.com.vn//uploaded/20210513/29dcbacc-c8ad-4fea-b213-d8b421bbe2aa.JPEG","16:08:34")</f>
      </c>
      <c r="V604" s="18">
        <v>0.053981481481481484</v>
      </c>
      <c r="W604" s="15" t="s">
        <v>4239</v>
      </c>
      <c r="X604" s="15" t="s">
        <v>4240</v>
      </c>
      <c r="Y604" s="15" t="s">
        <v>35</v>
      </c>
      <c r="Z604" s="19">
        <v>0</v>
      </c>
      <c r="AA604" s="15">
        <v>0</v>
      </c>
      <c r="AB604" s="15" t="s">
        <v>35</v>
      </c>
    </row>
    <row r="605">
      <c r="A605" s="15">
        <v>601</v>
      </c>
      <c r="B605" s="15" t="s">
        <v>343</v>
      </c>
      <c r="C605" s="15" t="s">
        <v>344</v>
      </c>
      <c r="D605" s="15" t="s">
        <v>823</v>
      </c>
      <c r="E605" s="15" t="s">
        <v>116</v>
      </c>
      <c r="F605" s="15" t="s">
        <v>35</v>
      </c>
      <c r="G605" s="15" t="s">
        <v>74</v>
      </c>
      <c r="H605" s="15" t="s">
        <v>4241</v>
      </c>
      <c r="I605" s="15" t="s">
        <v>4242</v>
      </c>
      <c r="J605" s="15" t="s">
        <v>4243</v>
      </c>
      <c r="K605" s="15" t="s">
        <v>584</v>
      </c>
      <c r="L605" s="15" t="s">
        <v>585</v>
      </c>
      <c r="M605" s="15" t="s">
        <v>827</v>
      </c>
      <c r="N605" s="15" t="s">
        <v>828</v>
      </c>
      <c r="O605" s="15" t="s">
        <v>82</v>
      </c>
      <c r="P605" s="15" t="s">
        <v>829</v>
      </c>
      <c r="Q605" s="15" t="s">
        <v>830</v>
      </c>
      <c r="R605" s="16">
        <v>44329</v>
      </c>
      <c r="S605" s="17" t="s">
        <v>70</v>
      </c>
      <c r="T605" s="20">
        <f>HYPERLINK("https://vnm.spiral.com.vn//uploaded/20210513/ca1508fc-6571-4e65-81d0-fc8dc48dcbb0.JPEG","15:47:13")</f>
      </c>
      <c r="U605" s="20">
        <f>HYPERLINK("https://vnm.spiral.com.vn//uploaded/20210513/ad4cd146-c9c4-4f87-87a1-8de6ffd570b9.JPEG","16:08:27")</f>
      </c>
      <c r="V605" s="18">
        <v>0.01474537037037037</v>
      </c>
      <c r="W605" s="15" t="s">
        <v>4244</v>
      </c>
      <c r="X605" s="15" t="s">
        <v>4245</v>
      </c>
      <c r="Y605" s="15" t="s">
        <v>35</v>
      </c>
      <c r="Z605" s="19">
        <v>0</v>
      </c>
      <c r="AA605" s="15">
        <v>0</v>
      </c>
      <c r="AB605" s="15" t="s">
        <v>35</v>
      </c>
    </row>
    <row r="606">
      <c r="A606" s="15">
        <v>602</v>
      </c>
      <c r="B606" s="15" t="s">
        <v>61</v>
      </c>
      <c r="C606" s="15" t="s">
        <v>228</v>
      </c>
      <c r="D606" s="15" t="s">
        <v>89</v>
      </c>
      <c r="E606" s="15" t="s">
        <v>90</v>
      </c>
      <c r="F606" s="15" t="s">
        <v>35</v>
      </c>
      <c r="G606" s="15" t="s">
        <v>74</v>
      </c>
      <c r="H606" s="15" t="s">
        <v>4246</v>
      </c>
      <c r="I606" s="15" t="s">
        <v>4247</v>
      </c>
      <c r="J606" s="15" t="s">
        <v>4248</v>
      </c>
      <c r="K606" s="15" t="s">
        <v>232</v>
      </c>
      <c r="L606" s="15" t="s">
        <v>233</v>
      </c>
      <c r="M606" s="15" t="s">
        <v>453</v>
      </c>
      <c r="N606" s="15" t="s">
        <v>454</v>
      </c>
      <c r="O606" s="15" t="s">
        <v>156</v>
      </c>
      <c r="P606" s="15" t="s">
        <v>4249</v>
      </c>
      <c r="Q606" s="15" t="s">
        <v>4250</v>
      </c>
      <c r="R606" s="16">
        <v>44329</v>
      </c>
      <c r="S606" s="17" t="s">
        <v>159</v>
      </c>
      <c r="T606" s="20">
        <f>HYPERLINK("https://vnm.spiral.com.vn//uploaded/20210513/cf177bfb-0d47-483f-a389-f2d1a4080019.JPEG","06:34:52")</f>
      </c>
      <c r="U606" s="20">
        <f>HYPERLINK("https://vnm.spiral.com.vn//uploaded/20210513/684207e5-31b2-41aa-80cb-2ae115b0141e.JPEG","16:08:26")</f>
      </c>
      <c r="V606" s="18">
        <v>0.3983101851851852</v>
      </c>
      <c r="W606" s="15" t="s">
        <v>4251</v>
      </c>
      <c r="X606" s="15" t="s">
        <v>4252</v>
      </c>
      <c r="Y606" s="15" t="s">
        <v>35</v>
      </c>
      <c r="Z606" s="19">
        <v>0</v>
      </c>
      <c r="AA606" s="15">
        <v>0</v>
      </c>
      <c r="AB606" s="15" t="s">
        <v>35</v>
      </c>
    </row>
    <row r="607">
      <c r="A607" s="15">
        <v>603</v>
      </c>
      <c r="B607" s="15" t="s">
        <v>33</v>
      </c>
      <c r="C607" s="15" t="s">
        <v>2999</v>
      </c>
      <c r="D607" s="15" t="s">
        <v>35</v>
      </c>
      <c r="E607" s="15" t="s">
        <v>35</v>
      </c>
      <c r="F607" s="15" t="s">
        <v>35</v>
      </c>
      <c r="G607" s="15" t="s">
        <v>74</v>
      </c>
      <c r="H607" s="15" t="s">
        <v>4253</v>
      </c>
      <c r="I607" s="15" t="s">
        <v>4254</v>
      </c>
      <c r="J607" s="15" t="s">
        <v>4255</v>
      </c>
      <c r="K607" s="15" t="s">
        <v>2887</v>
      </c>
      <c r="L607" s="15" t="s">
        <v>2888</v>
      </c>
      <c r="M607" s="15" t="s">
        <v>2889</v>
      </c>
      <c r="N607" s="15" t="s">
        <v>2890</v>
      </c>
      <c r="O607" s="15" t="s">
        <v>156</v>
      </c>
      <c r="P607" s="15" t="s">
        <v>4256</v>
      </c>
      <c r="Q607" s="15" t="s">
        <v>4257</v>
      </c>
      <c r="R607" s="16">
        <v>44329</v>
      </c>
      <c r="S607" s="17" t="s">
        <v>159</v>
      </c>
      <c r="T607" s="20">
        <f>HYPERLINK("https://vnm.spiral.com.vn//uploaded/20210513/DA0B811E-53D5-4691-B18A-7070A58946E4.jpg","06:53:39")</f>
      </c>
      <c r="U607" s="20">
        <f>HYPERLINK("https://vnm.spiral.com.vn//uploaded/20210513/F16D0A76-97AC-4834-B61F-8A2035B8B655.jpg","16:08:26")</f>
      </c>
      <c r="V607" s="18">
        <v>0.3852662037037037</v>
      </c>
      <c r="W607" s="15" t="s">
        <v>4258</v>
      </c>
      <c r="X607" s="15" t="s">
        <v>4259</v>
      </c>
      <c r="Y607" s="15" t="s">
        <v>35</v>
      </c>
      <c r="Z607" s="19">
        <v>0</v>
      </c>
      <c r="AA607" s="15">
        <v>0</v>
      </c>
      <c r="AB607" s="15" t="s">
        <v>35</v>
      </c>
    </row>
    <row r="608">
      <c r="A608" s="15">
        <v>604</v>
      </c>
      <c r="B608" s="15" t="s">
        <v>87</v>
      </c>
      <c r="C608" s="15" t="s">
        <v>88</v>
      </c>
      <c r="D608" s="15" t="s">
        <v>115</v>
      </c>
      <c r="E608" s="15" t="s">
        <v>116</v>
      </c>
      <c r="F608" s="15" t="s">
        <v>35</v>
      </c>
      <c r="G608" s="15" t="s">
        <v>74</v>
      </c>
      <c r="H608" s="15" t="s">
        <v>4260</v>
      </c>
      <c r="I608" s="15" t="s">
        <v>4261</v>
      </c>
      <c r="J608" s="15" t="s">
        <v>4262</v>
      </c>
      <c r="K608" s="15" t="s">
        <v>120</v>
      </c>
      <c r="L608" s="15" t="s">
        <v>121</v>
      </c>
      <c r="M608" s="15" t="s">
        <v>122</v>
      </c>
      <c r="N608" s="15" t="s">
        <v>123</v>
      </c>
      <c r="O608" s="15" t="s">
        <v>82</v>
      </c>
      <c r="P608" s="15" t="s">
        <v>962</v>
      </c>
      <c r="Q608" s="15" t="s">
        <v>963</v>
      </c>
      <c r="R608" s="16">
        <v>44329</v>
      </c>
      <c r="S608" s="17" t="s">
        <v>70</v>
      </c>
      <c r="T608" s="20">
        <f>HYPERLINK("https://vnm.spiral.com.vn//uploaded/20210513/f0b7bd15-847d-4178-833f-82e4fa6ce8dd.jpg","13:02:04")</f>
      </c>
      <c r="U608" s="20">
        <f>HYPERLINK("https://vnm.spiral.com.vn//uploaded/20210513/9a6bf8f3-0086-4856-a2c2-62317585d13e.jpg","16:08:19")</f>
      </c>
      <c r="V608" s="18">
        <v>0.1293402777777778</v>
      </c>
      <c r="W608" s="15" t="s">
        <v>4263</v>
      </c>
      <c r="X608" s="15" t="s">
        <v>4264</v>
      </c>
      <c r="Y608" s="15" t="s">
        <v>35</v>
      </c>
      <c r="Z608" s="19">
        <v>0</v>
      </c>
      <c r="AA608" s="15">
        <v>0</v>
      </c>
      <c r="AB608" s="15" t="s">
        <v>35</v>
      </c>
    </row>
    <row r="609">
      <c r="A609" s="15">
        <v>605</v>
      </c>
      <c r="B609" s="15" t="s">
        <v>246</v>
      </c>
      <c r="C609" s="15" t="s">
        <v>2845</v>
      </c>
      <c r="D609" s="15" t="s">
        <v>35</v>
      </c>
      <c r="E609" s="15" t="s">
        <v>35</v>
      </c>
      <c r="F609" s="15" t="s">
        <v>4265</v>
      </c>
      <c r="G609" s="15" t="s">
        <v>36</v>
      </c>
      <c r="H609" s="15" t="s">
        <v>4266</v>
      </c>
      <c r="I609" s="15" t="s">
        <v>4267</v>
      </c>
      <c r="J609" s="15" t="s">
        <v>4268</v>
      </c>
      <c r="K609" s="15" t="s">
        <v>40</v>
      </c>
      <c r="L609" s="15" t="s">
        <v>41</v>
      </c>
      <c r="M609" s="15" t="s">
        <v>252</v>
      </c>
      <c r="N609" s="15" t="s">
        <v>253</v>
      </c>
      <c r="O609" s="15" t="s">
        <v>44</v>
      </c>
      <c r="P609" s="15" t="s">
        <v>4269</v>
      </c>
      <c r="Q609" s="15" t="s">
        <v>4270</v>
      </c>
      <c r="R609" s="16">
        <v>44329</v>
      </c>
      <c r="S609" s="17" t="s">
        <v>475</v>
      </c>
      <c r="T609" s="20">
        <f>HYPERLINK("https://vnm.spiral.com.vn//uploaded/20210513/29f2b5d7-ebd4-48ce-bda6-d9b60cb46fdc.JPEG","08:02:43")</f>
      </c>
      <c r="U609" s="20">
        <f>HYPERLINK("https://vnm.spiral.com.vn//uploaded/20210513/39a8fccc-7383-474e-8055-247ea7ac0064.JPEG","16:08:18")</f>
      </c>
      <c r="V609" s="18">
        <v>0.33721064814814816</v>
      </c>
      <c r="W609" s="15" t="s">
        <v>4271</v>
      </c>
      <c r="X609" s="15" t="s">
        <v>4272</v>
      </c>
      <c r="Y609" s="15" t="s">
        <v>35</v>
      </c>
      <c r="Z609" s="19">
        <v>0</v>
      </c>
      <c r="AA609" s="15">
        <v>0</v>
      </c>
      <c r="AB609" s="15" t="s">
        <v>35</v>
      </c>
    </row>
    <row r="610">
      <c r="A610" s="15">
        <v>606</v>
      </c>
      <c r="B610" s="15" t="s">
        <v>61</v>
      </c>
      <c r="C610" s="15" t="s">
        <v>62</v>
      </c>
      <c r="D610" s="15" t="s">
        <v>35</v>
      </c>
      <c r="E610" s="15" t="s">
        <v>35</v>
      </c>
      <c r="F610" s="15" t="s">
        <v>35</v>
      </c>
      <c r="G610" s="15" t="s">
        <v>36</v>
      </c>
      <c r="H610" s="15" t="s">
        <v>4273</v>
      </c>
      <c r="I610" s="15" t="s">
        <v>4274</v>
      </c>
      <c r="J610" s="15" t="s">
        <v>4275</v>
      </c>
      <c r="K610" s="15" t="s">
        <v>40</v>
      </c>
      <c r="L610" s="15" t="s">
        <v>41</v>
      </c>
      <c r="M610" s="15" t="s">
        <v>66</v>
      </c>
      <c r="N610" s="15" t="s">
        <v>67</v>
      </c>
      <c r="O610" s="15" t="s">
        <v>44</v>
      </c>
      <c r="P610" s="15" t="s">
        <v>4276</v>
      </c>
      <c r="Q610" s="15" t="s">
        <v>4277</v>
      </c>
      <c r="R610" s="16">
        <v>44329</v>
      </c>
      <c r="S610" s="17" t="s">
        <v>1112</v>
      </c>
      <c r="T610" s="20">
        <f>HYPERLINK("https://vnm.spiral.com.vn//uploaded/20210513/be08c01f-0bca-40b0-8c69-61ae7213cb8e.JPEG","07:52:04")</f>
      </c>
      <c r="U610" s="20">
        <f>HYPERLINK("https://vnm.spiral.com.vn//uploaded/20210513/1a3b3b1c-03c7-4ef3-a4b2-b3e5a6e77072.JPEG","16:08:16")</f>
      </c>
      <c r="V610" s="18">
        <v>0.34458333333333335</v>
      </c>
      <c r="W610" s="15" t="s">
        <v>4278</v>
      </c>
      <c r="X610" s="15" t="s">
        <v>4279</v>
      </c>
      <c r="Y610" s="15" t="s">
        <v>35</v>
      </c>
      <c r="Z610" s="19">
        <v>0</v>
      </c>
      <c r="AA610" s="15">
        <v>0</v>
      </c>
      <c r="AB610" s="15" t="s">
        <v>35</v>
      </c>
    </row>
    <row r="611">
      <c r="A611" s="15">
        <v>607</v>
      </c>
      <c r="B611" s="15" t="s">
        <v>61</v>
      </c>
      <c r="C611" s="15" t="s">
        <v>147</v>
      </c>
      <c r="D611" s="15" t="s">
        <v>35</v>
      </c>
      <c r="E611" s="15" t="s">
        <v>35</v>
      </c>
      <c r="F611" s="15" t="s">
        <v>35</v>
      </c>
      <c r="G611" s="15" t="s">
        <v>36</v>
      </c>
      <c r="H611" s="15" t="s">
        <v>4280</v>
      </c>
      <c r="I611" s="15" t="s">
        <v>4281</v>
      </c>
      <c r="J611" s="15" t="s">
        <v>4282</v>
      </c>
      <c r="K611" s="15" t="s">
        <v>40</v>
      </c>
      <c r="L611" s="15" t="s">
        <v>41</v>
      </c>
      <c r="M611" s="15" t="s">
        <v>66</v>
      </c>
      <c r="N611" s="15" t="s">
        <v>67</v>
      </c>
      <c r="O611" s="15" t="s">
        <v>44</v>
      </c>
      <c r="P611" s="15" t="s">
        <v>4283</v>
      </c>
      <c r="Q611" s="15" t="s">
        <v>4284</v>
      </c>
      <c r="R611" s="16">
        <v>44329</v>
      </c>
      <c r="S611" s="17" t="s">
        <v>4285</v>
      </c>
      <c r="T611" s="20">
        <f>HYPERLINK("https://vnm.spiral.com.vn//uploaded/20210513/c70df9e9-3936-4739-a408-c5a691b79d50.JPEG","07:21:07")</f>
      </c>
      <c r="U611" s="20">
        <f>HYPERLINK("https://vnm.spiral.com.vn//uploaded/20210513/d2d49737-3f44-4ae7-8fc1-fd700605313c.JPEG","16:08:08")</f>
      </c>
      <c r="V611" s="18">
        <v>0.3659837962962963</v>
      </c>
      <c r="W611" s="15" t="s">
        <v>4286</v>
      </c>
      <c r="X611" s="15" t="s">
        <v>4287</v>
      </c>
      <c r="Y611" s="15" t="s">
        <v>35</v>
      </c>
      <c r="Z611" s="19">
        <v>0</v>
      </c>
      <c r="AA611" s="15">
        <v>0</v>
      </c>
      <c r="AB611" s="15" t="s">
        <v>35</v>
      </c>
    </row>
    <row r="612">
      <c r="A612" s="15">
        <v>608</v>
      </c>
      <c r="B612" s="15" t="s">
        <v>61</v>
      </c>
      <c r="C612" s="15" t="s">
        <v>1730</v>
      </c>
      <c r="D612" s="15" t="s">
        <v>35</v>
      </c>
      <c r="E612" s="15" t="s">
        <v>35</v>
      </c>
      <c r="F612" s="15" t="s">
        <v>35</v>
      </c>
      <c r="G612" s="15" t="s">
        <v>36</v>
      </c>
      <c r="H612" s="15" t="s">
        <v>4288</v>
      </c>
      <c r="I612" s="15" t="s">
        <v>4289</v>
      </c>
      <c r="J612" s="15" t="s">
        <v>4290</v>
      </c>
      <c r="K612" s="15" t="s">
        <v>40</v>
      </c>
      <c r="L612" s="15" t="s">
        <v>41</v>
      </c>
      <c r="M612" s="15" t="s">
        <v>205</v>
      </c>
      <c r="N612" s="15" t="s">
        <v>206</v>
      </c>
      <c r="O612" s="15" t="s">
        <v>44</v>
      </c>
      <c r="P612" s="15" t="s">
        <v>4291</v>
      </c>
      <c r="Q612" s="15" t="s">
        <v>4292</v>
      </c>
      <c r="R612" s="16">
        <v>44329</v>
      </c>
      <c r="S612" s="17" t="s">
        <v>1112</v>
      </c>
      <c r="T612" s="20">
        <f>HYPERLINK("https://vnm.spiral.com.vn//uploaded/20210513/C1EF7410-7218-44B3-B334-0EB0D78BBA28.jpg","07:28:32")</f>
      </c>
      <c r="U612" s="20">
        <f>HYPERLINK("https://vnm.spiral.com.vn//uploaded/20210513/58C76440-008E-46C8-9351-C1FADC82B112.jpg","16:08:06")</f>
      </c>
      <c r="V612" s="18">
        <v>0.3608101851851852</v>
      </c>
      <c r="W612" s="15" t="s">
        <v>4293</v>
      </c>
      <c r="X612" s="15" t="s">
        <v>4294</v>
      </c>
      <c r="Y612" s="15" t="s">
        <v>35</v>
      </c>
      <c r="Z612" s="19">
        <v>0</v>
      </c>
      <c r="AA612" s="15">
        <v>0</v>
      </c>
      <c r="AB612" s="15" t="s">
        <v>35</v>
      </c>
    </row>
    <row r="613">
      <c r="A613" s="15">
        <v>609</v>
      </c>
      <c r="B613" s="15" t="s">
        <v>61</v>
      </c>
      <c r="C613" s="15" t="s">
        <v>1730</v>
      </c>
      <c r="D613" s="15" t="s">
        <v>135</v>
      </c>
      <c r="E613" s="15" t="s">
        <v>116</v>
      </c>
      <c r="F613" s="15" t="s">
        <v>35</v>
      </c>
      <c r="G613" s="15" t="s">
        <v>74</v>
      </c>
      <c r="H613" s="15" t="s">
        <v>4295</v>
      </c>
      <c r="I613" s="15" t="s">
        <v>4296</v>
      </c>
      <c r="J613" s="15" t="s">
        <v>4297</v>
      </c>
      <c r="K613" s="15" t="s">
        <v>309</v>
      </c>
      <c r="L613" s="15" t="s">
        <v>310</v>
      </c>
      <c r="M613" s="15" t="s">
        <v>778</v>
      </c>
      <c r="N613" s="15" t="s">
        <v>779</v>
      </c>
      <c r="O613" s="15" t="s">
        <v>82</v>
      </c>
      <c r="P613" s="15" t="s">
        <v>4298</v>
      </c>
      <c r="Q613" s="15" t="s">
        <v>4299</v>
      </c>
      <c r="R613" s="16">
        <v>44329</v>
      </c>
      <c r="S613" s="17" t="s">
        <v>70</v>
      </c>
      <c r="T613" s="20">
        <f>HYPERLINK("https://vnm.spiral.com.vn//uploaded/20210513/f284398e-84d2-4e82-8f7e-97a0d6a8e764.JPEG","16:07:47")</f>
      </c>
      <c r="U613" s="18"/>
      <c r="V613" s="18" t="s">
        <v>35</v>
      </c>
      <c r="W613" s="15" t="s">
        <v>4300</v>
      </c>
      <c r="X613" s="15" t="s">
        <v>35</v>
      </c>
      <c r="Y613" s="15" t="s">
        <v>35</v>
      </c>
      <c r="Z613" s="19">
        <v>0</v>
      </c>
      <c r="AA613" s="15">
        <v>0</v>
      </c>
      <c r="AB613" s="15" t="s">
        <v>35</v>
      </c>
    </row>
    <row r="614">
      <c r="A614" s="15">
        <v>610</v>
      </c>
      <c r="B614" s="15" t="s">
        <v>87</v>
      </c>
      <c r="C614" s="15" t="s">
        <v>88</v>
      </c>
      <c r="D614" s="15" t="s">
        <v>35</v>
      </c>
      <c r="E614" s="15" t="s">
        <v>35</v>
      </c>
      <c r="F614" s="15" t="s">
        <v>35</v>
      </c>
      <c r="G614" s="15" t="s">
        <v>74</v>
      </c>
      <c r="H614" s="15" t="s">
        <v>4301</v>
      </c>
      <c r="I614" s="15" t="s">
        <v>4302</v>
      </c>
      <c r="J614" s="15" t="s">
        <v>4303</v>
      </c>
      <c r="K614" s="15" t="s">
        <v>888</v>
      </c>
      <c r="L614" s="15" t="s">
        <v>889</v>
      </c>
      <c r="M614" s="15" t="s">
        <v>924</v>
      </c>
      <c r="N614" s="15" t="s">
        <v>925</v>
      </c>
      <c r="O614" s="15" t="s">
        <v>82</v>
      </c>
      <c r="P614" s="15" t="s">
        <v>926</v>
      </c>
      <c r="Q614" s="15" t="s">
        <v>927</v>
      </c>
      <c r="R614" s="16">
        <v>44329</v>
      </c>
      <c r="S614" s="17" t="s">
        <v>70</v>
      </c>
      <c r="T614" s="20">
        <f>HYPERLINK("https://vnm.spiral.com.vn//uploaded/20210513/1382B75E-8ECC-424F-8192-F76ED2716CC7.jpg","14:39:18")</f>
      </c>
      <c r="U614" s="20">
        <f>HYPERLINK("https://vnm.spiral.com.vn//uploaded/20210513/6ED24EB6-BF42-411C-8B89-30519E2D89CB.jpg","16:07:42")</f>
      </c>
      <c r="V614" s="18">
        <v>0.06138888888888889</v>
      </c>
      <c r="W614" s="15" t="s">
        <v>4304</v>
      </c>
      <c r="X614" s="15" t="s">
        <v>4305</v>
      </c>
      <c r="Y614" s="15" t="s">
        <v>35</v>
      </c>
      <c r="Z614" s="19">
        <v>0</v>
      </c>
      <c r="AA614" s="15">
        <v>0</v>
      </c>
      <c r="AB614" s="15" t="s">
        <v>35</v>
      </c>
    </row>
    <row r="615">
      <c r="A615" s="15">
        <v>611</v>
      </c>
      <c r="B615" s="15" t="s">
        <v>61</v>
      </c>
      <c r="C615" s="15" t="s">
        <v>201</v>
      </c>
      <c r="D615" s="15" t="s">
        <v>89</v>
      </c>
      <c r="E615" s="15" t="s">
        <v>90</v>
      </c>
      <c r="F615" s="15" t="s">
        <v>35</v>
      </c>
      <c r="G615" s="15" t="s">
        <v>74</v>
      </c>
      <c r="H615" s="15" t="s">
        <v>3006</v>
      </c>
      <c r="I615" s="15" t="s">
        <v>3007</v>
      </c>
      <c r="J615" s="15" t="s">
        <v>3008</v>
      </c>
      <c r="K615" s="15" t="s">
        <v>152</v>
      </c>
      <c r="L615" s="15" t="s">
        <v>153</v>
      </c>
      <c r="M615" s="15" t="s">
        <v>154</v>
      </c>
      <c r="N615" s="15" t="s">
        <v>155</v>
      </c>
      <c r="O615" s="15" t="s">
        <v>156</v>
      </c>
      <c r="P615" s="15" t="s">
        <v>4306</v>
      </c>
      <c r="Q615" s="15" t="s">
        <v>4307</v>
      </c>
      <c r="R615" s="16">
        <v>44329</v>
      </c>
      <c r="S615" s="17" t="s">
        <v>159</v>
      </c>
      <c r="T615" s="20">
        <f>HYPERLINK("https://vnm.spiral.com.vn//uploaded/20210513/3bc5e2dc-437f-40b0-ac06-165ef5352fc7.JPEG","06:43:00")</f>
      </c>
      <c r="U615" s="20">
        <f>HYPERLINK("https://vnm.spiral.com.vn//uploaded/20210513/a03cfb95-c206-4956-96ae-f2270f840302.JPEG","16:07:37")</f>
      </c>
      <c r="V615" s="18">
        <v>0.39209490740740743</v>
      </c>
      <c r="W615" s="15" t="s">
        <v>4308</v>
      </c>
      <c r="X615" s="15" t="s">
        <v>4309</v>
      </c>
      <c r="Y615" s="15" t="s">
        <v>35</v>
      </c>
      <c r="Z615" s="19">
        <v>0</v>
      </c>
      <c r="AA615" s="15">
        <v>0</v>
      </c>
      <c r="AB615" s="15" t="s">
        <v>35</v>
      </c>
    </row>
    <row r="616">
      <c r="A616" s="15">
        <v>612</v>
      </c>
      <c r="B616" s="15" t="s">
        <v>103</v>
      </c>
      <c r="C616" s="15" t="s">
        <v>2116</v>
      </c>
      <c r="D616" s="15" t="s">
        <v>135</v>
      </c>
      <c r="E616" s="15" t="s">
        <v>116</v>
      </c>
      <c r="F616" s="15" t="s">
        <v>35</v>
      </c>
      <c r="G616" s="15" t="s">
        <v>74</v>
      </c>
      <c r="H616" s="15" t="s">
        <v>4310</v>
      </c>
      <c r="I616" s="15" t="s">
        <v>4311</v>
      </c>
      <c r="J616" s="15" t="s">
        <v>4312</v>
      </c>
      <c r="K616" s="15" t="s">
        <v>190</v>
      </c>
      <c r="L616" s="15" t="s">
        <v>191</v>
      </c>
      <c r="M616" s="15" t="s">
        <v>178</v>
      </c>
      <c r="N616" s="15" t="s">
        <v>179</v>
      </c>
      <c r="O616" s="15" t="s">
        <v>98</v>
      </c>
      <c r="P616" s="15" t="s">
        <v>2120</v>
      </c>
      <c r="Q616" s="15" t="s">
        <v>2121</v>
      </c>
      <c r="R616" s="16">
        <v>44329</v>
      </c>
      <c r="S616" s="17" t="s">
        <v>70</v>
      </c>
      <c r="T616" s="20">
        <f>HYPERLINK("https://vnm.spiral.com.vn//uploaded/20210513/04BF551E-4E44-4DF7-83A1-82CE98C64216.jpg","16:07:31")</f>
      </c>
      <c r="U616" s="18"/>
      <c r="V616" s="18" t="s">
        <v>35</v>
      </c>
      <c r="W616" s="15" t="s">
        <v>4313</v>
      </c>
      <c r="X616" s="15" t="s">
        <v>35</v>
      </c>
      <c r="Y616" s="15" t="s">
        <v>35</v>
      </c>
      <c r="Z616" s="19">
        <v>0</v>
      </c>
      <c r="AA616" s="15">
        <v>0</v>
      </c>
      <c r="AB616" s="15" t="s">
        <v>35</v>
      </c>
    </row>
    <row r="617">
      <c r="A617" s="15">
        <v>613</v>
      </c>
      <c r="B617" s="15" t="s">
        <v>87</v>
      </c>
      <c r="C617" s="15" t="s">
        <v>88</v>
      </c>
      <c r="D617" s="15" t="s">
        <v>432</v>
      </c>
      <c r="E617" s="15" t="s">
        <v>116</v>
      </c>
      <c r="F617" s="15" t="s">
        <v>35</v>
      </c>
      <c r="G617" s="15" t="s">
        <v>74</v>
      </c>
      <c r="H617" s="15" t="s">
        <v>4314</v>
      </c>
      <c r="I617" s="15" t="s">
        <v>4315</v>
      </c>
      <c r="J617" s="15" t="s">
        <v>4316</v>
      </c>
      <c r="K617" s="15" t="s">
        <v>625</v>
      </c>
      <c r="L617" s="15" t="s">
        <v>626</v>
      </c>
      <c r="M617" s="15" t="s">
        <v>627</v>
      </c>
      <c r="N617" s="15" t="s">
        <v>628</v>
      </c>
      <c r="O617" s="15" t="s">
        <v>82</v>
      </c>
      <c r="P617" s="15" t="s">
        <v>851</v>
      </c>
      <c r="Q617" s="15" t="s">
        <v>852</v>
      </c>
      <c r="R617" s="16">
        <v>44329</v>
      </c>
      <c r="S617" s="17" t="s">
        <v>70</v>
      </c>
      <c r="T617" s="20">
        <f>HYPERLINK("https://vnm.spiral.com.vn//uploaded/20210513/F83B0D29-214A-4AA2-B521-CD6669E64DE1.jpg","15:20:47")</f>
      </c>
      <c r="U617" s="20">
        <f>HYPERLINK("https://vnm.spiral.com.vn//uploaded/20210513/9D86F356-19F4-4464-8C03-C61E5F775BF8.jpg","16:07:25")</f>
      </c>
      <c r="V617" s="18">
        <v>0.03238425925925926</v>
      </c>
      <c r="W617" s="15" t="s">
        <v>4317</v>
      </c>
      <c r="X617" s="15" t="s">
        <v>4318</v>
      </c>
      <c r="Y617" s="15" t="s">
        <v>35</v>
      </c>
      <c r="Z617" s="19">
        <v>0</v>
      </c>
      <c r="AA617" s="15">
        <v>0</v>
      </c>
      <c r="AB617" s="15" t="s">
        <v>35</v>
      </c>
    </row>
    <row r="618">
      <c r="A618" s="15">
        <v>614</v>
      </c>
      <c r="B618" s="15" t="s">
        <v>87</v>
      </c>
      <c r="C618" s="15" t="s">
        <v>88</v>
      </c>
      <c r="D618" s="15" t="s">
        <v>1910</v>
      </c>
      <c r="E618" s="15" t="s">
        <v>1910</v>
      </c>
      <c r="F618" s="15" t="s">
        <v>35</v>
      </c>
      <c r="G618" s="15" t="s">
        <v>74</v>
      </c>
      <c r="H618" s="15" t="s">
        <v>4319</v>
      </c>
      <c r="I618" s="15" t="s">
        <v>4320</v>
      </c>
      <c r="J618" s="15" t="s">
        <v>4321</v>
      </c>
      <c r="K618" s="15" t="s">
        <v>888</v>
      </c>
      <c r="L618" s="15" t="s">
        <v>889</v>
      </c>
      <c r="M618" s="15" t="s">
        <v>924</v>
      </c>
      <c r="N618" s="15" t="s">
        <v>925</v>
      </c>
      <c r="O618" s="15" t="s">
        <v>82</v>
      </c>
      <c r="P618" s="15" t="s">
        <v>1893</v>
      </c>
      <c r="Q618" s="15" t="s">
        <v>1894</v>
      </c>
      <c r="R618" s="16">
        <v>44329</v>
      </c>
      <c r="S618" s="17" t="s">
        <v>70</v>
      </c>
      <c r="T618" s="20">
        <f>HYPERLINK("https://vnm.spiral.com.vn//uploaded/20210513/4E506441-4000-4A06-88FD-E7AE3B94401D.jpg","15:47:55")</f>
      </c>
      <c r="U618" s="20">
        <f>HYPERLINK("https://vnm.spiral.com.vn//uploaded/20210513/65FE3DEF-3D7D-499B-A564-B18AF42DE1E5.jpg","16:07:23")</f>
      </c>
      <c r="V618" s="18">
        <v>0.013518518518518518</v>
      </c>
      <c r="W618" s="15" t="s">
        <v>4322</v>
      </c>
      <c r="X618" s="15" t="s">
        <v>4323</v>
      </c>
      <c r="Y618" s="15" t="s">
        <v>35</v>
      </c>
      <c r="Z618" s="19">
        <v>0</v>
      </c>
      <c r="AA618" s="15">
        <v>0</v>
      </c>
      <c r="AB618" s="15" t="s">
        <v>35</v>
      </c>
    </row>
    <row r="619">
      <c r="A619" s="15">
        <v>615</v>
      </c>
      <c r="B619" s="15" t="s">
        <v>343</v>
      </c>
      <c r="C619" s="15" t="s">
        <v>344</v>
      </c>
      <c r="D619" s="15" t="s">
        <v>432</v>
      </c>
      <c r="E619" s="15" t="s">
        <v>116</v>
      </c>
      <c r="F619" s="15" t="s">
        <v>35</v>
      </c>
      <c r="G619" s="15" t="s">
        <v>74</v>
      </c>
      <c r="H619" s="15" t="s">
        <v>4324</v>
      </c>
      <c r="I619" s="15" t="s">
        <v>4325</v>
      </c>
      <c r="J619" s="15" t="s">
        <v>4326</v>
      </c>
      <c r="K619" s="15" t="s">
        <v>512</v>
      </c>
      <c r="L619" s="15" t="s">
        <v>513</v>
      </c>
      <c r="M619" s="15" t="s">
        <v>514</v>
      </c>
      <c r="N619" s="15" t="s">
        <v>515</v>
      </c>
      <c r="O619" s="15" t="s">
        <v>82</v>
      </c>
      <c r="P619" s="15" t="s">
        <v>1371</v>
      </c>
      <c r="Q619" s="15" t="s">
        <v>1372</v>
      </c>
      <c r="R619" s="16">
        <v>44329</v>
      </c>
      <c r="S619" s="17" t="s">
        <v>70</v>
      </c>
      <c r="T619" s="20">
        <f>HYPERLINK("https://vnm.spiral.com.vn//uploaded/20210513/5f52bce7-2c65-44c3-85cd-b7d0a63b2a40.JPEG","15:02:40")</f>
      </c>
      <c r="U619" s="20">
        <f>HYPERLINK("https://vnm.spiral.com.vn//uploaded/20210513/8ddd2940-0c34-4487-87d9-3f588140cec6.JPEG","16:07:09")</f>
      </c>
      <c r="V619" s="18">
        <v>0.044780092592592594</v>
      </c>
      <c r="W619" s="15" t="s">
        <v>4327</v>
      </c>
      <c r="X619" s="15" t="s">
        <v>4328</v>
      </c>
      <c r="Y619" s="15" t="s">
        <v>35</v>
      </c>
      <c r="Z619" s="19">
        <v>0</v>
      </c>
      <c r="AA619" s="15">
        <v>0</v>
      </c>
      <c r="AB619" s="15" t="s">
        <v>35</v>
      </c>
    </row>
    <row r="620">
      <c r="A620" s="15">
        <v>616</v>
      </c>
      <c r="B620" s="15" t="s">
        <v>61</v>
      </c>
      <c r="C620" s="15" t="s">
        <v>712</v>
      </c>
      <c r="D620" s="15" t="s">
        <v>35</v>
      </c>
      <c r="E620" s="15" t="s">
        <v>35</v>
      </c>
      <c r="F620" s="15" t="s">
        <v>4329</v>
      </c>
      <c r="G620" s="15" t="s">
        <v>36</v>
      </c>
      <c r="H620" s="15" t="s">
        <v>4330</v>
      </c>
      <c r="I620" s="15" t="s">
        <v>4331</v>
      </c>
      <c r="J620" s="15" t="s">
        <v>4332</v>
      </c>
      <c r="K620" s="15" t="s">
        <v>40</v>
      </c>
      <c r="L620" s="15" t="s">
        <v>41</v>
      </c>
      <c r="M620" s="15" t="s">
        <v>205</v>
      </c>
      <c r="N620" s="15" t="s">
        <v>206</v>
      </c>
      <c r="O620" s="15" t="s">
        <v>44</v>
      </c>
      <c r="P620" s="15" t="s">
        <v>4333</v>
      </c>
      <c r="Q620" s="15" t="s">
        <v>4334</v>
      </c>
      <c r="R620" s="16">
        <v>44329</v>
      </c>
      <c r="S620" s="17" t="s">
        <v>70</v>
      </c>
      <c r="T620" s="20">
        <f>HYPERLINK("https://vnm.spiral.com.vn//uploaded/20210513/2880ef09-f1d8-4f18-894f-48d32397240d.JPEG","07:55:53")</f>
      </c>
      <c r="U620" s="20">
        <f>HYPERLINK("https://vnm.spiral.com.vn//uploaded/20210513/0e0a0e2d-6b44-4cdb-909e-5d038a96a157.JPEG","16:06:41")</f>
      </c>
      <c r="V620" s="18">
        <v>0.3408333333333333</v>
      </c>
      <c r="W620" s="15" t="s">
        <v>4335</v>
      </c>
      <c r="X620" s="15" t="s">
        <v>4336</v>
      </c>
      <c r="Y620" s="15" t="s">
        <v>35</v>
      </c>
      <c r="Z620" s="19">
        <v>0</v>
      </c>
      <c r="AA620" s="15">
        <v>0</v>
      </c>
      <c r="AB620" s="15" t="s">
        <v>35</v>
      </c>
    </row>
    <row r="621">
      <c r="A621" s="15">
        <v>617</v>
      </c>
      <c r="B621" s="15" t="s">
        <v>87</v>
      </c>
      <c r="C621" s="15" t="s">
        <v>88</v>
      </c>
      <c r="D621" s="15" t="s">
        <v>35</v>
      </c>
      <c r="E621" s="15" t="s">
        <v>35</v>
      </c>
      <c r="F621" s="15" t="s">
        <v>1091</v>
      </c>
      <c r="G621" s="15" t="s">
        <v>36</v>
      </c>
      <c r="H621" s="15" t="s">
        <v>4337</v>
      </c>
      <c r="I621" s="15" t="s">
        <v>4338</v>
      </c>
      <c r="J621" s="15" t="s">
        <v>4339</v>
      </c>
      <c r="K621" s="15" t="s">
        <v>40</v>
      </c>
      <c r="L621" s="15" t="s">
        <v>41</v>
      </c>
      <c r="M621" s="15" t="s">
        <v>810</v>
      </c>
      <c r="N621" s="15" t="s">
        <v>811</v>
      </c>
      <c r="O621" s="15" t="s">
        <v>44</v>
      </c>
      <c r="P621" s="15" t="s">
        <v>4340</v>
      </c>
      <c r="Q621" s="15" t="s">
        <v>4341</v>
      </c>
      <c r="R621" s="16">
        <v>44329</v>
      </c>
      <c r="S621" s="17" t="s">
        <v>475</v>
      </c>
      <c r="T621" s="20">
        <f>HYPERLINK("https://vnm.spiral.com.vn//uploaded/20210513/42D8CBE5-8556-4E4A-A054-0EE0CE57E105.jpg","07:56:58")</f>
      </c>
      <c r="U621" s="20">
        <f>HYPERLINK("https://vnm.spiral.com.vn//uploaded/20210513/D70758FA-5670-47D0-9D70-885484A89AA6.jpg","16:06:31")</f>
      </c>
      <c r="V621" s="18">
        <v>0.3399652777777778</v>
      </c>
      <c r="W621" s="15" t="s">
        <v>4342</v>
      </c>
      <c r="X621" s="15" t="s">
        <v>4343</v>
      </c>
      <c r="Y621" s="15" t="s">
        <v>35</v>
      </c>
      <c r="Z621" s="19">
        <v>0</v>
      </c>
      <c r="AA621" s="15">
        <v>0</v>
      </c>
      <c r="AB621" s="15" t="s">
        <v>35</v>
      </c>
    </row>
    <row r="622">
      <c r="A622" s="15">
        <v>618</v>
      </c>
      <c r="B622" s="15" t="s">
        <v>343</v>
      </c>
      <c r="C622" s="15" t="s">
        <v>344</v>
      </c>
      <c r="D622" s="15" t="s">
        <v>89</v>
      </c>
      <c r="E622" s="15" t="s">
        <v>90</v>
      </c>
      <c r="F622" s="15" t="s">
        <v>35</v>
      </c>
      <c r="G622" s="15" t="s">
        <v>74</v>
      </c>
      <c r="H622" s="15" t="s">
        <v>2275</v>
      </c>
      <c r="I622" s="15" t="s">
        <v>2276</v>
      </c>
      <c r="J622" s="15" t="s">
        <v>2277</v>
      </c>
      <c r="K622" s="15" t="s">
        <v>361</v>
      </c>
      <c r="L622" s="15" t="s">
        <v>362</v>
      </c>
      <c r="M622" s="15" t="s">
        <v>1362</v>
      </c>
      <c r="N622" s="15" t="s">
        <v>1363</v>
      </c>
      <c r="O622" s="15" t="s">
        <v>156</v>
      </c>
      <c r="P622" s="15" t="s">
        <v>4344</v>
      </c>
      <c r="Q622" s="15" t="s">
        <v>4345</v>
      </c>
      <c r="R622" s="16">
        <v>44329</v>
      </c>
      <c r="S622" s="17" t="s">
        <v>475</v>
      </c>
      <c r="T622" s="20">
        <f>HYPERLINK("https://vnm.spiral.com.vn//uploaded/20210513/1502b6e9-2e7a-4f9b-a6ec-bfe8322ad248.JPEG","07:44:31")</f>
      </c>
      <c r="U622" s="20">
        <f>HYPERLINK("https://vnm.spiral.com.vn//uploaded/20210513/ca73cbd1-cb7e-415d-bfdf-7865ecf10cf1.JPEG","16:06:29")</f>
      </c>
      <c r="V622" s="18">
        <v>0.34858796296296296</v>
      </c>
      <c r="W622" s="15" t="s">
        <v>4346</v>
      </c>
      <c r="X622" s="15" t="s">
        <v>4347</v>
      </c>
      <c r="Y622" s="15" t="s">
        <v>35</v>
      </c>
      <c r="Z622" s="19">
        <v>0</v>
      </c>
      <c r="AA622" s="15">
        <v>0</v>
      </c>
      <c r="AB622" s="15" t="s">
        <v>35</v>
      </c>
    </row>
    <row r="623">
      <c r="A623" s="15">
        <v>619</v>
      </c>
      <c r="B623" s="15" t="s">
        <v>61</v>
      </c>
      <c r="C623" s="15" t="s">
        <v>303</v>
      </c>
      <c r="D623" s="15" t="s">
        <v>148</v>
      </c>
      <c r="E623" s="15" t="s">
        <v>90</v>
      </c>
      <c r="F623" s="15" t="s">
        <v>35</v>
      </c>
      <c r="G623" s="15" t="s">
        <v>74</v>
      </c>
      <c r="H623" s="15" t="s">
        <v>4348</v>
      </c>
      <c r="I623" s="15" t="s">
        <v>4349</v>
      </c>
      <c r="J623" s="15" t="s">
        <v>4350</v>
      </c>
      <c r="K623" s="15" t="s">
        <v>309</v>
      </c>
      <c r="L623" s="15" t="s">
        <v>310</v>
      </c>
      <c r="M623" s="15" t="s">
        <v>311</v>
      </c>
      <c r="N623" s="15" t="s">
        <v>312</v>
      </c>
      <c r="O623" s="15" t="s">
        <v>156</v>
      </c>
      <c r="P623" s="15" t="s">
        <v>4351</v>
      </c>
      <c r="Q623" s="15" t="s">
        <v>4352</v>
      </c>
      <c r="R623" s="16">
        <v>44329</v>
      </c>
      <c r="S623" s="17" t="s">
        <v>159</v>
      </c>
      <c r="T623" s="20">
        <f>HYPERLINK("https://vnm.spiral.com.vn//uploaded/20210513/7e37f78e-b324-4378-aa51-aa76597fc813.JPEG","06:58:16")</f>
      </c>
      <c r="U623" s="20">
        <f>HYPERLINK("https://vnm.spiral.com.vn//uploaded/20210513/2c792437-42ea-4cfa-9d22-42a79942a1ed.JPEG","16:06:28")</f>
      </c>
      <c r="V623" s="18">
        <v>0.38069444444444445</v>
      </c>
      <c r="W623" s="15" t="s">
        <v>4353</v>
      </c>
      <c r="X623" s="15" t="s">
        <v>4354</v>
      </c>
      <c r="Y623" s="15" t="s">
        <v>35</v>
      </c>
      <c r="Z623" s="19">
        <v>0</v>
      </c>
      <c r="AA623" s="15">
        <v>0</v>
      </c>
      <c r="AB623" s="15" t="s">
        <v>35</v>
      </c>
    </row>
    <row r="624">
      <c r="A624" s="15">
        <v>620</v>
      </c>
      <c r="B624" s="15" t="s">
        <v>246</v>
      </c>
      <c r="C624" s="15" t="s">
        <v>259</v>
      </c>
      <c r="D624" s="15" t="s">
        <v>35</v>
      </c>
      <c r="E624" s="15" t="s">
        <v>35</v>
      </c>
      <c r="F624" s="15" t="s">
        <v>4355</v>
      </c>
      <c r="G624" s="15" t="s">
        <v>36</v>
      </c>
      <c r="H624" s="15" t="s">
        <v>4356</v>
      </c>
      <c r="I624" s="15" t="s">
        <v>4357</v>
      </c>
      <c r="J624" s="15" t="s">
        <v>4358</v>
      </c>
      <c r="K624" s="15" t="s">
        <v>40</v>
      </c>
      <c r="L624" s="15" t="s">
        <v>41</v>
      </c>
      <c r="M624" s="15" t="s">
        <v>252</v>
      </c>
      <c r="N624" s="15" t="s">
        <v>253</v>
      </c>
      <c r="O624" s="15" t="s">
        <v>44</v>
      </c>
      <c r="P624" s="15" t="s">
        <v>4359</v>
      </c>
      <c r="Q624" s="15" t="s">
        <v>4360</v>
      </c>
      <c r="R624" s="16">
        <v>44329</v>
      </c>
      <c r="S624" s="17" t="s">
        <v>2925</v>
      </c>
      <c r="T624" s="20">
        <f>HYPERLINK("https://vnm.spiral.com.vn//uploaded/20210513/745B0A8F-4422-451C-AF64-C1F9412C91F6.jpg","16:06:26")</f>
      </c>
      <c r="U624" s="18"/>
      <c r="V624" s="18" t="s">
        <v>35</v>
      </c>
      <c r="W624" s="15" t="s">
        <v>4361</v>
      </c>
      <c r="X624" s="15" t="s">
        <v>35</v>
      </c>
      <c r="Y624" s="15" t="s">
        <v>35</v>
      </c>
      <c r="Z624" s="19">
        <v>0</v>
      </c>
      <c r="AA624" s="15">
        <v>0</v>
      </c>
      <c r="AB624" s="15" t="s">
        <v>35</v>
      </c>
    </row>
    <row r="625">
      <c r="A625" s="15">
        <v>621</v>
      </c>
      <c r="B625" s="15" t="s">
        <v>87</v>
      </c>
      <c r="C625" s="15" t="s">
        <v>88</v>
      </c>
      <c r="D625" s="15" t="s">
        <v>432</v>
      </c>
      <c r="E625" s="15" t="s">
        <v>116</v>
      </c>
      <c r="F625" s="15" t="s">
        <v>35</v>
      </c>
      <c r="G625" s="15" t="s">
        <v>74</v>
      </c>
      <c r="H625" s="15" t="s">
        <v>4362</v>
      </c>
      <c r="I625" s="15" t="s">
        <v>4363</v>
      </c>
      <c r="J625" s="15" t="s">
        <v>4364</v>
      </c>
      <c r="K625" s="15" t="s">
        <v>94</v>
      </c>
      <c r="L625" s="15" t="s">
        <v>95</v>
      </c>
      <c r="M625" s="15" t="s">
        <v>625</v>
      </c>
      <c r="N625" s="15" t="s">
        <v>626</v>
      </c>
      <c r="O625" s="15" t="s">
        <v>98</v>
      </c>
      <c r="P625" s="15" t="s">
        <v>1022</v>
      </c>
      <c r="Q625" s="15" t="s">
        <v>1023</v>
      </c>
      <c r="R625" s="16">
        <v>44329</v>
      </c>
      <c r="S625" s="17" t="s">
        <v>70</v>
      </c>
      <c r="T625" s="20">
        <f>HYPERLINK("https://vnm.spiral.com.vn//uploaded/20210513/9903ad35-bbc6-432d-8ce1-c6aad4916ad7.JPEG","14:14:15")</f>
      </c>
      <c r="U625" s="20">
        <f>HYPERLINK("https://vnm.spiral.com.vn//uploaded/20210513/47581a43-f6fb-4dc2-8a55-66a4cfb2432c.JPEG","16:06:24")</f>
      </c>
      <c r="V625" s="18">
        <v>0.07788194444444445</v>
      </c>
      <c r="W625" s="15" t="s">
        <v>4365</v>
      </c>
      <c r="X625" s="15" t="s">
        <v>4366</v>
      </c>
      <c r="Y625" s="15" t="s">
        <v>35</v>
      </c>
      <c r="Z625" s="19">
        <v>0</v>
      </c>
      <c r="AA625" s="15">
        <v>0</v>
      </c>
      <c r="AB625" s="15" t="s">
        <v>35</v>
      </c>
    </row>
    <row r="626">
      <c r="A626" s="15">
        <v>622</v>
      </c>
      <c r="B626" s="15" t="s">
        <v>343</v>
      </c>
      <c r="C626" s="15" t="s">
        <v>344</v>
      </c>
      <c r="D626" s="15" t="s">
        <v>432</v>
      </c>
      <c r="E626" s="15" t="s">
        <v>116</v>
      </c>
      <c r="F626" s="15" t="s">
        <v>35</v>
      </c>
      <c r="G626" s="15" t="s">
        <v>74</v>
      </c>
      <c r="H626" s="15" t="s">
        <v>4367</v>
      </c>
      <c r="I626" s="15" t="s">
        <v>4368</v>
      </c>
      <c r="J626" s="15" t="s">
        <v>4369</v>
      </c>
      <c r="K626" s="15" t="s">
        <v>1168</v>
      </c>
      <c r="L626" s="15" t="s">
        <v>1169</v>
      </c>
      <c r="M626" s="15" t="s">
        <v>1170</v>
      </c>
      <c r="N626" s="15" t="s">
        <v>1171</v>
      </c>
      <c r="O626" s="15" t="s">
        <v>82</v>
      </c>
      <c r="P626" s="15" t="s">
        <v>4370</v>
      </c>
      <c r="Q626" s="15" t="s">
        <v>4371</v>
      </c>
      <c r="R626" s="16">
        <v>44329</v>
      </c>
      <c r="S626" s="17" t="s">
        <v>70</v>
      </c>
      <c r="T626" s="20">
        <f>HYPERLINK("https://vnm.spiral.com.vn//uploaded/20210513/C8A1825B-21E6-4438-B3DB-008848245240.jpg","16:06:21")</f>
      </c>
      <c r="U626" s="18"/>
      <c r="V626" s="18" t="s">
        <v>35</v>
      </c>
      <c r="W626" s="15" t="s">
        <v>4372</v>
      </c>
      <c r="X626" s="15" t="s">
        <v>35</v>
      </c>
      <c r="Y626" s="15" t="s">
        <v>35</v>
      </c>
      <c r="Z626" s="19">
        <v>0</v>
      </c>
      <c r="AA626" s="15">
        <v>0</v>
      </c>
      <c r="AB626" s="15" t="s">
        <v>35</v>
      </c>
    </row>
    <row r="627">
      <c r="A627" s="15">
        <v>623</v>
      </c>
      <c r="B627" s="15" t="s">
        <v>87</v>
      </c>
      <c r="C627" s="15" t="s">
        <v>88</v>
      </c>
      <c r="D627" s="15" t="s">
        <v>35</v>
      </c>
      <c r="E627" s="15" t="s">
        <v>35</v>
      </c>
      <c r="F627" s="15" t="s">
        <v>35</v>
      </c>
      <c r="G627" s="15" t="s">
        <v>36</v>
      </c>
      <c r="H627" s="15" t="s">
        <v>4373</v>
      </c>
      <c r="I627" s="15" t="s">
        <v>4374</v>
      </c>
      <c r="J627" s="15" t="s">
        <v>4375</v>
      </c>
      <c r="K627" s="15" t="s">
        <v>40</v>
      </c>
      <c r="L627" s="15" t="s">
        <v>41</v>
      </c>
      <c r="M627" s="15" t="s">
        <v>289</v>
      </c>
      <c r="N627" s="15" t="s">
        <v>290</v>
      </c>
      <c r="O627" s="15" t="s">
        <v>44</v>
      </c>
      <c r="P627" s="15" t="s">
        <v>4376</v>
      </c>
      <c r="Q627" s="15" t="s">
        <v>4377</v>
      </c>
      <c r="R627" s="16">
        <v>44329</v>
      </c>
      <c r="S627" s="17" t="s">
        <v>2925</v>
      </c>
      <c r="T627" s="20">
        <f>HYPERLINK("https://vnm.spiral.com.vn//uploaded/20210513/f382fa13-56d0-454b-ab65-b91bf4142df9.JPEG","16:06:16")</f>
      </c>
      <c r="U627" s="18"/>
      <c r="V627" s="18" t="s">
        <v>35</v>
      </c>
      <c r="W627" s="15" t="s">
        <v>4378</v>
      </c>
      <c r="X627" s="15" t="s">
        <v>35</v>
      </c>
      <c r="Y627" s="15" t="s">
        <v>35</v>
      </c>
      <c r="Z627" s="19">
        <v>0</v>
      </c>
      <c r="AA627" s="15">
        <v>0</v>
      </c>
      <c r="AB627" s="15" t="s">
        <v>35</v>
      </c>
    </row>
    <row r="628">
      <c r="A628" s="15">
        <v>624</v>
      </c>
      <c r="B628" s="15" t="s">
        <v>343</v>
      </c>
      <c r="C628" s="15" t="s">
        <v>344</v>
      </c>
      <c r="D628" s="15" t="s">
        <v>35</v>
      </c>
      <c r="E628" s="15" t="s">
        <v>35</v>
      </c>
      <c r="F628" s="15" t="s">
        <v>35</v>
      </c>
      <c r="G628" s="15" t="s">
        <v>36</v>
      </c>
      <c r="H628" s="15" t="s">
        <v>4379</v>
      </c>
      <c r="I628" s="15" t="s">
        <v>4380</v>
      </c>
      <c r="J628" s="15" t="s">
        <v>4381</v>
      </c>
      <c r="K628" s="15" t="s">
        <v>40</v>
      </c>
      <c r="L628" s="15" t="s">
        <v>41</v>
      </c>
      <c r="M628" s="15" t="s">
        <v>409</v>
      </c>
      <c r="N628" s="15" t="s">
        <v>410</v>
      </c>
      <c r="O628" s="15" t="s">
        <v>44</v>
      </c>
      <c r="P628" s="15" t="s">
        <v>4382</v>
      </c>
      <c r="Q628" s="15" t="s">
        <v>4383</v>
      </c>
      <c r="R628" s="16">
        <v>44329</v>
      </c>
      <c r="S628" s="17" t="s">
        <v>2925</v>
      </c>
      <c r="T628" s="20">
        <f>HYPERLINK("https://vnm.spiral.com.vn//uploaded/20210513/84260894-60F1-4406-8D3F-13A38EC048CB.jpg","16:06:10")</f>
      </c>
      <c r="U628" s="18"/>
      <c r="V628" s="18" t="s">
        <v>35</v>
      </c>
      <c r="W628" s="15" t="s">
        <v>4384</v>
      </c>
      <c r="X628" s="15" t="s">
        <v>35</v>
      </c>
      <c r="Y628" s="15" t="s">
        <v>35</v>
      </c>
      <c r="Z628" s="19">
        <v>0</v>
      </c>
      <c r="AA628" s="15">
        <v>0</v>
      </c>
      <c r="AB628" s="15" t="s">
        <v>35</v>
      </c>
    </row>
    <row r="629">
      <c r="A629" s="15">
        <v>625</v>
      </c>
      <c r="B629" s="15" t="s">
        <v>103</v>
      </c>
      <c r="C629" s="15" t="s">
        <v>186</v>
      </c>
      <c r="D629" s="15" t="s">
        <v>89</v>
      </c>
      <c r="E629" s="15" t="s">
        <v>90</v>
      </c>
      <c r="F629" s="15" t="s">
        <v>35</v>
      </c>
      <c r="G629" s="15" t="s">
        <v>74</v>
      </c>
      <c r="H629" s="15" t="s">
        <v>187</v>
      </c>
      <c r="I629" s="15" t="s">
        <v>188</v>
      </c>
      <c r="J629" s="15" t="s">
        <v>189</v>
      </c>
      <c r="K629" s="15" t="s">
        <v>178</v>
      </c>
      <c r="L629" s="15" t="s">
        <v>179</v>
      </c>
      <c r="M629" s="15" t="s">
        <v>180</v>
      </c>
      <c r="N629" s="15" t="s">
        <v>181</v>
      </c>
      <c r="O629" s="15" t="s">
        <v>156</v>
      </c>
      <c r="P629" s="15" t="s">
        <v>4385</v>
      </c>
      <c r="Q629" s="15" t="s">
        <v>4386</v>
      </c>
      <c r="R629" s="16">
        <v>44329</v>
      </c>
      <c r="S629" s="17" t="s">
        <v>273</v>
      </c>
      <c r="T629" s="20">
        <f>HYPERLINK("https://vnm.spiral.com.vn//uploaded/20210513/FEB29EAC-A8E8-42D8-A9EC-A881C08AF15F.jpg","07:26:11")</f>
      </c>
      <c r="U629" s="20">
        <f>HYPERLINK("https://vnm.spiral.com.vn//uploaded/20210513/847C0B95-0DE5-4CF3-8535-BF0122214362.jpg","16:06:04")</f>
      </c>
      <c r="V629" s="18">
        <v>0.3610300925925926</v>
      </c>
      <c r="W629" s="15" t="s">
        <v>4387</v>
      </c>
      <c r="X629" s="15" t="s">
        <v>4388</v>
      </c>
      <c r="Y629" s="15" t="s">
        <v>35</v>
      </c>
      <c r="Z629" s="19">
        <v>0</v>
      </c>
      <c r="AA629" s="15">
        <v>0</v>
      </c>
      <c r="AB629" s="15" t="s">
        <v>35</v>
      </c>
    </row>
    <row r="630">
      <c r="A630" s="15">
        <v>626</v>
      </c>
      <c r="B630" s="15" t="s">
        <v>61</v>
      </c>
      <c r="C630" s="15" t="s">
        <v>398</v>
      </c>
      <c r="D630" s="15" t="s">
        <v>148</v>
      </c>
      <c r="E630" s="15" t="s">
        <v>90</v>
      </c>
      <c r="F630" s="15" t="s">
        <v>35</v>
      </c>
      <c r="G630" s="15" t="s">
        <v>74</v>
      </c>
      <c r="H630" s="15" t="s">
        <v>4389</v>
      </c>
      <c r="I630" s="15" t="s">
        <v>4390</v>
      </c>
      <c r="J630" s="15" t="s">
        <v>4391</v>
      </c>
      <c r="K630" s="15" t="s">
        <v>1586</v>
      </c>
      <c r="L630" s="15" t="s">
        <v>1587</v>
      </c>
      <c r="M630" s="15" t="s">
        <v>1588</v>
      </c>
      <c r="N630" s="15" t="s">
        <v>1589</v>
      </c>
      <c r="O630" s="15" t="s">
        <v>156</v>
      </c>
      <c r="P630" s="15" t="s">
        <v>4392</v>
      </c>
      <c r="Q630" s="15" t="s">
        <v>4393</v>
      </c>
      <c r="R630" s="16">
        <v>44329</v>
      </c>
      <c r="S630" s="17" t="s">
        <v>159</v>
      </c>
      <c r="T630" s="20">
        <f>HYPERLINK("https://vnm.spiral.com.vn//uploaded/20210513/0C49E93F-A068-4D01-950B-6A516C4CBD31.jpg","06:55:42")</f>
      </c>
      <c r="U630" s="20">
        <f>HYPERLINK("https://vnm.spiral.com.vn//uploaded/20210513/9D7D123D-76A1-4DF4-8331-4E9A6566557B.jpg","16:06:04")</f>
      </c>
      <c r="V630" s="18">
        <v>0.38219907407407405</v>
      </c>
      <c r="W630" s="15" t="s">
        <v>4394</v>
      </c>
      <c r="X630" s="15" t="s">
        <v>4395</v>
      </c>
      <c r="Y630" s="15" t="s">
        <v>35</v>
      </c>
      <c r="Z630" s="19">
        <v>0</v>
      </c>
      <c r="AA630" s="15">
        <v>0</v>
      </c>
      <c r="AB630" s="15" t="s">
        <v>35</v>
      </c>
    </row>
    <row r="631">
      <c r="A631" s="15">
        <v>627</v>
      </c>
      <c r="B631" s="15" t="s">
        <v>49</v>
      </c>
      <c r="C631" s="15" t="s">
        <v>162</v>
      </c>
      <c r="D631" s="15" t="s">
        <v>135</v>
      </c>
      <c r="E631" s="15" t="s">
        <v>116</v>
      </c>
      <c r="F631" s="15" t="s">
        <v>35</v>
      </c>
      <c r="G631" s="15" t="s">
        <v>74</v>
      </c>
      <c r="H631" s="15" t="s">
        <v>4396</v>
      </c>
      <c r="I631" s="15" t="s">
        <v>4397</v>
      </c>
      <c r="J631" s="15" t="s">
        <v>4398</v>
      </c>
      <c r="K631" s="15" t="s">
        <v>166</v>
      </c>
      <c r="L631" s="15" t="s">
        <v>167</v>
      </c>
      <c r="M631" s="15" t="s">
        <v>168</v>
      </c>
      <c r="N631" s="15" t="s">
        <v>169</v>
      </c>
      <c r="O631" s="15" t="s">
        <v>82</v>
      </c>
      <c r="P631" s="15" t="s">
        <v>4399</v>
      </c>
      <c r="Q631" s="15" t="s">
        <v>4400</v>
      </c>
      <c r="R631" s="16">
        <v>44329</v>
      </c>
      <c r="S631" s="17" t="s">
        <v>70</v>
      </c>
      <c r="T631" s="20">
        <f>HYPERLINK("https://vnm.spiral.com.vn//uploaded/20210513/7300ACF0-E339-4483-A070-01A83A2E08AC.jpg","16:06:02")</f>
      </c>
      <c r="U631" s="18"/>
      <c r="V631" s="18" t="s">
        <v>35</v>
      </c>
      <c r="W631" s="15" t="s">
        <v>4401</v>
      </c>
      <c r="X631" s="15" t="s">
        <v>35</v>
      </c>
      <c r="Y631" s="15" t="s">
        <v>35</v>
      </c>
      <c r="Z631" s="19">
        <v>0</v>
      </c>
      <c r="AA631" s="15">
        <v>0</v>
      </c>
      <c r="AB631" s="15" t="s">
        <v>35</v>
      </c>
    </row>
    <row r="632">
      <c r="A632" s="15">
        <v>628</v>
      </c>
      <c r="B632" s="15" t="s">
        <v>103</v>
      </c>
      <c r="C632" s="15" t="s">
        <v>186</v>
      </c>
      <c r="D632" s="15" t="s">
        <v>35</v>
      </c>
      <c r="E632" s="15" t="s">
        <v>35</v>
      </c>
      <c r="F632" s="15" t="s">
        <v>4402</v>
      </c>
      <c r="G632" s="15" t="s">
        <v>36</v>
      </c>
      <c r="H632" s="15" t="s">
        <v>4403</v>
      </c>
      <c r="I632" s="15" t="s">
        <v>4404</v>
      </c>
      <c r="J632" s="15" t="s">
        <v>4405</v>
      </c>
      <c r="K632" s="15" t="s">
        <v>40</v>
      </c>
      <c r="L632" s="15" t="s">
        <v>41</v>
      </c>
      <c r="M632" s="15" t="s">
        <v>565</v>
      </c>
      <c r="N632" s="15" t="s">
        <v>566</v>
      </c>
      <c r="O632" s="15" t="s">
        <v>44</v>
      </c>
      <c r="P632" s="15" t="s">
        <v>4406</v>
      </c>
      <c r="Q632" s="15" t="s">
        <v>4407</v>
      </c>
      <c r="R632" s="16">
        <v>44329</v>
      </c>
      <c r="S632" s="17" t="s">
        <v>475</v>
      </c>
      <c r="T632" s="20">
        <f>HYPERLINK("https://vnm.spiral.com.vn//uploaded/20210513/501FE33F-1041-4635-AE6E-33546E846A38.jpg","07:30:12")</f>
      </c>
      <c r="U632" s="20">
        <f>HYPERLINK("https://vnm.spiral.com.vn//uploaded/20210513/113281C7-70CC-45A7-B467-AE1158B3E286.jpg","16:05:53")</f>
      </c>
      <c r="V632" s="18">
        <v>0.35811342592592593</v>
      </c>
      <c r="W632" s="15" t="s">
        <v>4408</v>
      </c>
      <c r="X632" s="15" t="s">
        <v>4409</v>
      </c>
      <c r="Y632" s="15" t="s">
        <v>35</v>
      </c>
      <c r="Z632" s="19">
        <v>0</v>
      </c>
      <c r="AA632" s="15">
        <v>0</v>
      </c>
      <c r="AB632" s="15" t="s">
        <v>35</v>
      </c>
    </row>
    <row r="633">
      <c r="A633" s="15">
        <v>629</v>
      </c>
      <c r="B633" s="15" t="s">
        <v>343</v>
      </c>
      <c r="C633" s="15" t="s">
        <v>344</v>
      </c>
      <c r="D633" s="15" t="s">
        <v>432</v>
      </c>
      <c r="E633" s="15" t="s">
        <v>116</v>
      </c>
      <c r="F633" s="15" t="s">
        <v>35</v>
      </c>
      <c r="G633" s="15" t="s">
        <v>74</v>
      </c>
      <c r="H633" s="15" t="s">
        <v>4410</v>
      </c>
      <c r="I633" s="15" t="s">
        <v>4411</v>
      </c>
      <c r="J633" s="15" t="s">
        <v>4412</v>
      </c>
      <c r="K633" s="15" t="s">
        <v>915</v>
      </c>
      <c r="L633" s="15" t="s">
        <v>916</v>
      </c>
      <c r="M633" s="15" t="s">
        <v>1168</v>
      </c>
      <c r="N633" s="15" t="s">
        <v>1169</v>
      </c>
      <c r="O633" s="15" t="s">
        <v>98</v>
      </c>
      <c r="P633" s="15" t="s">
        <v>1170</v>
      </c>
      <c r="Q633" s="15" t="s">
        <v>1171</v>
      </c>
      <c r="R633" s="16">
        <v>44329</v>
      </c>
      <c r="S633" s="17" t="s">
        <v>70</v>
      </c>
      <c r="T633" s="20">
        <f>HYPERLINK("https://vnm.spiral.com.vn//uploaded/20210513/60d2bd57-c22c-41ea-9b03-805ee01f337b.JPEG","16:05:53")</f>
      </c>
      <c r="U633" s="18"/>
      <c r="V633" s="18" t="s">
        <v>35</v>
      </c>
      <c r="W633" s="15" t="s">
        <v>4413</v>
      </c>
      <c r="X633" s="15" t="s">
        <v>35</v>
      </c>
      <c r="Y633" s="15" t="s">
        <v>35</v>
      </c>
      <c r="Z633" s="19">
        <v>0</v>
      </c>
      <c r="AA633" s="15">
        <v>0</v>
      </c>
      <c r="AB633" s="15" t="s">
        <v>35</v>
      </c>
    </row>
    <row r="634">
      <c r="A634" s="15">
        <v>630</v>
      </c>
      <c r="B634" s="15" t="s">
        <v>87</v>
      </c>
      <c r="C634" s="15" t="s">
        <v>88</v>
      </c>
      <c r="D634" s="15" t="s">
        <v>89</v>
      </c>
      <c r="E634" s="15" t="s">
        <v>90</v>
      </c>
      <c r="F634" s="15" t="s">
        <v>35</v>
      </c>
      <c r="G634" s="15" t="s">
        <v>74</v>
      </c>
      <c r="H634" s="15" t="s">
        <v>1285</v>
      </c>
      <c r="I634" s="15" t="s">
        <v>1286</v>
      </c>
      <c r="J634" s="15" t="s">
        <v>1287</v>
      </c>
      <c r="K634" s="15" t="s">
        <v>94</v>
      </c>
      <c r="L634" s="15" t="s">
        <v>95</v>
      </c>
      <c r="M634" s="15" t="s">
        <v>96</v>
      </c>
      <c r="N634" s="15" t="s">
        <v>97</v>
      </c>
      <c r="O634" s="15" t="s">
        <v>98</v>
      </c>
      <c r="P634" s="15" t="s">
        <v>1288</v>
      </c>
      <c r="Q634" s="15" t="s">
        <v>1289</v>
      </c>
      <c r="R634" s="16">
        <v>44329</v>
      </c>
      <c r="S634" s="17" t="s">
        <v>70</v>
      </c>
      <c r="T634" s="20">
        <f>HYPERLINK("https://vnm.spiral.com.vn//uploaded/20210513/99fae6ea-b1e7-4b83-ae35-caa282f03d73.JPEG","07:42:04")</f>
      </c>
      <c r="U634" s="20">
        <f>HYPERLINK("https://vnm.spiral.com.vn//uploaded/20210513/5fe96e3f-6c97-43de-8cd6-eeca11794bdf.JPEG","16:05:44")</f>
      </c>
      <c r="V634" s="18">
        <v>0.34976851851851853</v>
      </c>
      <c r="W634" s="15" t="s">
        <v>4414</v>
      </c>
      <c r="X634" s="15" t="s">
        <v>4415</v>
      </c>
      <c r="Y634" s="15" t="s">
        <v>35</v>
      </c>
      <c r="Z634" s="19">
        <v>0</v>
      </c>
      <c r="AA634" s="15">
        <v>0</v>
      </c>
      <c r="AB634" s="15" t="s">
        <v>35</v>
      </c>
    </row>
    <row r="635">
      <c r="A635" s="15">
        <v>631</v>
      </c>
      <c r="B635" s="15" t="s">
        <v>87</v>
      </c>
      <c r="C635" s="15" t="s">
        <v>88</v>
      </c>
      <c r="D635" s="15" t="s">
        <v>1897</v>
      </c>
      <c r="E635" s="15" t="s">
        <v>90</v>
      </c>
      <c r="F635" s="15" t="s">
        <v>35</v>
      </c>
      <c r="G635" s="15" t="s">
        <v>74</v>
      </c>
      <c r="H635" s="15" t="s">
        <v>4416</v>
      </c>
      <c r="I635" s="15" t="s">
        <v>4417</v>
      </c>
      <c r="J635" s="15" t="s">
        <v>4418</v>
      </c>
      <c r="K635" s="15" t="s">
        <v>1204</v>
      </c>
      <c r="L635" s="15" t="s">
        <v>1205</v>
      </c>
      <c r="M635" s="15" t="s">
        <v>3774</v>
      </c>
      <c r="N635" s="15" t="s">
        <v>3775</v>
      </c>
      <c r="O635" s="15" t="s">
        <v>156</v>
      </c>
      <c r="P635" s="15" t="s">
        <v>4419</v>
      </c>
      <c r="Q635" s="15" t="s">
        <v>4420</v>
      </c>
      <c r="R635" s="16">
        <v>44329</v>
      </c>
      <c r="S635" s="17" t="s">
        <v>159</v>
      </c>
      <c r="T635" s="20">
        <f>HYPERLINK("https://vnm.spiral.com.vn//uploaded/20210513/7f6abcde-1125-4dc5-a505-27deca9eb7d1.JPEG","06:41:49")</f>
      </c>
      <c r="U635" s="20">
        <f>HYPERLINK("https://vnm.spiral.com.vn//uploaded/20210513/cdcfdf2c-d23e-4bd1-a294-44a213ceae25.JPEG","16:05:41")</f>
      </c>
      <c r="V635" s="18">
        <v>0.3915740740740741</v>
      </c>
      <c r="W635" s="15" t="s">
        <v>4421</v>
      </c>
      <c r="X635" s="15" t="s">
        <v>4422</v>
      </c>
      <c r="Y635" s="15" t="s">
        <v>35</v>
      </c>
      <c r="Z635" s="19">
        <v>0</v>
      </c>
      <c r="AA635" s="15">
        <v>0</v>
      </c>
      <c r="AB635" s="15" t="s">
        <v>35</v>
      </c>
    </row>
    <row r="636">
      <c r="A636" s="15">
        <v>632</v>
      </c>
      <c r="B636" s="15" t="s">
        <v>87</v>
      </c>
      <c r="C636" s="15" t="s">
        <v>88</v>
      </c>
      <c r="D636" s="15" t="s">
        <v>35</v>
      </c>
      <c r="E636" s="15" t="s">
        <v>35</v>
      </c>
      <c r="F636" s="15" t="s">
        <v>2773</v>
      </c>
      <c r="G636" s="15" t="s">
        <v>36</v>
      </c>
      <c r="H636" s="15" t="s">
        <v>4423</v>
      </c>
      <c r="I636" s="15" t="s">
        <v>4424</v>
      </c>
      <c r="J636" s="15" t="s">
        <v>4425</v>
      </c>
      <c r="K636" s="15" t="s">
        <v>40</v>
      </c>
      <c r="L636" s="15" t="s">
        <v>41</v>
      </c>
      <c r="M636" s="15" t="s">
        <v>810</v>
      </c>
      <c r="N636" s="15" t="s">
        <v>811</v>
      </c>
      <c r="O636" s="15" t="s">
        <v>44</v>
      </c>
      <c r="P636" s="15" t="s">
        <v>4426</v>
      </c>
      <c r="Q636" s="15" t="s">
        <v>4427</v>
      </c>
      <c r="R636" s="16">
        <v>44329</v>
      </c>
      <c r="S636" s="17" t="s">
        <v>2925</v>
      </c>
      <c r="T636" s="20">
        <f>HYPERLINK("https://vnm.spiral.com.vn//uploaded/20210513/9AC84381-CE37-464D-A01C-BB9DF7913014.jpg","16:05:36")</f>
      </c>
      <c r="U636" s="18"/>
      <c r="V636" s="18" t="s">
        <v>35</v>
      </c>
      <c r="W636" s="15" t="s">
        <v>4428</v>
      </c>
      <c r="X636" s="15" t="s">
        <v>35</v>
      </c>
      <c r="Y636" s="15" t="s">
        <v>35</v>
      </c>
      <c r="Z636" s="19">
        <v>0</v>
      </c>
      <c r="AA636" s="15">
        <v>0</v>
      </c>
      <c r="AB636" s="15" t="s">
        <v>35</v>
      </c>
    </row>
    <row r="637">
      <c r="A637" s="15">
        <v>633</v>
      </c>
      <c r="B637" s="15" t="s">
        <v>61</v>
      </c>
      <c r="C637" s="15" t="s">
        <v>303</v>
      </c>
      <c r="D637" s="15" t="s">
        <v>35</v>
      </c>
      <c r="E637" s="15" t="s">
        <v>35</v>
      </c>
      <c r="F637" s="15" t="s">
        <v>35</v>
      </c>
      <c r="G637" s="15" t="s">
        <v>36</v>
      </c>
      <c r="H637" s="15" t="s">
        <v>4429</v>
      </c>
      <c r="I637" s="15" t="s">
        <v>4430</v>
      </c>
      <c r="J637" s="15" t="s">
        <v>4431</v>
      </c>
      <c r="K637" s="15" t="s">
        <v>40</v>
      </c>
      <c r="L637" s="15" t="s">
        <v>41</v>
      </c>
      <c r="M637" s="15" t="s">
        <v>205</v>
      </c>
      <c r="N637" s="15" t="s">
        <v>206</v>
      </c>
      <c r="O637" s="15" t="s">
        <v>44</v>
      </c>
      <c r="P637" s="15" t="s">
        <v>4432</v>
      </c>
      <c r="Q637" s="15" t="s">
        <v>4433</v>
      </c>
      <c r="R637" s="16">
        <v>44329</v>
      </c>
      <c r="S637" s="17" t="s">
        <v>273</v>
      </c>
      <c r="T637" s="20">
        <f>HYPERLINK("https://vnm.spiral.com.vn//uploaded/20210513/60eb1981-ad91-40d0-a28e-eedc8aed2825.JPEG","07:27:33")</f>
      </c>
      <c r="U637" s="20">
        <f>HYPERLINK("https://vnm.spiral.com.vn//uploaded/20210513/7c80034b-6b81-4308-a70b-a7a592d3c4f2.JPEG","16:05:34")</f>
      </c>
      <c r="V637" s="18">
        <v>0.3597337962962963</v>
      </c>
      <c r="W637" s="15" t="s">
        <v>4434</v>
      </c>
      <c r="X637" s="15" t="s">
        <v>4435</v>
      </c>
      <c r="Y637" s="15" t="s">
        <v>35</v>
      </c>
      <c r="Z637" s="19">
        <v>0</v>
      </c>
      <c r="AA637" s="15">
        <v>0</v>
      </c>
      <c r="AB637" s="15" t="s">
        <v>35</v>
      </c>
    </row>
    <row r="638">
      <c r="A638" s="15">
        <v>634</v>
      </c>
      <c r="B638" s="15" t="s">
        <v>87</v>
      </c>
      <c r="C638" s="15" t="s">
        <v>88</v>
      </c>
      <c r="D638" s="15" t="s">
        <v>357</v>
      </c>
      <c r="E638" s="15" t="s">
        <v>90</v>
      </c>
      <c r="F638" s="15" t="s">
        <v>35</v>
      </c>
      <c r="G638" s="15" t="s">
        <v>74</v>
      </c>
      <c r="H638" s="15" t="s">
        <v>4436</v>
      </c>
      <c r="I638" s="15" t="s">
        <v>4437</v>
      </c>
      <c r="J638" s="15" t="s">
        <v>4438</v>
      </c>
      <c r="K638" s="15" t="s">
        <v>1570</v>
      </c>
      <c r="L638" s="15" t="s">
        <v>1571</v>
      </c>
      <c r="M638" s="15" t="s">
        <v>2024</v>
      </c>
      <c r="N638" s="15" t="s">
        <v>2025</v>
      </c>
      <c r="O638" s="15" t="s">
        <v>82</v>
      </c>
      <c r="P638" s="15" t="s">
        <v>2521</v>
      </c>
      <c r="Q638" s="15" t="s">
        <v>2522</v>
      </c>
      <c r="R638" s="16">
        <v>44329</v>
      </c>
      <c r="S638" s="17" t="s">
        <v>70</v>
      </c>
      <c r="T638" s="20">
        <f>HYPERLINK("https://vnm.spiral.com.vn//uploaded/20210513/112a9547-d439-44e4-8ebd-766acd95cd5a.JPEG","14:46:57")</f>
      </c>
      <c r="U638" s="20">
        <f>HYPERLINK("https://vnm.spiral.com.vn//uploaded/20210513/dabba202-a65a-4da5-9480-a6a342bdd416.JPEG","16:05:27")</f>
      </c>
      <c r="V638" s="18">
        <v>0.05451388888888889</v>
      </c>
      <c r="W638" s="15" t="s">
        <v>4439</v>
      </c>
      <c r="X638" s="15" t="s">
        <v>4440</v>
      </c>
      <c r="Y638" s="15" t="s">
        <v>35</v>
      </c>
      <c r="Z638" s="19">
        <v>0</v>
      </c>
      <c r="AA638" s="15">
        <v>0</v>
      </c>
      <c r="AB638" s="15" t="s">
        <v>35</v>
      </c>
    </row>
    <row r="639">
      <c r="A639" s="15">
        <v>635</v>
      </c>
      <c r="B639" s="15" t="s">
        <v>87</v>
      </c>
      <c r="C639" s="15" t="s">
        <v>88</v>
      </c>
      <c r="D639" s="15" t="s">
        <v>148</v>
      </c>
      <c r="E639" s="15" t="s">
        <v>90</v>
      </c>
      <c r="F639" s="15" t="s">
        <v>35</v>
      </c>
      <c r="G639" s="15" t="s">
        <v>74</v>
      </c>
      <c r="H639" s="15" t="s">
        <v>1962</v>
      </c>
      <c r="I639" s="15" t="s">
        <v>1963</v>
      </c>
      <c r="J639" s="15" t="s">
        <v>1964</v>
      </c>
      <c r="K639" s="15" t="s">
        <v>1204</v>
      </c>
      <c r="L639" s="15" t="s">
        <v>1205</v>
      </c>
      <c r="M639" s="15" t="s">
        <v>1965</v>
      </c>
      <c r="N639" s="15" t="s">
        <v>1966</v>
      </c>
      <c r="O639" s="15" t="s">
        <v>156</v>
      </c>
      <c r="P639" s="15" t="s">
        <v>4441</v>
      </c>
      <c r="Q639" s="15" t="s">
        <v>4442</v>
      </c>
      <c r="R639" s="16">
        <v>44329</v>
      </c>
      <c r="S639" s="17" t="s">
        <v>159</v>
      </c>
      <c r="T639" s="20">
        <f>HYPERLINK("https://vnm.spiral.com.vn//uploaded/20210513/79C9A04D-31E6-4256-AE23-26D023BC50D9.jpg","05:08:18")</f>
      </c>
      <c r="U639" s="20">
        <f>HYPERLINK("https://vnm.spiral.com.vn//uploaded/20210513/32622FAE-3EC0-4C1C-B0A7-FF68A0670E81.jpg","16:05:26")</f>
      </c>
      <c r="V639" s="18">
        <v>0.4563425925925926</v>
      </c>
      <c r="W639" s="15" t="s">
        <v>4443</v>
      </c>
      <c r="X639" s="15" t="s">
        <v>4444</v>
      </c>
      <c r="Y639" s="15" t="s">
        <v>35</v>
      </c>
      <c r="Z639" s="19">
        <v>0</v>
      </c>
      <c r="AA639" s="15">
        <v>0</v>
      </c>
      <c r="AB639" s="15" t="s">
        <v>35</v>
      </c>
    </row>
    <row r="640">
      <c r="A640" s="15">
        <v>636</v>
      </c>
      <c r="B640" s="15" t="s">
        <v>61</v>
      </c>
      <c r="C640" s="15" t="s">
        <v>1106</v>
      </c>
      <c r="D640" s="15" t="s">
        <v>89</v>
      </c>
      <c r="E640" s="15" t="s">
        <v>90</v>
      </c>
      <c r="F640" s="15" t="s">
        <v>35</v>
      </c>
      <c r="G640" s="15" t="s">
        <v>74</v>
      </c>
      <c r="H640" s="15" t="s">
        <v>4445</v>
      </c>
      <c r="I640" s="15" t="s">
        <v>4446</v>
      </c>
      <c r="J640" s="15" t="s">
        <v>4447</v>
      </c>
      <c r="K640" s="15" t="s">
        <v>154</v>
      </c>
      <c r="L640" s="15" t="s">
        <v>155</v>
      </c>
      <c r="M640" s="15" t="s">
        <v>2458</v>
      </c>
      <c r="N640" s="15" t="s">
        <v>2459</v>
      </c>
      <c r="O640" s="15" t="s">
        <v>156</v>
      </c>
      <c r="P640" s="15" t="s">
        <v>4448</v>
      </c>
      <c r="Q640" s="15" t="s">
        <v>4449</v>
      </c>
      <c r="R640" s="16">
        <v>44329</v>
      </c>
      <c r="S640" s="17" t="s">
        <v>159</v>
      </c>
      <c r="T640" s="20">
        <f>HYPERLINK("https://vnm.spiral.com.vn//uploaded/20210513/0300241c-2e36-4b9d-87cf-10b2f23d966e.JPEG","06:30:16")</f>
      </c>
      <c r="U640" s="20">
        <f>HYPERLINK("https://vnm.spiral.com.vn//uploaded/20210513/80feb5db-1e35-4f6e-844f-5d99cd29c530.JPEG","16:05:21")</f>
      </c>
      <c r="V640" s="18">
        <v>0.39936342592592594</v>
      </c>
      <c r="W640" s="15" t="s">
        <v>4450</v>
      </c>
      <c r="X640" s="15" t="s">
        <v>4451</v>
      </c>
      <c r="Y640" s="15" t="s">
        <v>35</v>
      </c>
      <c r="Z640" s="19">
        <v>0</v>
      </c>
      <c r="AA640" s="15">
        <v>0</v>
      </c>
      <c r="AB640" s="15" t="s">
        <v>35</v>
      </c>
    </row>
    <row r="641">
      <c r="A641" s="15">
        <v>637</v>
      </c>
      <c r="B641" s="15" t="s">
        <v>49</v>
      </c>
      <c r="C641" s="15" t="s">
        <v>1389</v>
      </c>
      <c r="D641" s="15" t="s">
        <v>35</v>
      </c>
      <c r="E641" s="15" t="s">
        <v>35</v>
      </c>
      <c r="F641" s="15" t="s">
        <v>4452</v>
      </c>
      <c r="G641" s="15" t="s">
        <v>36</v>
      </c>
      <c r="H641" s="15" t="s">
        <v>4453</v>
      </c>
      <c r="I641" s="15" t="s">
        <v>4454</v>
      </c>
      <c r="J641" s="15" t="s">
        <v>4455</v>
      </c>
      <c r="K641" s="15" t="s">
        <v>40</v>
      </c>
      <c r="L641" s="15" t="s">
        <v>41</v>
      </c>
      <c r="M641" s="15" t="s">
        <v>55</v>
      </c>
      <c r="N641" s="15" t="s">
        <v>56</v>
      </c>
      <c r="O641" s="15" t="s">
        <v>44</v>
      </c>
      <c r="P641" s="15" t="s">
        <v>4456</v>
      </c>
      <c r="Q641" s="15" t="s">
        <v>4457</v>
      </c>
      <c r="R641" s="16">
        <v>44329</v>
      </c>
      <c r="S641" s="17" t="s">
        <v>2925</v>
      </c>
      <c r="T641" s="20">
        <f>HYPERLINK("https://vnm.spiral.com.vn//uploaded/20210513/AF2C81B9-DC9D-42A0-8965-02E50773CA3C.jpg","16:05:19")</f>
      </c>
      <c r="U641" s="18"/>
      <c r="V641" s="18" t="s">
        <v>35</v>
      </c>
      <c r="W641" s="15" t="s">
        <v>4458</v>
      </c>
      <c r="X641" s="15" t="s">
        <v>35</v>
      </c>
      <c r="Y641" s="15" t="s">
        <v>35</v>
      </c>
      <c r="Z641" s="19">
        <v>0</v>
      </c>
      <c r="AA641" s="15">
        <v>0</v>
      </c>
      <c r="AB641" s="15" t="s">
        <v>35</v>
      </c>
    </row>
    <row r="642">
      <c r="A642" s="15">
        <v>638</v>
      </c>
      <c r="B642" s="15" t="s">
        <v>87</v>
      </c>
      <c r="C642" s="15" t="s">
        <v>88</v>
      </c>
      <c r="D642" s="15" t="s">
        <v>35</v>
      </c>
      <c r="E642" s="15" t="s">
        <v>35</v>
      </c>
      <c r="F642" s="15" t="s">
        <v>2667</v>
      </c>
      <c r="G642" s="15" t="s">
        <v>36</v>
      </c>
      <c r="H642" s="15" t="s">
        <v>4459</v>
      </c>
      <c r="I642" s="15" t="s">
        <v>4460</v>
      </c>
      <c r="J642" s="15" t="s">
        <v>4461</v>
      </c>
      <c r="K642" s="15" t="s">
        <v>40</v>
      </c>
      <c r="L642" s="15" t="s">
        <v>41</v>
      </c>
      <c r="M642" s="15" t="s">
        <v>1195</v>
      </c>
      <c r="N642" s="15" t="s">
        <v>1196</v>
      </c>
      <c r="O642" s="15" t="s">
        <v>44</v>
      </c>
      <c r="P642" s="15" t="s">
        <v>4462</v>
      </c>
      <c r="Q642" s="15" t="s">
        <v>4463</v>
      </c>
      <c r="R642" s="16">
        <v>44329</v>
      </c>
      <c r="S642" s="17" t="s">
        <v>475</v>
      </c>
      <c r="T642" s="20">
        <f>HYPERLINK("https://vnm.spiral.com.vn//uploaded/20210513/63e3ac8b-cb4a-4396-a9a5-aa0da570345e.JPEG","08:04:58")</f>
      </c>
      <c r="U642" s="20">
        <f>HYPERLINK("https://vnm.spiral.com.vn//uploaded/20210513/7c1d98ec-e43e-4bd3-baae-eb1e0102bb41.JPEG","16:05:14")</f>
      </c>
      <c r="V642" s="18">
        <v>0.3335185185185185</v>
      </c>
      <c r="W642" s="15" t="s">
        <v>4464</v>
      </c>
      <c r="X642" s="15" t="s">
        <v>4465</v>
      </c>
      <c r="Y642" s="15" t="s">
        <v>35</v>
      </c>
      <c r="Z642" s="19">
        <v>0</v>
      </c>
      <c r="AA642" s="15">
        <v>0</v>
      </c>
      <c r="AB642" s="15" t="s">
        <v>35</v>
      </c>
    </row>
    <row r="643">
      <c r="A643" s="15">
        <v>639</v>
      </c>
      <c r="B643" s="15" t="s">
        <v>33</v>
      </c>
      <c r="C643" s="15" t="s">
        <v>951</v>
      </c>
      <c r="D643" s="15" t="s">
        <v>357</v>
      </c>
      <c r="E643" s="15" t="s">
        <v>35</v>
      </c>
      <c r="F643" s="15" t="s">
        <v>35</v>
      </c>
      <c r="G643" s="15" t="s">
        <v>74</v>
      </c>
      <c r="H643" s="15" t="s">
        <v>4466</v>
      </c>
      <c r="I643" s="15" t="s">
        <v>4467</v>
      </c>
      <c r="J643" s="15" t="s">
        <v>4468</v>
      </c>
      <c r="K643" s="15" t="s">
        <v>540</v>
      </c>
      <c r="L643" s="15" t="s">
        <v>541</v>
      </c>
      <c r="M643" s="15" t="s">
        <v>78</v>
      </c>
      <c r="N643" s="15" t="s">
        <v>79</v>
      </c>
      <c r="O643" s="15" t="s">
        <v>98</v>
      </c>
      <c r="P643" s="15" t="s">
        <v>80</v>
      </c>
      <c r="Q643" s="15" t="s">
        <v>81</v>
      </c>
      <c r="R643" s="16">
        <v>44329</v>
      </c>
      <c r="S643" s="17" t="s">
        <v>35</v>
      </c>
      <c r="T643" s="20">
        <f>HYPERLINK("https://vnm.spiral.com.vn//uploaded/20210513/E90FCF6B-508E-4965-91C6-F422C8469B90.jpg","09:08:14")</f>
      </c>
      <c r="U643" s="20">
        <f>HYPERLINK("https://vnm.spiral.com.vn//uploaded/20210513/2167D126-688D-4C53-AE21-A92BB5617232.jpg","16:05:14")</f>
      </c>
      <c r="V643" s="18">
        <v>0.28958333333333336</v>
      </c>
      <c r="W643" s="15" t="s">
        <v>4469</v>
      </c>
      <c r="X643" s="15" t="s">
        <v>4470</v>
      </c>
      <c r="Y643" s="15" t="s">
        <v>35</v>
      </c>
      <c r="Z643" s="19">
        <v>0</v>
      </c>
      <c r="AA643" s="15">
        <v>0</v>
      </c>
      <c r="AB643" s="15" t="s">
        <v>35</v>
      </c>
    </row>
    <row r="644">
      <c r="A644" s="15">
        <v>640</v>
      </c>
      <c r="B644" s="15" t="s">
        <v>49</v>
      </c>
      <c r="C644" s="15" t="s">
        <v>50</v>
      </c>
      <c r="D644" s="15" t="s">
        <v>35</v>
      </c>
      <c r="E644" s="15" t="s">
        <v>35</v>
      </c>
      <c r="F644" s="15" t="s">
        <v>51</v>
      </c>
      <c r="G644" s="15" t="s">
        <v>36</v>
      </c>
      <c r="H644" s="15" t="s">
        <v>4471</v>
      </c>
      <c r="I644" s="15" t="s">
        <v>4472</v>
      </c>
      <c r="J644" s="15" t="s">
        <v>4473</v>
      </c>
      <c r="K644" s="15" t="s">
        <v>40</v>
      </c>
      <c r="L644" s="15" t="s">
        <v>41</v>
      </c>
      <c r="M644" s="15" t="s">
        <v>55</v>
      </c>
      <c r="N644" s="15" t="s">
        <v>56</v>
      </c>
      <c r="O644" s="15" t="s">
        <v>44</v>
      </c>
      <c r="P644" s="15" t="s">
        <v>4474</v>
      </c>
      <c r="Q644" s="15" t="s">
        <v>4475</v>
      </c>
      <c r="R644" s="16">
        <v>44329</v>
      </c>
      <c r="S644" s="17" t="s">
        <v>4476</v>
      </c>
      <c r="T644" s="20">
        <f>HYPERLINK("https://vnm.spiral.com.vn//uploaded/20210513/4b7526f3-fcbb-4c31-b661-12ddf6e1720f.JPEG","16:05:08")</f>
      </c>
      <c r="U644" s="18"/>
      <c r="V644" s="18" t="s">
        <v>35</v>
      </c>
      <c r="W644" s="15" t="s">
        <v>4477</v>
      </c>
      <c r="X644" s="15" t="s">
        <v>35</v>
      </c>
      <c r="Y644" s="15" t="s">
        <v>35</v>
      </c>
      <c r="Z644" s="19">
        <v>0</v>
      </c>
      <c r="AA644" s="15">
        <v>0</v>
      </c>
      <c r="AB644" s="15" t="s">
        <v>35</v>
      </c>
    </row>
    <row r="645">
      <c r="A645" s="15">
        <v>641</v>
      </c>
      <c r="B645" s="15" t="s">
        <v>343</v>
      </c>
      <c r="C645" s="15" t="s">
        <v>2135</v>
      </c>
      <c r="D645" s="15" t="s">
        <v>148</v>
      </c>
      <c r="E645" s="15" t="s">
        <v>90</v>
      </c>
      <c r="F645" s="15" t="s">
        <v>35</v>
      </c>
      <c r="G645" s="15" t="s">
        <v>74</v>
      </c>
      <c r="H645" s="15" t="s">
        <v>4478</v>
      </c>
      <c r="I645" s="15" t="s">
        <v>4479</v>
      </c>
      <c r="J645" s="15" t="s">
        <v>4480</v>
      </c>
      <c r="K645" s="15" t="s">
        <v>1168</v>
      </c>
      <c r="L645" s="15" t="s">
        <v>1169</v>
      </c>
      <c r="M645" s="15" t="s">
        <v>1170</v>
      </c>
      <c r="N645" s="15" t="s">
        <v>1171</v>
      </c>
      <c r="O645" s="15" t="s">
        <v>156</v>
      </c>
      <c r="P645" s="15" t="s">
        <v>4481</v>
      </c>
      <c r="Q645" s="15" t="s">
        <v>4482</v>
      </c>
      <c r="R645" s="16">
        <v>44329</v>
      </c>
      <c r="S645" s="17" t="s">
        <v>159</v>
      </c>
      <c r="T645" s="20">
        <f>HYPERLINK("https://vnm.spiral.com.vn//uploaded/20210513/9384AF6A-077C-495D-8206-638BE874FCF5.jpg","06:58:24")</f>
      </c>
      <c r="U645" s="20">
        <f>HYPERLINK("https://vnm.spiral.com.vn//uploaded/20210513/3A02B151-E293-42D9-A3AF-8C70A6F6ADFA.jpg","16:05:05")</f>
      </c>
      <c r="V645" s="18">
        <v>0.3796412037037037</v>
      </c>
      <c r="W645" s="15" t="s">
        <v>4483</v>
      </c>
      <c r="X645" s="15" t="s">
        <v>4484</v>
      </c>
      <c r="Y645" s="15" t="s">
        <v>35</v>
      </c>
      <c r="Z645" s="19">
        <v>0</v>
      </c>
      <c r="AA645" s="15">
        <v>0</v>
      </c>
      <c r="AB645" s="15" t="s">
        <v>35</v>
      </c>
    </row>
    <row r="646">
      <c r="A646" s="15">
        <v>642</v>
      </c>
      <c r="B646" s="15" t="s">
        <v>87</v>
      </c>
      <c r="C646" s="15" t="s">
        <v>88</v>
      </c>
      <c r="D646" s="15" t="s">
        <v>35</v>
      </c>
      <c r="E646" s="15" t="s">
        <v>35</v>
      </c>
      <c r="F646" s="15" t="s">
        <v>1091</v>
      </c>
      <c r="G646" s="15" t="s">
        <v>36</v>
      </c>
      <c r="H646" s="15" t="s">
        <v>4485</v>
      </c>
      <c r="I646" s="15" t="s">
        <v>4486</v>
      </c>
      <c r="J646" s="15" t="s">
        <v>4487</v>
      </c>
      <c r="K646" s="15" t="s">
        <v>40</v>
      </c>
      <c r="L646" s="15" t="s">
        <v>41</v>
      </c>
      <c r="M646" s="15" t="s">
        <v>810</v>
      </c>
      <c r="N646" s="15" t="s">
        <v>811</v>
      </c>
      <c r="O646" s="15" t="s">
        <v>44</v>
      </c>
      <c r="P646" s="15" t="s">
        <v>4488</v>
      </c>
      <c r="Q646" s="15" t="s">
        <v>4489</v>
      </c>
      <c r="R646" s="16">
        <v>44329</v>
      </c>
      <c r="S646" s="17" t="s">
        <v>2925</v>
      </c>
      <c r="T646" s="20">
        <f>HYPERLINK("https://vnm.spiral.com.vn//uploaded/20210513/59E628A6-0180-43B4-A344-2B0DB912C38F.jpg","16:05:04")</f>
      </c>
      <c r="U646" s="18"/>
      <c r="V646" s="18" t="s">
        <v>35</v>
      </c>
      <c r="W646" s="15" t="s">
        <v>4490</v>
      </c>
      <c r="X646" s="15" t="s">
        <v>35</v>
      </c>
      <c r="Y646" s="15" t="s">
        <v>35</v>
      </c>
      <c r="Z646" s="19">
        <v>0</v>
      </c>
      <c r="AA646" s="15">
        <v>0</v>
      </c>
      <c r="AB646" s="15" t="s">
        <v>35</v>
      </c>
    </row>
    <row r="647">
      <c r="A647" s="15">
        <v>643</v>
      </c>
      <c r="B647" s="15" t="s">
        <v>87</v>
      </c>
      <c r="C647" s="15" t="s">
        <v>88</v>
      </c>
      <c r="D647" s="15" t="s">
        <v>357</v>
      </c>
      <c r="E647" s="15" t="s">
        <v>90</v>
      </c>
      <c r="F647" s="15" t="s">
        <v>35</v>
      </c>
      <c r="G647" s="15" t="s">
        <v>74</v>
      </c>
      <c r="H647" s="15" t="s">
        <v>4491</v>
      </c>
      <c r="I647" s="15" t="s">
        <v>4492</v>
      </c>
      <c r="J647" s="15" t="s">
        <v>4493</v>
      </c>
      <c r="K647" s="15" t="s">
        <v>1570</v>
      </c>
      <c r="L647" s="15" t="s">
        <v>1571</v>
      </c>
      <c r="M647" s="15" t="s">
        <v>1572</v>
      </c>
      <c r="N647" s="15" t="s">
        <v>1573</v>
      </c>
      <c r="O647" s="15" t="s">
        <v>82</v>
      </c>
      <c r="P647" s="15" t="s">
        <v>1579</v>
      </c>
      <c r="Q647" s="15" t="s">
        <v>1580</v>
      </c>
      <c r="R647" s="16">
        <v>44329</v>
      </c>
      <c r="S647" s="17" t="s">
        <v>70</v>
      </c>
      <c r="T647" s="20">
        <f>HYPERLINK("https://vnm.spiral.com.vn//uploaded/20210513/1624B433-F5E2-43E0-BC3F-B7E65EDBB351.jpg","14:54:01")</f>
      </c>
      <c r="U647" s="20">
        <f>HYPERLINK("https://vnm.spiral.com.vn//uploaded/20210513/6DAF6C12-313C-4FCB-93B8-8DB7B62E253B.jpg","16:05:01")</f>
      </c>
      <c r="V647" s="18">
        <v>0.049305555555555554</v>
      </c>
      <c r="W647" s="15" t="s">
        <v>4494</v>
      </c>
      <c r="X647" s="15" t="s">
        <v>4495</v>
      </c>
      <c r="Y647" s="15" t="s">
        <v>35</v>
      </c>
      <c r="Z647" s="19">
        <v>0</v>
      </c>
      <c r="AA647" s="15">
        <v>0</v>
      </c>
      <c r="AB647" s="15" t="s">
        <v>35</v>
      </c>
    </row>
    <row r="648">
      <c r="A648" s="15">
        <v>644</v>
      </c>
      <c r="B648" s="15" t="s">
        <v>343</v>
      </c>
      <c r="C648" s="15" t="s">
        <v>344</v>
      </c>
      <c r="D648" s="15" t="s">
        <v>379</v>
      </c>
      <c r="E648" s="15" t="s">
        <v>35</v>
      </c>
      <c r="F648" s="15" t="s">
        <v>35</v>
      </c>
      <c r="G648" s="15" t="s">
        <v>35</v>
      </c>
      <c r="H648" s="15" t="s">
        <v>4496</v>
      </c>
      <c r="I648" s="15" t="s">
        <v>4497</v>
      </c>
      <c r="J648" s="15" t="s">
        <v>4498</v>
      </c>
      <c r="K648" s="15" t="s">
        <v>349</v>
      </c>
      <c r="L648" s="15" t="s">
        <v>350</v>
      </c>
      <c r="M648" s="15" t="s">
        <v>1524</v>
      </c>
      <c r="N648" s="15" t="s">
        <v>429</v>
      </c>
      <c r="O648" s="15" t="s">
        <v>156</v>
      </c>
      <c r="P648" s="15" t="s">
        <v>4499</v>
      </c>
      <c r="Q648" s="15" t="s">
        <v>4500</v>
      </c>
      <c r="R648" s="16">
        <v>44329</v>
      </c>
      <c r="S648" s="17" t="s">
        <v>475</v>
      </c>
      <c r="T648" s="20">
        <f>HYPERLINK("https://vnm.spiral.com.vn//uploaded/20210513/dbe05181-154f-426d-be3e-ed175a97e4d4.JPEG","07:52:06")</f>
      </c>
      <c r="U648" s="20">
        <f>HYPERLINK("https://vnm.spiral.com.vn//uploaded/20210513/e65c0c02-a39f-46c1-874a-20a4277ee976.JPEG","16:04:52")</f>
      </c>
      <c r="V648" s="18">
        <v>0.34219907407407407</v>
      </c>
      <c r="W648" s="15" t="s">
        <v>4501</v>
      </c>
      <c r="X648" s="15" t="s">
        <v>4502</v>
      </c>
      <c r="Y648" s="15" t="s">
        <v>35</v>
      </c>
      <c r="Z648" s="19">
        <v>0</v>
      </c>
      <c r="AA648" s="15">
        <v>0</v>
      </c>
      <c r="AB648" s="15" t="s">
        <v>35</v>
      </c>
    </row>
    <row r="649">
      <c r="A649" s="15">
        <v>645</v>
      </c>
      <c r="B649" s="15" t="s">
        <v>61</v>
      </c>
      <c r="C649" s="15" t="s">
        <v>712</v>
      </c>
      <c r="D649" s="15" t="s">
        <v>35</v>
      </c>
      <c r="E649" s="15" t="s">
        <v>35</v>
      </c>
      <c r="F649" s="15" t="s">
        <v>35</v>
      </c>
      <c r="G649" s="15" t="s">
        <v>36</v>
      </c>
      <c r="H649" s="15" t="s">
        <v>4503</v>
      </c>
      <c r="I649" s="15" t="s">
        <v>4504</v>
      </c>
      <c r="J649" s="15" t="s">
        <v>4505</v>
      </c>
      <c r="K649" s="15" t="s">
        <v>40</v>
      </c>
      <c r="L649" s="15" t="s">
        <v>41</v>
      </c>
      <c r="M649" s="15" t="s">
        <v>205</v>
      </c>
      <c r="N649" s="15" t="s">
        <v>206</v>
      </c>
      <c r="O649" s="15" t="s">
        <v>44</v>
      </c>
      <c r="P649" s="15" t="s">
        <v>4506</v>
      </c>
      <c r="Q649" s="15" t="s">
        <v>4507</v>
      </c>
      <c r="R649" s="16">
        <v>44329</v>
      </c>
      <c r="S649" s="17" t="s">
        <v>70</v>
      </c>
      <c r="T649" s="20">
        <f>HYPERLINK("https://vnm.spiral.com.vn//uploaded/20210513/5BA4B602-121B-4BE9-8F5E-7ED2FAE064EC.jpg","07:13:24")</f>
      </c>
      <c r="U649" s="20">
        <f>HYPERLINK("https://vnm.spiral.com.vn//uploaded/20210513/F63E4117-FDD4-42CF-9A6B-06CCD7873949.jpg","16:04:36")</f>
      </c>
      <c r="V649" s="18">
        <v>0.3688888888888889</v>
      </c>
      <c r="W649" s="15" t="s">
        <v>4508</v>
      </c>
      <c r="X649" s="15" t="s">
        <v>4509</v>
      </c>
      <c r="Y649" s="15" t="s">
        <v>35</v>
      </c>
      <c r="Z649" s="19">
        <v>0</v>
      </c>
      <c r="AA649" s="15">
        <v>0</v>
      </c>
      <c r="AB649" s="15" t="s">
        <v>35</v>
      </c>
    </row>
    <row r="650">
      <c r="A650" s="15">
        <v>646</v>
      </c>
      <c r="B650" s="15" t="s">
        <v>33</v>
      </c>
      <c r="C650" s="15" t="s">
        <v>492</v>
      </c>
      <c r="D650" s="15" t="s">
        <v>357</v>
      </c>
      <c r="E650" s="15" t="s">
        <v>35</v>
      </c>
      <c r="F650" s="15" t="s">
        <v>35</v>
      </c>
      <c r="G650" s="15" t="s">
        <v>74</v>
      </c>
      <c r="H650" s="15" t="s">
        <v>4510</v>
      </c>
      <c r="I650" s="15" t="s">
        <v>4511</v>
      </c>
      <c r="J650" s="15" t="s">
        <v>4512</v>
      </c>
      <c r="K650" s="15" t="s">
        <v>540</v>
      </c>
      <c r="L650" s="15" t="s">
        <v>541</v>
      </c>
      <c r="M650" s="15" t="s">
        <v>78</v>
      </c>
      <c r="N650" s="15" t="s">
        <v>79</v>
      </c>
      <c r="O650" s="15" t="s">
        <v>156</v>
      </c>
      <c r="P650" s="15" t="s">
        <v>4513</v>
      </c>
      <c r="Q650" s="15" t="s">
        <v>4514</v>
      </c>
      <c r="R650" s="16">
        <v>44329</v>
      </c>
      <c r="S650" s="17" t="s">
        <v>273</v>
      </c>
      <c r="T650" s="20">
        <f>HYPERLINK("https://vnm.spiral.com.vn//uploaded/20210513/A2C14429-D3BD-4562-89B7-73643FE17DF5.jpg","07:04:43")</f>
      </c>
      <c r="U650" s="20">
        <f>HYPERLINK("https://vnm.spiral.com.vn//uploaded/20210513/11C755A0-6B92-4F95-9ED9-3B03CF74124F.jpg","16:04:33")</f>
      </c>
      <c r="V650" s="18">
        <v>0.3748842592592593</v>
      </c>
      <c r="W650" s="15" t="s">
        <v>4515</v>
      </c>
      <c r="X650" s="15" t="s">
        <v>4516</v>
      </c>
      <c r="Y650" s="15" t="s">
        <v>35</v>
      </c>
      <c r="Z650" s="19">
        <v>0</v>
      </c>
      <c r="AA650" s="15">
        <v>0</v>
      </c>
      <c r="AB650" s="15" t="s">
        <v>35</v>
      </c>
    </row>
    <row r="651">
      <c r="A651" s="15">
        <v>647</v>
      </c>
      <c r="B651" s="15" t="s">
        <v>61</v>
      </c>
      <c r="C651" s="15" t="s">
        <v>1106</v>
      </c>
      <c r="D651" s="15" t="s">
        <v>35</v>
      </c>
      <c r="E651" s="15" t="s">
        <v>35</v>
      </c>
      <c r="F651" s="15" t="s">
        <v>35</v>
      </c>
      <c r="G651" s="15" t="s">
        <v>36</v>
      </c>
      <c r="H651" s="15" t="s">
        <v>4517</v>
      </c>
      <c r="I651" s="15" t="s">
        <v>4518</v>
      </c>
      <c r="J651" s="15" t="s">
        <v>4519</v>
      </c>
      <c r="K651" s="15" t="s">
        <v>40</v>
      </c>
      <c r="L651" s="15" t="s">
        <v>41</v>
      </c>
      <c r="M651" s="15" t="s">
        <v>66</v>
      </c>
      <c r="N651" s="15" t="s">
        <v>67</v>
      </c>
      <c r="O651" s="15" t="s">
        <v>44</v>
      </c>
      <c r="P651" s="15" t="s">
        <v>4520</v>
      </c>
      <c r="Q651" s="15" t="s">
        <v>4521</v>
      </c>
      <c r="R651" s="16">
        <v>44329</v>
      </c>
      <c r="S651" s="17" t="s">
        <v>1112</v>
      </c>
      <c r="T651" s="20">
        <f>HYPERLINK("https://vnm.spiral.com.vn//uploaded/20210513/0c351067-a9b6-4568-af6a-e33dd85741f7.JPEG","07:47:31")</f>
      </c>
      <c r="U651" s="20">
        <f>HYPERLINK("https://vnm.spiral.com.vn//uploaded/20210513/db726bd5-7121-4c34-bd93-82cbc28f592c.JPEG","16:04:32")</f>
      </c>
      <c r="V651" s="18">
        <v>0.345150462962963</v>
      </c>
      <c r="W651" s="15" t="s">
        <v>4522</v>
      </c>
      <c r="X651" s="15" t="s">
        <v>4523</v>
      </c>
      <c r="Y651" s="15" t="s">
        <v>35</v>
      </c>
      <c r="Z651" s="19">
        <v>0</v>
      </c>
      <c r="AA651" s="15">
        <v>0</v>
      </c>
      <c r="AB651" s="15" t="s">
        <v>35</v>
      </c>
    </row>
    <row r="652">
      <c r="A652" s="15">
        <v>648</v>
      </c>
      <c r="B652" s="15" t="s">
        <v>61</v>
      </c>
      <c r="C652" s="15" t="s">
        <v>228</v>
      </c>
      <c r="D652" s="15" t="s">
        <v>35</v>
      </c>
      <c r="E652" s="15" t="s">
        <v>35</v>
      </c>
      <c r="F652" s="15" t="s">
        <v>35</v>
      </c>
      <c r="G652" s="15" t="s">
        <v>36</v>
      </c>
      <c r="H652" s="15" t="s">
        <v>4524</v>
      </c>
      <c r="I652" s="15" t="s">
        <v>4525</v>
      </c>
      <c r="J652" s="15" t="s">
        <v>4526</v>
      </c>
      <c r="K652" s="15" t="s">
        <v>40</v>
      </c>
      <c r="L652" s="15" t="s">
        <v>41</v>
      </c>
      <c r="M652" s="15" t="s">
        <v>205</v>
      </c>
      <c r="N652" s="15" t="s">
        <v>206</v>
      </c>
      <c r="O652" s="15" t="s">
        <v>44</v>
      </c>
      <c r="P652" s="15" t="s">
        <v>4527</v>
      </c>
      <c r="Q652" s="15" t="s">
        <v>4528</v>
      </c>
      <c r="R652" s="16">
        <v>44329</v>
      </c>
      <c r="S652" s="17" t="s">
        <v>273</v>
      </c>
      <c r="T652" s="20">
        <f>HYPERLINK("https://vnm.spiral.com.vn//uploaded/20210513/cedda67f-4e2f-4951-b8e5-e0f73526d32b.JPEG","07:06:51")</f>
      </c>
      <c r="U652" s="20">
        <f>HYPERLINK("https://vnm.spiral.com.vn//uploaded/20210513/9ce2d3a4-eb8e-4ab8-85d2-7415c4cedd42.JPEG","16:04:27")</f>
      </c>
      <c r="V652" s="18">
        <v>0.37333333333333335</v>
      </c>
      <c r="W652" s="15" t="s">
        <v>4529</v>
      </c>
      <c r="X652" s="15" t="s">
        <v>4530</v>
      </c>
      <c r="Y652" s="15" t="s">
        <v>35</v>
      </c>
      <c r="Z652" s="19">
        <v>0</v>
      </c>
      <c r="AA652" s="15">
        <v>0</v>
      </c>
      <c r="AB652" s="15" t="s">
        <v>35</v>
      </c>
    </row>
    <row r="653">
      <c r="A653" s="15">
        <v>649</v>
      </c>
      <c r="B653" s="15" t="s">
        <v>87</v>
      </c>
      <c r="C653" s="15" t="s">
        <v>88</v>
      </c>
      <c r="D653" s="15" t="s">
        <v>135</v>
      </c>
      <c r="E653" s="15" t="s">
        <v>116</v>
      </c>
      <c r="F653" s="15" t="s">
        <v>35</v>
      </c>
      <c r="G653" s="15" t="s">
        <v>74</v>
      </c>
      <c r="H653" s="15" t="s">
        <v>4531</v>
      </c>
      <c r="I653" s="15" t="s">
        <v>4532</v>
      </c>
      <c r="J653" s="15" t="s">
        <v>4533</v>
      </c>
      <c r="K653" s="15" t="s">
        <v>139</v>
      </c>
      <c r="L653" s="15" t="s">
        <v>140</v>
      </c>
      <c r="M653" s="15" t="s">
        <v>530</v>
      </c>
      <c r="N653" s="15" t="s">
        <v>531</v>
      </c>
      <c r="O653" s="15" t="s">
        <v>82</v>
      </c>
      <c r="P653" s="15" t="s">
        <v>2017</v>
      </c>
      <c r="Q653" s="15" t="s">
        <v>2018</v>
      </c>
      <c r="R653" s="16">
        <v>44329</v>
      </c>
      <c r="S653" s="17" t="s">
        <v>70</v>
      </c>
      <c r="T653" s="20">
        <f>HYPERLINK("https://vnm.spiral.com.vn//uploaded/20210513/3D308B88-B4E1-43FE-B54A-231DF98BE6DF.jpg","15:18:53")</f>
      </c>
      <c r="U653" s="20">
        <f>HYPERLINK("https://vnm.spiral.com.vn//uploaded/20210513/2925EEDB-2B18-4B2C-BFEC-22CE58F21B32.jpg","16:04:25")</f>
      </c>
      <c r="V653" s="18">
        <v>0.03162037037037037</v>
      </c>
      <c r="W653" s="15" t="s">
        <v>4534</v>
      </c>
      <c r="X653" s="15" t="s">
        <v>4535</v>
      </c>
      <c r="Y653" s="15" t="s">
        <v>35</v>
      </c>
      <c r="Z653" s="19">
        <v>0</v>
      </c>
      <c r="AA653" s="15">
        <v>0</v>
      </c>
      <c r="AB653" s="15" t="s">
        <v>35</v>
      </c>
    </row>
    <row r="654">
      <c r="A654" s="15">
        <v>650</v>
      </c>
      <c r="B654" s="15" t="s">
        <v>49</v>
      </c>
      <c r="C654" s="15" t="s">
        <v>756</v>
      </c>
      <c r="D654" s="15" t="s">
        <v>35</v>
      </c>
      <c r="E654" s="15" t="s">
        <v>35</v>
      </c>
      <c r="F654" s="15" t="s">
        <v>4536</v>
      </c>
      <c r="G654" s="15" t="s">
        <v>36</v>
      </c>
      <c r="H654" s="15" t="s">
        <v>4537</v>
      </c>
      <c r="I654" s="15" t="s">
        <v>4538</v>
      </c>
      <c r="J654" s="15" t="s">
        <v>4539</v>
      </c>
      <c r="K654" s="15" t="s">
        <v>40</v>
      </c>
      <c r="L654" s="15" t="s">
        <v>41</v>
      </c>
      <c r="M654" s="15" t="s">
        <v>55</v>
      </c>
      <c r="N654" s="15" t="s">
        <v>56</v>
      </c>
      <c r="O654" s="15" t="s">
        <v>44</v>
      </c>
      <c r="P654" s="15" t="s">
        <v>4540</v>
      </c>
      <c r="Q654" s="15" t="s">
        <v>4541</v>
      </c>
      <c r="R654" s="16">
        <v>44329</v>
      </c>
      <c r="S654" s="17" t="s">
        <v>2925</v>
      </c>
      <c r="T654" s="20">
        <f>HYPERLINK("https://vnm.spiral.com.vn//uploaded/20210513/c24994d6-d865-474a-86ef-53021b0ca415.JPEG","16:04:24")</f>
      </c>
      <c r="U654" s="18"/>
      <c r="V654" s="18" t="s">
        <v>35</v>
      </c>
      <c r="W654" s="15" t="s">
        <v>4542</v>
      </c>
      <c r="X654" s="15" t="s">
        <v>35</v>
      </c>
      <c r="Y654" s="15" t="s">
        <v>35</v>
      </c>
      <c r="Z654" s="19">
        <v>0</v>
      </c>
      <c r="AA654" s="15">
        <v>0</v>
      </c>
      <c r="AB654" s="15" t="s">
        <v>35</v>
      </c>
    </row>
    <row r="655">
      <c r="A655" s="15">
        <v>651</v>
      </c>
      <c r="B655" s="15" t="s">
        <v>61</v>
      </c>
      <c r="C655" s="15" t="s">
        <v>1730</v>
      </c>
      <c r="D655" s="15" t="s">
        <v>35</v>
      </c>
      <c r="E655" s="15" t="s">
        <v>35</v>
      </c>
      <c r="F655" s="15" t="s">
        <v>35</v>
      </c>
      <c r="G655" s="15" t="s">
        <v>36</v>
      </c>
      <c r="H655" s="15" t="s">
        <v>4543</v>
      </c>
      <c r="I655" s="15" t="s">
        <v>3174</v>
      </c>
      <c r="J655" s="15" t="s">
        <v>4544</v>
      </c>
      <c r="K655" s="15" t="s">
        <v>40</v>
      </c>
      <c r="L655" s="15" t="s">
        <v>41</v>
      </c>
      <c r="M655" s="15" t="s">
        <v>205</v>
      </c>
      <c r="N655" s="15" t="s">
        <v>206</v>
      </c>
      <c r="O655" s="15" t="s">
        <v>44</v>
      </c>
      <c r="P655" s="15" t="s">
        <v>4545</v>
      </c>
      <c r="Q655" s="15" t="s">
        <v>4546</v>
      </c>
      <c r="R655" s="16">
        <v>44329</v>
      </c>
      <c r="S655" s="17" t="s">
        <v>273</v>
      </c>
      <c r="T655" s="20">
        <f>HYPERLINK("https://vnm.spiral.com.vn//uploaded/20210513/c21591f5-84de-4442-9d41-476e669285f7.JPEG","07:32:02")</f>
      </c>
      <c r="U655" s="20">
        <f>HYPERLINK("https://vnm.spiral.com.vn//uploaded/20210513/0ad24a57-14de-4507-a9ff-e1650f80c74f.JPEG","16:04:11")</f>
      </c>
      <c r="V655" s="18">
        <v>0.3556597222222222</v>
      </c>
      <c r="W655" s="15" t="s">
        <v>4547</v>
      </c>
      <c r="X655" s="15" t="s">
        <v>4548</v>
      </c>
      <c r="Y655" s="15" t="s">
        <v>35</v>
      </c>
      <c r="Z655" s="19">
        <v>0</v>
      </c>
      <c r="AA655" s="15">
        <v>0</v>
      </c>
      <c r="AB655" s="15" t="s">
        <v>35</v>
      </c>
    </row>
    <row r="656">
      <c r="A656" s="15">
        <v>652</v>
      </c>
      <c r="B656" s="15" t="s">
        <v>87</v>
      </c>
      <c r="C656" s="15" t="s">
        <v>88</v>
      </c>
      <c r="D656" s="15" t="s">
        <v>35</v>
      </c>
      <c r="E656" s="15" t="s">
        <v>35</v>
      </c>
      <c r="F656" s="15" t="s">
        <v>806</v>
      </c>
      <c r="G656" s="15" t="s">
        <v>36</v>
      </c>
      <c r="H656" s="15" t="s">
        <v>4549</v>
      </c>
      <c r="I656" s="15" t="s">
        <v>4550</v>
      </c>
      <c r="J656" s="15" t="s">
        <v>4551</v>
      </c>
      <c r="K656" s="15" t="s">
        <v>40</v>
      </c>
      <c r="L656" s="15" t="s">
        <v>41</v>
      </c>
      <c r="M656" s="15" t="s">
        <v>810</v>
      </c>
      <c r="N656" s="15" t="s">
        <v>811</v>
      </c>
      <c r="O656" s="15" t="s">
        <v>44</v>
      </c>
      <c r="P656" s="15" t="s">
        <v>4552</v>
      </c>
      <c r="Q656" s="15" t="s">
        <v>4553</v>
      </c>
      <c r="R656" s="16">
        <v>44329</v>
      </c>
      <c r="S656" s="17" t="s">
        <v>2925</v>
      </c>
      <c r="T656" s="20">
        <f>HYPERLINK("https://vnm.spiral.com.vn//uploaded/20210513/78a6fdc1-cecb-4229-9696-2f81ffa44878.JPEG","16:04:09")</f>
      </c>
      <c r="U656" s="18"/>
      <c r="V656" s="18" t="s">
        <v>35</v>
      </c>
      <c r="W656" s="15" t="s">
        <v>4554</v>
      </c>
      <c r="X656" s="15" t="s">
        <v>35</v>
      </c>
      <c r="Y656" s="15" t="s">
        <v>35</v>
      </c>
      <c r="Z656" s="19">
        <v>0</v>
      </c>
      <c r="AA656" s="15">
        <v>0</v>
      </c>
      <c r="AB656" s="15" t="s">
        <v>35</v>
      </c>
    </row>
    <row r="657">
      <c r="A657" s="15">
        <v>653</v>
      </c>
      <c r="B657" s="15" t="s">
        <v>343</v>
      </c>
      <c r="C657" s="15" t="s">
        <v>344</v>
      </c>
      <c r="D657" s="15" t="s">
        <v>35</v>
      </c>
      <c r="E657" s="15" t="s">
        <v>35</v>
      </c>
      <c r="F657" s="15" t="s">
        <v>35</v>
      </c>
      <c r="G657" s="15" t="s">
        <v>74</v>
      </c>
      <c r="H657" s="15" t="s">
        <v>4555</v>
      </c>
      <c r="I657" s="15" t="s">
        <v>4556</v>
      </c>
      <c r="J657" s="15" t="s">
        <v>4557</v>
      </c>
      <c r="K657" s="15" t="s">
        <v>897</v>
      </c>
      <c r="L657" s="15" t="s">
        <v>898</v>
      </c>
      <c r="M657" s="15" t="s">
        <v>4558</v>
      </c>
      <c r="N657" s="15" t="s">
        <v>4559</v>
      </c>
      <c r="O657" s="15" t="s">
        <v>156</v>
      </c>
      <c r="P657" s="15" t="s">
        <v>4560</v>
      </c>
      <c r="Q657" s="15" t="s">
        <v>4561</v>
      </c>
      <c r="R657" s="16">
        <v>44329</v>
      </c>
      <c r="S657" s="17" t="s">
        <v>159</v>
      </c>
      <c r="T657" s="20">
        <f>HYPERLINK("https://vnm.spiral.com.vn//uploaded/20210513/9F225615-3E29-4246-839C-7EA5BE071F08.jpg","07:01:43")</f>
      </c>
      <c r="U657" s="20">
        <f>HYPERLINK("https://vnm.spiral.com.vn//uploaded/20210513/8ABB81E6-4663-4C88-9B19-B58890FF8537.jpg","16:04:02")</f>
      </c>
      <c r="V657" s="18">
        <v>0.3766087962962963</v>
      </c>
      <c r="W657" s="15" t="s">
        <v>4562</v>
      </c>
      <c r="X657" s="15" t="s">
        <v>4563</v>
      </c>
      <c r="Y657" s="15" t="s">
        <v>35</v>
      </c>
      <c r="Z657" s="19">
        <v>0</v>
      </c>
      <c r="AA657" s="15">
        <v>0</v>
      </c>
      <c r="AB657" s="15" t="s">
        <v>35</v>
      </c>
    </row>
    <row r="658">
      <c r="A658" s="15">
        <v>654</v>
      </c>
      <c r="B658" s="15" t="s">
        <v>87</v>
      </c>
      <c r="C658" s="15" t="s">
        <v>88</v>
      </c>
      <c r="D658" s="15" t="s">
        <v>35</v>
      </c>
      <c r="E658" s="15" t="s">
        <v>35</v>
      </c>
      <c r="F658" s="15" t="s">
        <v>806</v>
      </c>
      <c r="G658" s="15" t="s">
        <v>36</v>
      </c>
      <c r="H658" s="15" t="s">
        <v>4564</v>
      </c>
      <c r="I658" s="15" t="s">
        <v>4565</v>
      </c>
      <c r="J658" s="15" t="s">
        <v>4566</v>
      </c>
      <c r="K658" s="15" t="s">
        <v>40</v>
      </c>
      <c r="L658" s="15" t="s">
        <v>41</v>
      </c>
      <c r="M658" s="15" t="s">
        <v>810</v>
      </c>
      <c r="N658" s="15" t="s">
        <v>811</v>
      </c>
      <c r="O658" s="15" t="s">
        <v>44</v>
      </c>
      <c r="P658" s="15" t="s">
        <v>4567</v>
      </c>
      <c r="Q658" s="15" t="s">
        <v>4568</v>
      </c>
      <c r="R658" s="16">
        <v>44329</v>
      </c>
      <c r="S658" s="17" t="s">
        <v>475</v>
      </c>
      <c r="T658" s="20">
        <f>HYPERLINK("https://vnm.spiral.com.vn//uploaded/20210513/cd116a59-5b70-4999-883f-5a81afc41fa3.JPEG","08:19:58")</f>
      </c>
      <c r="U658" s="20">
        <f>HYPERLINK("https://vnm.spiral.com.vn//uploaded/20210513/3acfa407-ec6f-49cb-98d7-56d6aae22a74.JPEG","16:03:59")</f>
      </c>
      <c r="V658" s="18">
        <v>0.3222337962962963</v>
      </c>
      <c r="W658" s="15" t="s">
        <v>4569</v>
      </c>
      <c r="X658" s="15" t="s">
        <v>4570</v>
      </c>
      <c r="Y658" s="15" t="s">
        <v>35</v>
      </c>
      <c r="Z658" s="19">
        <v>0</v>
      </c>
      <c r="AA658" s="15">
        <v>0</v>
      </c>
      <c r="AB658" s="15" t="s">
        <v>35</v>
      </c>
    </row>
    <row r="659">
      <c r="A659" s="15">
        <v>655</v>
      </c>
      <c r="B659" s="15" t="s">
        <v>103</v>
      </c>
      <c r="C659" s="15" t="s">
        <v>104</v>
      </c>
      <c r="D659" s="15" t="s">
        <v>35</v>
      </c>
      <c r="E659" s="15" t="s">
        <v>35</v>
      </c>
      <c r="F659" s="15" t="s">
        <v>35</v>
      </c>
      <c r="G659" s="15" t="s">
        <v>36</v>
      </c>
      <c r="H659" s="15" t="s">
        <v>4571</v>
      </c>
      <c r="I659" s="15" t="s">
        <v>4572</v>
      </c>
      <c r="J659" s="15" t="s">
        <v>4573</v>
      </c>
      <c r="K659" s="15" t="s">
        <v>40</v>
      </c>
      <c r="L659" s="15" t="s">
        <v>41</v>
      </c>
      <c r="M659" s="15" t="s">
        <v>108</v>
      </c>
      <c r="N659" s="15" t="s">
        <v>109</v>
      </c>
      <c r="O659" s="15" t="s">
        <v>44</v>
      </c>
      <c r="P659" s="15" t="s">
        <v>4574</v>
      </c>
      <c r="Q659" s="15" t="s">
        <v>4575</v>
      </c>
      <c r="R659" s="16">
        <v>44329</v>
      </c>
      <c r="S659" s="17" t="s">
        <v>475</v>
      </c>
      <c r="T659" s="20">
        <f>HYPERLINK("https://vnm.spiral.com.vn//uploaded/20210513/f86f12d8-597a-4d16-b39f-dd3a002013be.JPEG","08:18:21")</f>
      </c>
      <c r="U659" s="20">
        <f>HYPERLINK("https://vnm.spiral.com.vn//uploaded/20210513/a1329af5-dad7-4391-8812-cbaba665f62d.JPEG","16:03:56")</f>
      </c>
      <c r="V659" s="18">
        <v>0.32332175925925927</v>
      </c>
      <c r="W659" s="15" t="s">
        <v>4576</v>
      </c>
      <c r="X659" s="15" t="s">
        <v>4577</v>
      </c>
      <c r="Y659" s="15" t="s">
        <v>35</v>
      </c>
      <c r="Z659" s="19">
        <v>0</v>
      </c>
      <c r="AA659" s="15">
        <v>0</v>
      </c>
      <c r="AB659" s="15" t="s">
        <v>35</v>
      </c>
    </row>
    <row r="660">
      <c r="A660" s="15">
        <v>656</v>
      </c>
      <c r="B660" s="15" t="s">
        <v>87</v>
      </c>
      <c r="C660" s="15" t="s">
        <v>88</v>
      </c>
      <c r="D660" s="15" t="s">
        <v>74</v>
      </c>
      <c r="E660" s="15" t="s">
        <v>90</v>
      </c>
      <c r="F660" s="15" t="s">
        <v>35</v>
      </c>
      <c r="G660" s="15" t="s">
        <v>74</v>
      </c>
      <c r="H660" s="15" t="s">
        <v>4578</v>
      </c>
      <c r="I660" s="15" t="s">
        <v>4579</v>
      </c>
      <c r="J660" s="15" t="s">
        <v>4580</v>
      </c>
      <c r="K660" s="15" t="s">
        <v>190</v>
      </c>
      <c r="L660" s="15" t="s">
        <v>191</v>
      </c>
      <c r="M660" s="15" t="s">
        <v>1031</v>
      </c>
      <c r="N660" s="15" t="s">
        <v>1032</v>
      </c>
      <c r="O660" s="15" t="s">
        <v>82</v>
      </c>
      <c r="P660" s="15" t="s">
        <v>3909</v>
      </c>
      <c r="Q660" s="15" t="s">
        <v>3910</v>
      </c>
      <c r="R660" s="16">
        <v>44329</v>
      </c>
      <c r="S660" s="17" t="s">
        <v>70</v>
      </c>
      <c r="T660" s="20">
        <f>HYPERLINK("https://vnm.spiral.com.vn//uploaded/20210513/EE4BE217-86BC-49E6-B44B-531A7FB206B9.jpg","13:51:42")</f>
      </c>
      <c r="U660" s="20">
        <f>HYPERLINK("https://vnm.spiral.com.vn//uploaded/20210513/406FB7EE-0F3C-4A19-8D73-A59B3165FACF.jpg","16:03:52")</f>
      </c>
      <c r="V660" s="18">
        <v>0.09178240740740741</v>
      </c>
      <c r="W660" s="15" t="s">
        <v>4581</v>
      </c>
      <c r="X660" s="15" t="s">
        <v>4582</v>
      </c>
      <c r="Y660" s="15" t="s">
        <v>35</v>
      </c>
      <c r="Z660" s="19">
        <v>0</v>
      </c>
      <c r="AA660" s="15">
        <v>0</v>
      </c>
      <c r="AB660" s="15" t="s">
        <v>35</v>
      </c>
    </row>
    <row r="661">
      <c r="A661" s="15">
        <v>657</v>
      </c>
      <c r="B661" s="15" t="s">
        <v>87</v>
      </c>
      <c r="C661" s="15" t="s">
        <v>88</v>
      </c>
      <c r="D661" s="15" t="s">
        <v>35</v>
      </c>
      <c r="E661" s="15" t="s">
        <v>35</v>
      </c>
      <c r="F661" s="15" t="s">
        <v>806</v>
      </c>
      <c r="G661" s="15" t="s">
        <v>36</v>
      </c>
      <c r="H661" s="15" t="s">
        <v>4583</v>
      </c>
      <c r="I661" s="15" t="s">
        <v>4584</v>
      </c>
      <c r="J661" s="15" t="s">
        <v>4585</v>
      </c>
      <c r="K661" s="15" t="s">
        <v>40</v>
      </c>
      <c r="L661" s="15" t="s">
        <v>41</v>
      </c>
      <c r="M661" s="15" t="s">
        <v>810</v>
      </c>
      <c r="N661" s="15" t="s">
        <v>811</v>
      </c>
      <c r="O661" s="15" t="s">
        <v>44</v>
      </c>
      <c r="P661" s="15" t="s">
        <v>4586</v>
      </c>
      <c r="Q661" s="15" t="s">
        <v>4587</v>
      </c>
      <c r="R661" s="16">
        <v>44329</v>
      </c>
      <c r="S661" s="17" t="s">
        <v>2925</v>
      </c>
      <c r="T661" s="20">
        <f>HYPERLINK("https://vnm.spiral.com.vn//uploaded/20210513/26777d5d-6e56-4cc8-bd93-da0d4a8f7d7f.JPEG","16:03:41")</f>
      </c>
      <c r="U661" s="18"/>
      <c r="V661" s="18" t="s">
        <v>35</v>
      </c>
      <c r="W661" s="15" t="s">
        <v>4588</v>
      </c>
      <c r="X661" s="15" t="s">
        <v>35</v>
      </c>
      <c r="Y661" s="15" t="s">
        <v>35</v>
      </c>
      <c r="Z661" s="19">
        <v>0</v>
      </c>
      <c r="AA661" s="15">
        <v>0</v>
      </c>
      <c r="AB661" s="15" t="s">
        <v>35</v>
      </c>
    </row>
    <row r="662">
      <c r="A662" s="15">
        <v>658</v>
      </c>
      <c r="B662" s="15" t="s">
        <v>87</v>
      </c>
      <c r="C662" s="15" t="s">
        <v>88</v>
      </c>
      <c r="D662" s="15" t="s">
        <v>35</v>
      </c>
      <c r="E662" s="15" t="s">
        <v>35</v>
      </c>
      <c r="F662" s="15" t="s">
        <v>2773</v>
      </c>
      <c r="G662" s="15" t="s">
        <v>36</v>
      </c>
      <c r="H662" s="15" t="s">
        <v>4589</v>
      </c>
      <c r="I662" s="15" t="s">
        <v>4590</v>
      </c>
      <c r="J662" s="15" t="s">
        <v>4591</v>
      </c>
      <c r="K662" s="15" t="s">
        <v>40</v>
      </c>
      <c r="L662" s="15" t="s">
        <v>41</v>
      </c>
      <c r="M662" s="15" t="s">
        <v>810</v>
      </c>
      <c r="N662" s="15" t="s">
        <v>811</v>
      </c>
      <c r="O662" s="15" t="s">
        <v>44</v>
      </c>
      <c r="P662" s="15" t="s">
        <v>4592</v>
      </c>
      <c r="Q662" s="15" t="s">
        <v>4593</v>
      </c>
      <c r="R662" s="16">
        <v>44329</v>
      </c>
      <c r="S662" s="17" t="s">
        <v>2925</v>
      </c>
      <c r="T662" s="20">
        <f>HYPERLINK("https://vnm.spiral.com.vn//uploaded/20210513/c766fd24-6037-44bd-91d7-a30b99263ba7.JPEG","16:03:31")</f>
      </c>
      <c r="U662" s="18"/>
      <c r="V662" s="18" t="s">
        <v>35</v>
      </c>
      <c r="W662" s="15" t="s">
        <v>4594</v>
      </c>
      <c r="X662" s="15" t="s">
        <v>35</v>
      </c>
      <c r="Y662" s="15" t="s">
        <v>35</v>
      </c>
      <c r="Z662" s="19">
        <v>0</v>
      </c>
      <c r="AA662" s="15">
        <v>0</v>
      </c>
      <c r="AB662" s="15" t="s">
        <v>35</v>
      </c>
    </row>
    <row r="663">
      <c r="A663" s="15">
        <v>659</v>
      </c>
      <c r="B663" s="15" t="s">
        <v>103</v>
      </c>
      <c r="C663" s="15" t="s">
        <v>186</v>
      </c>
      <c r="D663" s="15" t="s">
        <v>35</v>
      </c>
      <c r="E663" s="15" t="s">
        <v>35</v>
      </c>
      <c r="F663" s="15" t="s">
        <v>35</v>
      </c>
      <c r="G663" s="15" t="s">
        <v>36</v>
      </c>
      <c r="H663" s="15" t="s">
        <v>4595</v>
      </c>
      <c r="I663" s="15" t="s">
        <v>4596</v>
      </c>
      <c r="J663" s="15" t="s">
        <v>4597</v>
      </c>
      <c r="K663" s="15" t="s">
        <v>40</v>
      </c>
      <c r="L663" s="15" t="s">
        <v>41</v>
      </c>
      <c r="M663" s="15" t="s">
        <v>565</v>
      </c>
      <c r="N663" s="15" t="s">
        <v>566</v>
      </c>
      <c r="O663" s="15" t="s">
        <v>44</v>
      </c>
      <c r="P663" s="15" t="s">
        <v>4598</v>
      </c>
      <c r="Q663" s="15" t="s">
        <v>2664</v>
      </c>
      <c r="R663" s="16">
        <v>44329</v>
      </c>
      <c r="S663" s="17" t="s">
        <v>2925</v>
      </c>
      <c r="T663" s="20">
        <f>HYPERLINK("https://vnm.spiral.com.vn//uploaded/20210513/FDA70ADC-0B8D-4AE0-95AE-9E8881287610.jpg","16:03:29")</f>
      </c>
      <c r="U663" s="18"/>
      <c r="V663" s="18" t="s">
        <v>35</v>
      </c>
      <c r="W663" s="15" t="s">
        <v>4599</v>
      </c>
      <c r="X663" s="15" t="s">
        <v>35</v>
      </c>
      <c r="Y663" s="15" t="s">
        <v>35</v>
      </c>
      <c r="Z663" s="19">
        <v>0</v>
      </c>
      <c r="AA663" s="15">
        <v>0</v>
      </c>
      <c r="AB663" s="15" t="s">
        <v>35</v>
      </c>
    </row>
    <row r="664">
      <c r="A664" s="15">
        <v>660</v>
      </c>
      <c r="B664" s="15" t="s">
        <v>246</v>
      </c>
      <c r="C664" s="15" t="s">
        <v>259</v>
      </c>
      <c r="D664" s="15" t="s">
        <v>35</v>
      </c>
      <c r="E664" s="15" t="s">
        <v>35</v>
      </c>
      <c r="F664" s="15" t="s">
        <v>1352</v>
      </c>
      <c r="G664" s="15" t="s">
        <v>36</v>
      </c>
      <c r="H664" s="15" t="s">
        <v>4600</v>
      </c>
      <c r="I664" s="15" t="s">
        <v>4601</v>
      </c>
      <c r="J664" s="15" t="s">
        <v>4602</v>
      </c>
      <c r="K664" s="15" t="s">
        <v>40</v>
      </c>
      <c r="L664" s="15" t="s">
        <v>41</v>
      </c>
      <c r="M664" s="15" t="s">
        <v>252</v>
      </c>
      <c r="N664" s="15" t="s">
        <v>253</v>
      </c>
      <c r="O664" s="15" t="s">
        <v>44</v>
      </c>
      <c r="P664" s="15" t="s">
        <v>4603</v>
      </c>
      <c r="Q664" s="15" t="s">
        <v>4604</v>
      </c>
      <c r="R664" s="16">
        <v>44329</v>
      </c>
      <c r="S664" s="17" t="s">
        <v>2925</v>
      </c>
      <c r="T664" s="20">
        <f>HYPERLINK("https://vnm.spiral.com.vn//uploaded/20210513/FBCE84C9-528C-4145-B9BF-CA8F48F28D82.jpg","16:03:29")</f>
      </c>
      <c r="U664" s="18"/>
      <c r="V664" s="18" t="s">
        <v>35</v>
      </c>
      <c r="W664" s="15" t="s">
        <v>4605</v>
      </c>
      <c r="X664" s="15" t="s">
        <v>35</v>
      </c>
      <c r="Y664" s="15" t="s">
        <v>35</v>
      </c>
      <c r="Z664" s="19">
        <v>0</v>
      </c>
      <c r="AA664" s="15">
        <v>0</v>
      </c>
      <c r="AB664" s="15" t="s">
        <v>35</v>
      </c>
    </row>
    <row r="665">
      <c r="A665" s="15">
        <v>661</v>
      </c>
      <c r="B665" s="15" t="s">
        <v>103</v>
      </c>
      <c r="C665" s="15" t="s">
        <v>174</v>
      </c>
      <c r="D665" s="15" t="s">
        <v>35</v>
      </c>
      <c r="E665" s="15" t="s">
        <v>35</v>
      </c>
      <c r="F665" s="15" t="s">
        <v>4606</v>
      </c>
      <c r="G665" s="15" t="s">
        <v>36</v>
      </c>
      <c r="H665" s="15" t="s">
        <v>4607</v>
      </c>
      <c r="I665" s="15" t="s">
        <v>4608</v>
      </c>
      <c r="J665" s="15" t="s">
        <v>4609</v>
      </c>
      <c r="K665" s="15" t="s">
        <v>40</v>
      </c>
      <c r="L665" s="15" t="s">
        <v>41</v>
      </c>
      <c r="M665" s="15" t="s">
        <v>108</v>
      </c>
      <c r="N665" s="15" t="s">
        <v>109</v>
      </c>
      <c r="O665" s="15" t="s">
        <v>44</v>
      </c>
      <c r="P665" s="15" t="s">
        <v>4610</v>
      </c>
      <c r="Q665" s="15" t="s">
        <v>4611</v>
      </c>
      <c r="R665" s="16">
        <v>44329</v>
      </c>
      <c r="S665" s="17" t="s">
        <v>159</v>
      </c>
      <c r="T665" s="20">
        <f>HYPERLINK("https://vnm.spiral.com.vn//uploaded/20210513/b12834f7-377e-4368-980e-94996267791d.JPEG","06:53:34")</f>
      </c>
      <c r="U665" s="20">
        <f>HYPERLINK("https://vnm.spiral.com.vn//uploaded/20210513/54687738-25ba-4689-837e-258af21e9500.JPEG","16:03:07")</f>
      </c>
      <c r="V665" s="18">
        <v>0.3816319444444444</v>
      </c>
      <c r="W665" s="15" t="s">
        <v>4612</v>
      </c>
      <c r="X665" s="15" t="s">
        <v>4613</v>
      </c>
      <c r="Y665" s="15" t="s">
        <v>35</v>
      </c>
      <c r="Z665" s="19">
        <v>0</v>
      </c>
      <c r="AA665" s="15">
        <v>0</v>
      </c>
      <c r="AB665" s="15" t="s">
        <v>35</v>
      </c>
    </row>
    <row r="666">
      <c r="A666" s="15">
        <v>662</v>
      </c>
      <c r="B666" s="15" t="s">
        <v>87</v>
      </c>
      <c r="C666" s="15" t="s">
        <v>88</v>
      </c>
      <c r="D666" s="15" t="s">
        <v>35</v>
      </c>
      <c r="E666" s="15" t="s">
        <v>35</v>
      </c>
      <c r="F666" s="15" t="s">
        <v>2773</v>
      </c>
      <c r="G666" s="15" t="s">
        <v>36</v>
      </c>
      <c r="H666" s="15" t="s">
        <v>4614</v>
      </c>
      <c r="I666" s="15" t="s">
        <v>4615</v>
      </c>
      <c r="J666" s="15" t="s">
        <v>4616</v>
      </c>
      <c r="K666" s="15" t="s">
        <v>40</v>
      </c>
      <c r="L666" s="15" t="s">
        <v>41</v>
      </c>
      <c r="M666" s="15" t="s">
        <v>810</v>
      </c>
      <c r="N666" s="15" t="s">
        <v>811</v>
      </c>
      <c r="O666" s="15" t="s">
        <v>44</v>
      </c>
      <c r="P666" s="15" t="s">
        <v>4617</v>
      </c>
      <c r="Q666" s="15" t="s">
        <v>4618</v>
      </c>
      <c r="R666" s="16">
        <v>44329</v>
      </c>
      <c r="S666" s="17" t="s">
        <v>475</v>
      </c>
      <c r="T666" s="20">
        <f>HYPERLINK("https://vnm.spiral.com.vn//uploaded/20210513/fcd5b5cd-b7d6-467f-85ae-8a8646b31b42.JPEG","07:59:05")</f>
      </c>
      <c r="U666" s="20">
        <f>HYPERLINK("https://vnm.spiral.com.vn//uploaded/20210513/d460be1b-0af6-41ff-a357-9d2893ff5c16.JPEG","16:03:01")</f>
      </c>
      <c r="V666" s="18">
        <v>0.3360648148148148</v>
      </c>
      <c r="W666" s="15" t="s">
        <v>4619</v>
      </c>
      <c r="X666" s="15" t="s">
        <v>4620</v>
      </c>
      <c r="Y666" s="15" t="s">
        <v>35</v>
      </c>
      <c r="Z666" s="19">
        <v>0</v>
      </c>
      <c r="AA666" s="15">
        <v>0</v>
      </c>
      <c r="AB666" s="15" t="s">
        <v>35</v>
      </c>
    </row>
    <row r="667">
      <c r="A667" s="15">
        <v>663</v>
      </c>
      <c r="B667" s="15" t="s">
        <v>61</v>
      </c>
      <c r="C667" s="15" t="s">
        <v>1730</v>
      </c>
      <c r="D667" s="15" t="s">
        <v>35</v>
      </c>
      <c r="E667" s="15" t="s">
        <v>35</v>
      </c>
      <c r="F667" s="15" t="s">
        <v>4621</v>
      </c>
      <c r="G667" s="15" t="s">
        <v>36</v>
      </c>
      <c r="H667" s="15" t="s">
        <v>4622</v>
      </c>
      <c r="I667" s="15" t="s">
        <v>4623</v>
      </c>
      <c r="J667" s="15" t="s">
        <v>4624</v>
      </c>
      <c r="K667" s="15" t="s">
        <v>40</v>
      </c>
      <c r="L667" s="15" t="s">
        <v>41</v>
      </c>
      <c r="M667" s="15" t="s">
        <v>205</v>
      </c>
      <c r="N667" s="15" t="s">
        <v>206</v>
      </c>
      <c r="O667" s="15" t="s">
        <v>44</v>
      </c>
      <c r="P667" s="15" t="s">
        <v>4625</v>
      </c>
      <c r="Q667" s="15" t="s">
        <v>4626</v>
      </c>
      <c r="R667" s="16">
        <v>44329</v>
      </c>
      <c r="S667" s="17" t="s">
        <v>273</v>
      </c>
      <c r="T667" s="20">
        <f>HYPERLINK("https://vnm.spiral.com.vn//uploaded/20210513/52ecb7d9-c8e3-4a8c-8d9f-85267d429b92.JPEG","07:04:51")</f>
      </c>
      <c r="U667" s="20">
        <f>HYPERLINK("https://vnm.spiral.com.vn//uploaded/20210513/ac18506f-ea24-4a5e-b639-9b86a3299044.JPEG","16:03:00")</f>
      </c>
      <c r="V667" s="18">
        <v>0.3737152777777778</v>
      </c>
      <c r="W667" s="15" t="s">
        <v>4627</v>
      </c>
      <c r="X667" s="15" t="s">
        <v>4628</v>
      </c>
      <c r="Y667" s="15" t="s">
        <v>35</v>
      </c>
      <c r="Z667" s="19">
        <v>0</v>
      </c>
      <c r="AA667" s="15">
        <v>0</v>
      </c>
      <c r="AB667" s="15" t="s">
        <v>35</v>
      </c>
    </row>
    <row r="668">
      <c r="A668" s="15">
        <v>664</v>
      </c>
      <c r="B668" s="15" t="s">
        <v>246</v>
      </c>
      <c r="C668" s="15" t="s">
        <v>259</v>
      </c>
      <c r="D668" s="15" t="s">
        <v>35</v>
      </c>
      <c r="E668" s="15" t="s">
        <v>35</v>
      </c>
      <c r="F668" s="15" t="s">
        <v>943</v>
      </c>
      <c r="G668" s="15" t="s">
        <v>36</v>
      </c>
      <c r="H668" s="15" t="s">
        <v>4629</v>
      </c>
      <c r="I668" s="15" t="s">
        <v>4630</v>
      </c>
      <c r="J668" s="15" t="s">
        <v>4631</v>
      </c>
      <c r="K668" s="15" t="s">
        <v>40</v>
      </c>
      <c r="L668" s="15" t="s">
        <v>41</v>
      </c>
      <c r="M668" s="15" t="s">
        <v>252</v>
      </c>
      <c r="N668" s="15" t="s">
        <v>253</v>
      </c>
      <c r="O668" s="15" t="s">
        <v>44</v>
      </c>
      <c r="P668" s="15" t="s">
        <v>4632</v>
      </c>
      <c r="Q668" s="15" t="s">
        <v>4633</v>
      </c>
      <c r="R668" s="16">
        <v>44329</v>
      </c>
      <c r="S668" s="17" t="s">
        <v>2925</v>
      </c>
      <c r="T668" s="20">
        <f>HYPERLINK("https://vnm.spiral.com.vn//uploaded/20210513/7F0EE44D-D78B-497B-88AA-2F7E28CBC76F.jpg","16:02:43")</f>
      </c>
      <c r="U668" s="18"/>
      <c r="V668" s="18" t="s">
        <v>35</v>
      </c>
      <c r="W668" s="15" t="s">
        <v>4634</v>
      </c>
      <c r="X668" s="15" t="s">
        <v>35</v>
      </c>
      <c r="Y668" s="15" t="s">
        <v>35</v>
      </c>
      <c r="Z668" s="19">
        <v>0</v>
      </c>
      <c r="AA668" s="15">
        <v>0</v>
      </c>
      <c r="AB668" s="15" t="s">
        <v>35</v>
      </c>
    </row>
    <row r="669">
      <c r="A669" s="15">
        <v>665</v>
      </c>
      <c r="B669" s="15" t="s">
        <v>87</v>
      </c>
      <c r="C669" s="15" t="s">
        <v>88</v>
      </c>
      <c r="D669" s="15" t="s">
        <v>115</v>
      </c>
      <c r="E669" s="15" t="s">
        <v>116</v>
      </c>
      <c r="F669" s="15" t="s">
        <v>35</v>
      </c>
      <c r="G669" s="15" t="s">
        <v>74</v>
      </c>
      <c r="H669" s="15" t="s">
        <v>4635</v>
      </c>
      <c r="I669" s="15" t="s">
        <v>4636</v>
      </c>
      <c r="J669" s="15" t="s">
        <v>4637</v>
      </c>
      <c r="K669" s="15" t="s">
        <v>120</v>
      </c>
      <c r="L669" s="15" t="s">
        <v>121</v>
      </c>
      <c r="M669" s="15" t="s">
        <v>1073</v>
      </c>
      <c r="N669" s="15" t="s">
        <v>1074</v>
      </c>
      <c r="O669" s="15" t="s">
        <v>82</v>
      </c>
      <c r="P669" s="15" t="s">
        <v>4638</v>
      </c>
      <c r="Q669" s="15" t="s">
        <v>4639</v>
      </c>
      <c r="R669" s="16">
        <v>44329</v>
      </c>
      <c r="S669" s="17" t="s">
        <v>70</v>
      </c>
      <c r="T669" s="20">
        <f>HYPERLINK("https://vnm.spiral.com.vn//uploaded/20210513/e77315aa-ed6b-4b15-a619-f7918f75b56a.jpg","16:02:39")</f>
      </c>
      <c r="U669" s="18"/>
      <c r="V669" s="18" t="s">
        <v>35</v>
      </c>
      <c r="W669" s="15" t="s">
        <v>4640</v>
      </c>
      <c r="X669" s="15" t="s">
        <v>35</v>
      </c>
      <c r="Y669" s="15" t="s">
        <v>35</v>
      </c>
      <c r="Z669" s="19">
        <v>0</v>
      </c>
      <c r="AA669" s="15">
        <v>0</v>
      </c>
      <c r="AB669" s="15" t="s">
        <v>35</v>
      </c>
    </row>
    <row r="670">
      <c r="A670" s="15">
        <v>666</v>
      </c>
      <c r="B670" s="15" t="s">
        <v>49</v>
      </c>
      <c r="C670" s="15" t="s">
        <v>468</v>
      </c>
      <c r="D670" s="15" t="s">
        <v>35</v>
      </c>
      <c r="E670" s="15" t="s">
        <v>35</v>
      </c>
      <c r="F670" s="15" t="s">
        <v>35</v>
      </c>
      <c r="G670" s="15" t="s">
        <v>35</v>
      </c>
      <c r="H670" s="15" t="s">
        <v>4641</v>
      </c>
      <c r="I670" s="15" t="s">
        <v>4029</v>
      </c>
      <c r="J670" s="15" t="s">
        <v>4642</v>
      </c>
      <c r="K670" s="15" t="s">
        <v>40</v>
      </c>
      <c r="L670" s="15" t="s">
        <v>41</v>
      </c>
      <c r="M670" s="15" t="s">
        <v>55</v>
      </c>
      <c r="N670" s="15" t="s">
        <v>56</v>
      </c>
      <c r="O670" s="15" t="s">
        <v>44</v>
      </c>
      <c r="P670" s="15" t="s">
        <v>4643</v>
      </c>
      <c r="Q670" s="15" t="s">
        <v>4644</v>
      </c>
      <c r="R670" s="16">
        <v>44329</v>
      </c>
      <c r="S670" s="17" t="s">
        <v>475</v>
      </c>
      <c r="T670" s="20">
        <f>HYPERLINK("https://vnm.spiral.com.vn//uploaded/20210513/7ff2d6a8-0c81-4fcd-97ba-cc818705346a.JPEG","07:40:02")</f>
      </c>
      <c r="U670" s="20">
        <f>HYPERLINK("https://vnm.spiral.com.vn//uploaded/20210513/17559968-bb6c-4706-be2c-392cb2610d32.JPEG","16:02:39")</f>
      </c>
      <c r="V670" s="18">
        <v>0.34903935185185186</v>
      </c>
      <c r="W670" s="15" t="s">
        <v>4645</v>
      </c>
      <c r="X670" s="15" t="s">
        <v>4646</v>
      </c>
      <c r="Y670" s="15" t="s">
        <v>35</v>
      </c>
      <c r="Z670" s="19">
        <v>0</v>
      </c>
      <c r="AA670" s="15">
        <v>0</v>
      </c>
      <c r="AB670" s="15" t="s">
        <v>35</v>
      </c>
    </row>
    <row r="671">
      <c r="A671" s="15">
        <v>667</v>
      </c>
      <c r="B671" s="15" t="s">
        <v>87</v>
      </c>
      <c r="C671" s="15" t="s">
        <v>88</v>
      </c>
      <c r="D671" s="15" t="s">
        <v>379</v>
      </c>
      <c r="E671" s="15" t="s">
        <v>35</v>
      </c>
      <c r="F671" s="15" t="s">
        <v>35</v>
      </c>
      <c r="G671" s="15" t="s">
        <v>35</v>
      </c>
      <c r="H671" s="15" t="s">
        <v>3902</v>
      </c>
      <c r="I671" s="15" t="s">
        <v>3903</v>
      </c>
      <c r="J671" s="15" t="s">
        <v>3904</v>
      </c>
      <c r="K671" s="15" t="s">
        <v>748</v>
      </c>
      <c r="L671" s="15" t="s">
        <v>749</v>
      </c>
      <c r="M671" s="15" t="s">
        <v>1617</v>
      </c>
      <c r="N671" s="15" t="s">
        <v>1618</v>
      </c>
      <c r="O671" s="15" t="s">
        <v>156</v>
      </c>
      <c r="P671" s="15" t="s">
        <v>4647</v>
      </c>
      <c r="Q671" s="15" t="s">
        <v>4648</v>
      </c>
      <c r="R671" s="16">
        <v>44329</v>
      </c>
      <c r="S671" s="17" t="s">
        <v>159</v>
      </c>
      <c r="T671" s="20">
        <f>HYPERLINK("https://vnm.spiral.com.vn//uploaded/20210513/09819fa5-b5be-41a9-938e-bdfed952cd7e.JPEG","06:33:00")</f>
      </c>
      <c r="U671" s="20">
        <f>HYPERLINK("https://vnm.spiral.com.vn//uploaded/20210513/523afa86-0475-4b59-82e0-6f609e57828b.JPEG","16:02:38")</f>
      </c>
      <c r="V671" s="18">
        <v>0.3955787037037037</v>
      </c>
      <c r="W671" s="15" t="s">
        <v>4649</v>
      </c>
      <c r="X671" s="15" t="s">
        <v>4650</v>
      </c>
      <c r="Y671" s="15" t="s">
        <v>35</v>
      </c>
      <c r="Z671" s="19">
        <v>0</v>
      </c>
      <c r="AA671" s="15">
        <v>0</v>
      </c>
      <c r="AB671" s="15" t="s">
        <v>35</v>
      </c>
    </row>
    <row r="672">
      <c r="A672" s="15">
        <v>668</v>
      </c>
      <c r="B672" s="15" t="s">
        <v>87</v>
      </c>
      <c r="C672" s="15" t="s">
        <v>88</v>
      </c>
      <c r="D672" s="15" t="s">
        <v>35</v>
      </c>
      <c r="E672" s="15" t="s">
        <v>35</v>
      </c>
      <c r="F672" s="15" t="s">
        <v>1091</v>
      </c>
      <c r="G672" s="15" t="s">
        <v>36</v>
      </c>
      <c r="H672" s="15" t="s">
        <v>4651</v>
      </c>
      <c r="I672" s="15" t="s">
        <v>4103</v>
      </c>
      <c r="J672" s="15" t="s">
        <v>4652</v>
      </c>
      <c r="K672" s="15" t="s">
        <v>40</v>
      </c>
      <c r="L672" s="15" t="s">
        <v>41</v>
      </c>
      <c r="M672" s="15" t="s">
        <v>810</v>
      </c>
      <c r="N672" s="15" t="s">
        <v>811</v>
      </c>
      <c r="O672" s="15" t="s">
        <v>44</v>
      </c>
      <c r="P672" s="15" t="s">
        <v>4653</v>
      </c>
      <c r="Q672" s="15" t="s">
        <v>4654</v>
      </c>
      <c r="R672" s="16">
        <v>44329</v>
      </c>
      <c r="S672" s="17" t="s">
        <v>2925</v>
      </c>
      <c r="T672" s="20">
        <f>HYPERLINK("https://vnm.spiral.com.vn//uploaded/20210513/7514B28A-9716-4B0E-A965-7E966C6916C4.jpg","16:02:38")</f>
      </c>
      <c r="U672" s="18"/>
      <c r="V672" s="18" t="s">
        <v>35</v>
      </c>
      <c r="W672" s="15" t="s">
        <v>4655</v>
      </c>
      <c r="X672" s="15" t="s">
        <v>35</v>
      </c>
      <c r="Y672" s="15" t="s">
        <v>35</v>
      </c>
      <c r="Z672" s="19">
        <v>0</v>
      </c>
      <c r="AA672" s="15">
        <v>0</v>
      </c>
      <c r="AB672" s="15" t="s">
        <v>35</v>
      </c>
    </row>
    <row r="673">
      <c r="A673" s="15">
        <v>669</v>
      </c>
      <c r="B673" s="15" t="s">
        <v>87</v>
      </c>
      <c r="C673" s="15" t="s">
        <v>88</v>
      </c>
      <c r="D673" s="15" t="s">
        <v>35</v>
      </c>
      <c r="E673" s="15" t="s">
        <v>35</v>
      </c>
      <c r="F673" s="15" t="s">
        <v>2721</v>
      </c>
      <c r="G673" s="15" t="s">
        <v>36</v>
      </c>
      <c r="H673" s="15" t="s">
        <v>4656</v>
      </c>
      <c r="I673" s="15" t="s">
        <v>4657</v>
      </c>
      <c r="J673" s="15" t="s">
        <v>4658</v>
      </c>
      <c r="K673" s="15" t="s">
        <v>40</v>
      </c>
      <c r="L673" s="15" t="s">
        <v>41</v>
      </c>
      <c r="M673" s="15" t="s">
        <v>1195</v>
      </c>
      <c r="N673" s="15" t="s">
        <v>1196</v>
      </c>
      <c r="O673" s="15" t="s">
        <v>44</v>
      </c>
      <c r="P673" s="15" t="s">
        <v>4659</v>
      </c>
      <c r="Q673" s="15" t="s">
        <v>4660</v>
      </c>
      <c r="R673" s="16">
        <v>44329</v>
      </c>
      <c r="S673" s="17" t="s">
        <v>2925</v>
      </c>
      <c r="T673" s="20">
        <f>HYPERLINK("https://vnm.spiral.com.vn//uploaded/20210513/818543cd-a4ba-4add-a36c-8306b48dbc17.JPEG","16:02:38")</f>
      </c>
      <c r="U673" s="18"/>
      <c r="V673" s="18" t="s">
        <v>35</v>
      </c>
      <c r="W673" s="15" t="s">
        <v>4661</v>
      </c>
      <c r="X673" s="15" t="s">
        <v>35</v>
      </c>
      <c r="Y673" s="15" t="s">
        <v>35</v>
      </c>
      <c r="Z673" s="19">
        <v>0</v>
      </c>
      <c r="AA673" s="15">
        <v>0</v>
      </c>
      <c r="AB673" s="15" t="s">
        <v>35</v>
      </c>
    </row>
    <row r="674">
      <c r="A674" s="15">
        <v>670</v>
      </c>
      <c r="B674" s="15" t="s">
        <v>87</v>
      </c>
      <c r="C674" s="15" t="s">
        <v>88</v>
      </c>
      <c r="D674" s="15" t="s">
        <v>35</v>
      </c>
      <c r="E674" s="15" t="s">
        <v>35</v>
      </c>
      <c r="F674" s="15" t="s">
        <v>806</v>
      </c>
      <c r="G674" s="15" t="s">
        <v>36</v>
      </c>
      <c r="H674" s="15" t="s">
        <v>4662</v>
      </c>
      <c r="I674" s="15" t="s">
        <v>4663</v>
      </c>
      <c r="J674" s="15" t="s">
        <v>4664</v>
      </c>
      <c r="K674" s="15" t="s">
        <v>40</v>
      </c>
      <c r="L674" s="15" t="s">
        <v>41</v>
      </c>
      <c r="M674" s="15" t="s">
        <v>810</v>
      </c>
      <c r="N674" s="15" t="s">
        <v>811</v>
      </c>
      <c r="O674" s="15" t="s">
        <v>44</v>
      </c>
      <c r="P674" s="15" t="s">
        <v>4665</v>
      </c>
      <c r="Q674" s="15" t="s">
        <v>4666</v>
      </c>
      <c r="R674" s="16">
        <v>44329</v>
      </c>
      <c r="S674" s="17" t="s">
        <v>2925</v>
      </c>
      <c r="T674" s="20">
        <f>HYPERLINK("https://vnm.spiral.com.vn//uploaded/20210513/62749537-adaa-4cb5-a6cd-c62e57a45fea.JPEG","16:02:24")</f>
      </c>
      <c r="U674" s="18"/>
      <c r="V674" s="18" t="s">
        <v>35</v>
      </c>
      <c r="W674" s="15" t="s">
        <v>4667</v>
      </c>
      <c r="X674" s="15" t="s">
        <v>35</v>
      </c>
      <c r="Y674" s="15" t="s">
        <v>35</v>
      </c>
      <c r="Z674" s="19">
        <v>0</v>
      </c>
      <c r="AA674" s="15">
        <v>0</v>
      </c>
      <c r="AB674" s="15" t="s">
        <v>35</v>
      </c>
    </row>
    <row r="675">
      <c r="A675" s="15">
        <v>671</v>
      </c>
      <c r="B675" s="15" t="s">
        <v>87</v>
      </c>
      <c r="C675" s="15" t="s">
        <v>88</v>
      </c>
      <c r="D675" s="15" t="s">
        <v>35</v>
      </c>
      <c r="E675" s="15" t="s">
        <v>35</v>
      </c>
      <c r="F675" s="15" t="s">
        <v>2789</v>
      </c>
      <c r="G675" s="15" t="s">
        <v>36</v>
      </c>
      <c r="H675" s="15" t="s">
        <v>4668</v>
      </c>
      <c r="I675" s="15" t="s">
        <v>4669</v>
      </c>
      <c r="J675" s="15" t="s">
        <v>4670</v>
      </c>
      <c r="K675" s="15" t="s">
        <v>40</v>
      </c>
      <c r="L675" s="15" t="s">
        <v>41</v>
      </c>
      <c r="M675" s="15" t="s">
        <v>289</v>
      </c>
      <c r="N675" s="15" t="s">
        <v>290</v>
      </c>
      <c r="O675" s="15" t="s">
        <v>44</v>
      </c>
      <c r="P675" s="15" t="s">
        <v>4671</v>
      </c>
      <c r="Q675" s="15" t="s">
        <v>4672</v>
      </c>
      <c r="R675" s="16">
        <v>44329</v>
      </c>
      <c r="S675" s="17" t="s">
        <v>2925</v>
      </c>
      <c r="T675" s="20">
        <f>HYPERLINK("https://vnm.spiral.com.vn//uploaded/20210513/D79BD89F-204B-49FF-8CDF-CA8933473261.jpg","16:02:20")</f>
      </c>
      <c r="U675" s="18"/>
      <c r="V675" s="18" t="s">
        <v>35</v>
      </c>
      <c r="W675" s="15" t="s">
        <v>4673</v>
      </c>
      <c r="X675" s="15" t="s">
        <v>35</v>
      </c>
      <c r="Y675" s="15" t="s">
        <v>35</v>
      </c>
      <c r="Z675" s="19">
        <v>0</v>
      </c>
      <c r="AA675" s="15">
        <v>0</v>
      </c>
      <c r="AB675" s="15" t="s">
        <v>35</v>
      </c>
    </row>
    <row r="676">
      <c r="A676" s="15">
        <v>672</v>
      </c>
      <c r="B676" s="15" t="s">
        <v>61</v>
      </c>
      <c r="C676" s="15" t="s">
        <v>712</v>
      </c>
      <c r="D676" s="15" t="s">
        <v>35</v>
      </c>
      <c r="E676" s="15" t="s">
        <v>35</v>
      </c>
      <c r="F676" s="15" t="s">
        <v>35</v>
      </c>
      <c r="G676" s="15" t="s">
        <v>36</v>
      </c>
      <c r="H676" s="15" t="s">
        <v>4674</v>
      </c>
      <c r="I676" s="15" t="s">
        <v>4675</v>
      </c>
      <c r="J676" s="15" t="s">
        <v>4676</v>
      </c>
      <c r="K676" s="15" t="s">
        <v>40</v>
      </c>
      <c r="L676" s="15" t="s">
        <v>41</v>
      </c>
      <c r="M676" s="15" t="s">
        <v>205</v>
      </c>
      <c r="N676" s="15" t="s">
        <v>206</v>
      </c>
      <c r="O676" s="15" t="s">
        <v>44</v>
      </c>
      <c r="P676" s="15" t="s">
        <v>4677</v>
      </c>
      <c r="Q676" s="15" t="s">
        <v>4678</v>
      </c>
      <c r="R676" s="16">
        <v>44329</v>
      </c>
      <c r="S676" s="17" t="s">
        <v>273</v>
      </c>
      <c r="T676" s="20">
        <f>HYPERLINK("https://vnm.spiral.com.vn//uploaded/20210513/7ffece5d-4afd-4afc-8291-c1b074c4ee7a.JPEG","07:31:21")</f>
      </c>
      <c r="U676" s="20">
        <f>HYPERLINK("https://vnm.spiral.com.vn//uploaded/20210513/0939ff81-9453-4450-9862-64a22a89beb9.JPEG","16:02:19")</f>
      </c>
      <c r="V676" s="18">
        <v>0.35483796296296294</v>
      </c>
      <c r="W676" s="15" t="s">
        <v>4679</v>
      </c>
      <c r="X676" s="15" t="s">
        <v>4680</v>
      </c>
      <c r="Y676" s="15" t="s">
        <v>35</v>
      </c>
      <c r="Z676" s="19">
        <v>0</v>
      </c>
      <c r="AA676" s="15">
        <v>0</v>
      </c>
      <c r="AB676" s="15" t="s">
        <v>35</v>
      </c>
    </row>
    <row r="677">
      <c r="A677" s="15">
        <v>673</v>
      </c>
      <c r="B677" s="15" t="s">
        <v>87</v>
      </c>
      <c r="C677" s="15" t="s">
        <v>88</v>
      </c>
      <c r="D677" s="15" t="s">
        <v>115</v>
      </c>
      <c r="E677" s="15" t="s">
        <v>116</v>
      </c>
      <c r="F677" s="15" t="s">
        <v>35</v>
      </c>
      <c r="G677" s="15" t="s">
        <v>74</v>
      </c>
      <c r="H677" s="15" t="s">
        <v>4681</v>
      </c>
      <c r="I677" s="15" t="s">
        <v>4682</v>
      </c>
      <c r="J677" s="15" t="s">
        <v>4683</v>
      </c>
      <c r="K677" s="15" t="s">
        <v>120</v>
      </c>
      <c r="L677" s="15" t="s">
        <v>121</v>
      </c>
      <c r="M677" s="15" t="s">
        <v>122</v>
      </c>
      <c r="N677" s="15" t="s">
        <v>123</v>
      </c>
      <c r="O677" s="15" t="s">
        <v>82</v>
      </c>
      <c r="P677" s="15" t="s">
        <v>3647</v>
      </c>
      <c r="Q677" s="15" t="s">
        <v>3648</v>
      </c>
      <c r="R677" s="16">
        <v>44329</v>
      </c>
      <c r="S677" s="17" t="s">
        <v>70</v>
      </c>
      <c r="T677" s="20">
        <f>HYPERLINK("https://vnm.spiral.com.vn//uploaded/20210513/fceb04db-f198-43de-806b-37020aec6a20.jpg","14:46:54")</f>
      </c>
      <c r="U677" s="20">
        <f>HYPERLINK("https://vnm.spiral.com.vn//uploaded/20210513/65669b3e-7c7e-4300-9d61-72600d15a43a.jpg","16:02:02")</f>
      </c>
      <c r="V677" s="18">
        <v>0.052175925925925924</v>
      </c>
      <c r="W677" s="15" t="s">
        <v>4684</v>
      </c>
      <c r="X677" s="15" t="s">
        <v>4685</v>
      </c>
      <c r="Y677" s="15" t="s">
        <v>35</v>
      </c>
      <c r="Z677" s="19">
        <v>0</v>
      </c>
      <c r="AA677" s="15">
        <v>0</v>
      </c>
      <c r="AB677" s="15" t="s">
        <v>35</v>
      </c>
    </row>
    <row r="678">
      <c r="A678" s="15">
        <v>674</v>
      </c>
      <c r="B678" s="15" t="s">
        <v>103</v>
      </c>
      <c r="C678" s="15" t="s">
        <v>2116</v>
      </c>
      <c r="D678" s="15" t="s">
        <v>89</v>
      </c>
      <c r="E678" s="15" t="s">
        <v>90</v>
      </c>
      <c r="F678" s="15" t="s">
        <v>35</v>
      </c>
      <c r="G678" s="15" t="s">
        <v>74</v>
      </c>
      <c r="H678" s="15" t="s">
        <v>4686</v>
      </c>
      <c r="I678" s="15" t="s">
        <v>4687</v>
      </c>
      <c r="J678" s="15" t="s">
        <v>4688</v>
      </c>
      <c r="K678" s="15" t="s">
        <v>178</v>
      </c>
      <c r="L678" s="15" t="s">
        <v>179</v>
      </c>
      <c r="M678" s="15" t="s">
        <v>2120</v>
      </c>
      <c r="N678" s="15" t="s">
        <v>2121</v>
      </c>
      <c r="O678" s="15" t="s">
        <v>156</v>
      </c>
      <c r="P678" s="15" t="s">
        <v>4689</v>
      </c>
      <c r="Q678" s="15" t="s">
        <v>4690</v>
      </c>
      <c r="R678" s="16">
        <v>44329</v>
      </c>
      <c r="S678" s="17" t="s">
        <v>475</v>
      </c>
      <c r="T678" s="20">
        <f>HYPERLINK("https://vnm.spiral.com.vn//uploaded/20210513/c02d8fb3-0f83-449a-aea4-867a3f25dc20.JPEG","07:52:48")</f>
      </c>
      <c r="U678" s="20">
        <f>HYPERLINK("https://vnm.spiral.com.vn//uploaded/20210513/8a5f0274-7753-469e-a3d5-8624f357c16b.JPEG","16:01:59")</f>
      </c>
      <c r="V678" s="18">
        <v>0.33971064814814816</v>
      </c>
      <c r="W678" s="15" t="s">
        <v>4691</v>
      </c>
      <c r="X678" s="15" t="s">
        <v>4692</v>
      </c>
      <c r="Y678" s="15" t="s">
        <v>35</v>
      </c>
      <c r="Z678" s="19">
        <v>0</v>
      </c>
      <c r="AA678" s="15">
        <v>0</v>
      </c>
      <c r="AB678" s="15" t="s">
        <v>35</v>
      </c>
    </row>
    <row r="679">
      <c r="A679" s="15">
        <v>675</v>
      </c>
      <c r="B679" s="15" t="s">
        <v>49</v>
      </c>
      <c r="C679" s="15" t="s">
        <v>369</v>
      </c>
      <c r="D679" s="15" t="s">
        <v>304</v>
      </c>
      <c r="E679" s="15" t="s">
        <v>305</v>
      </c>
      <c r="F679" s="15" t="s">
        <v>35</v>
      </c>
      <c r="G679" s="15" t="s">
        <v>74</v>
      </c>
      <c r="H679" s="15" t="s">
        <v>4693</v>
      </c>
      <c r="I679" s="15" t="s">
        <v>4694</v>
      </c>
      <c r="J679" s="15" t="s">
        <v>4695</v>
      </c>
      <c r="K679" s="15" t="s">
        <v>168</v>
      </c>
      <c r="L679" s="15" t="s">
        <v>169</v>
      </c>
      <c r="M679" s="15" t="s">
        <v>383</v>
      </c>
      <c r="N679" s="15" t="s">
        <v>384</v>
      </c>
      <c r="O679" s="15" t="s">
        <v>156</v>
      </c>
      <c r="P679" s="15" t="s">
        <v>4696</v>
      </c>
      <c r="Q679" s="15" t="s">
        <v>4697</v>
      </c>
      <c r="R679" s="16">
        <v>44329</v>
      </c>
      <c r="S679" s="17" t="s">
        <v>159</v>
      </c>
      <c r="T679" s="20">
        <f>HYPERLINK("https://vnm.spiral.com.vn//uploaded/20210513/2223E905-C244-432B-B3AC-E41424362354.jpg","07:00:58")</f>
      </c>
      <c r="U679" s="20">
        <f>HYPERLINK("https://vnm.spiral.com.vn//uploaded/20210513/3141378A-5004-485D-8391-20CED1217358.jpg","16:01:53")</f>
      </c>
      <c r="V679" s="18">
        <v>0.3756365740740741</v>
      </c>
      <c r="W679" s="15" t="s">
        <v>4698</v>
      </c>
      <c r="X679" s="15" t="s">
        <v>4699</v>
      </c>
      <c r="Y679" s="15" t="s">
        <v>35</v>
      </c>
      <c r="Z679" s="19">
        <v>0</v>
      </c>
      <c r="AA679" s="15">
        <v>0</v>
      </c>
      <c r="AB679" s="15" t="s">
        <v>35</v>
      </c>
    </row>
    <row r="680">
      <c r="A680" s="15">
        <v>676</v>
      </c>
      <c r="B680" s="15" t="s">
        <v>49</v>
      </c>
      <c r="C680" s="15" t="s">
        <v>162</v>
      </c>
      <c r="D680" s="15" t="s">
        <v>35</v>
      </c>
      <c r="E680" s="15" t="s">
        <v>35</v>
      </c>
      <c r="F680" s="15" t="s">
        <v>1850</v>
      </c>
      <c r="G680" s="15" t="s">
        <v>36</v>
      </c>
      <c r="H680" s="15" t="s">
        <v>4700</v>
      </c>
      <c r="I680" s="15" t="s">
        <v>4701</v>
      </c>
      <c r="J680" s="15" t="s">
        <v>4702</v>
      </c>
      <c r="K680" s="15" t="s">
        <v>40</v>
      </c>
      <c r="L680" s="15" t="s">
        <v>41</v>
      </c>
      <c r="M680" s="15" t="s">
        <v>55</v>
      </c>
      <c r="N680" s="15" t="s">
        <v>56</v>
      </c>
      <c r="O680" s="15" t="s">
        <v>44</v>
      </c>
      <c r="P680" s="15" t="s">
        <v>4703</v>
      </c>
      <c r="Q680" s="15" t="s">
        <v>4704</v>
      </c>
      <c r="R680" s="16">
        <v>44329</v>
      </c>
      <c r="S680" s="17" t="s">
        <v>475</v>
      </c>
      <c r="T680" s="20">
        <f>HYPERLINK("https://vnm.spiral.com.vn//uploaded/20210513/00a1626a-814c-442e-832f-c3505611bec2.JPEG","08:04:00")</f>
      </c>
      <c r="U680" s="20">
        <f>HYPERLINK("https://vnm.spiral.com.vn//uploaded/20210513/dac18c7d-6381-47c0-9e46-f357c53d93b3.JPEG","16:01:51")</f>
      </c>
      <c r="V680" s="18">
        <v>0.3318402777777778</v>
      </c>
      <c r="W680" s="15" t="s">
        <v>4705</v>
      </c>
      <c r="X680" s="15" t="s">
        <v>4706</v>
      </c>
      <c r="Y680" s="15" t="s">
        <v>35</v>
      </c>
      <c r="Z680" s="19">
        <v>0</v>
      </c>
      <c r="AA680" s="15">
        <v>0</v>
      </c>
      <c r="AB680" s="15" t="s">
        <v>35</v>
      </c>
    </row>
    <row r="681">
      <c r="A681" s="15">
        <v>677</v>
      </c>
      <c r="B681" s="15" t="s">
        <v>87</v>
      </c>
      <c r="C681" s="15" t="s">
        <v>88</v>
      </c>
      <c r="D681" s="15" t="s">
        <v>357</v>
      </c>
      <c r="E681" s="15" t="s">
        <v>90</v>
      </c>
      <c r="F681" s="15" t="s">
        <v>35</v>
      </c>
      <c r="G681" s="15" t="s">
        <v>74</v>
      </c>
      <c r="H681" s="15" t="s">
        <v>4707</v>
      </c>
      <c r="I681" s="15" t="s">
        <v>4708</v>
      </c>
      <c r="J681" s="15" t="s">
        <v>4709</v>
      </c>
      <c r="K681" s="15" t="s">
        <v>94</v>
      </c>
      <c r="L681" s="15" t="s">
        <v>95</v>
      </c>
      <c r="M681" s="15" t="s">
        <v>1554</v>
      </c>
      <c r="N681" s="15" t="s">
        <v>1555</v>
      </c>
      <c r="O681" s="15" t="s">
        <v>82</v>
      </c>
      <c r="P681" s="15" t="s">
        <v>4710</v>
      </c>
      <c r="Q681" s="15" t="s">
        <v>4711</v>
      </c>
      <c r="R681" s="16">
        <v>44329</v>
      </c>
      <c r="S681" s="17" t="s">
        <v>70</v>
      </c>
      <c r="T681" s="20">
        <f>HYPERLINK("https://vnm.spiral.com.vn//uploaded/20210513/67723434-b64f-453b-b066-e542c70f1e19.jpg","16:01:47")</f>
      </c>
      <c r="U681" s="18"/>
      <c r="V681" s="18" t="s">
        <v>35</v>
      </c>
      <c r="W681" s="15" t="s">
        <v>4712</v>
      </c>
      <c r="X681" s="15" t="s">
        <v>35</v>
      </c>
      <c r="Y681" s="15" t="s">
        <v>35</v>
      </c>
      <c r="Z681" s="19">
        <v>0</v>
      </c>
      <c r="AA681" s="15">
        <v>0</v>
      </c>
      <c r="AB681" s="15" t="s">
        <v>35</v>
      </c>
    </row>
    <row r="682">
      <c r="A682" s="15">
        <v>678</v>
      </c>
      <c r="B682" s="15" t="s">
        <v>343</v>
      </c>
      <c r="C682" s="15" t="s">
        <v>721</v>
      </c>
      <c r="D682" s="15" t="s">
        <v>536</v>
      </c>
      <c r="E682" s="15" t="s">
        <v>116</v>
      </c>
      <c r="F682" s="15" t="s">
        <v>35</v>
      </c>
      <c r="G682" s="15" t="s">
        <v>74</v>
      </c>
      <c r="H682" s="15" t="s">
        <v>4713</v>
      </c>
      <c r="I682" s="15" t="s">
        <v>4714</v>
      </c>
      <c r="J682" s="15" t="s">
        <v>4715</v>
      </c>
      <c r="K682" s="15" t="s">
        <v>997</v>
      </c>
      <c r="L682" s="15" t="s">
        <v>998</v>
      </c>
      <c r="M682" s="15" t="s">
        <v>1325</v>
      </c>
      <c r="N682" s="15" t="s">
        <v>1326</v>
      </c>
      <c r="O682" s="15" t="s">
        <v>82</v>
      </c>
      <c r="P682" s="15" t="s">
        <v>4716</v>
      </c>
      <c r="Q682" s="15" t="s">
        <v>4717</v>
      </c>
      <c r="R682" s="16">
        <v>44329</v>
      </c>
      <c r="S682" s="17" t="s">
        <v>70</v>
      </c>
      <c r="T682" s="20">
        <f>HYPERLINK("https://vnm.spiral.com.vn//uploaded/20210513/015C81B9-4EE2-4728-B8D9-82596E595B03.jpg","07:55:31")</f>
      </c>
      <c r="U682" s="20">
        <f>HYPERLINK("https://vnm.spiral.com.vn//uploaded/20210513/4E9FDAA8-DA0B-44C4-86F5-8F147DEB7B63.jpg","16:01:45")</f>
      </c>
      <c r="V682" s="18">
        <v>0.337662037037037</v>
      </c>
      <c r="W682" s="15" t="s">
        <v>4718</v>
      </c>
      <c r="X682" s="15" t="s">
        <v>4719</v>
      </c>
      <c r="Y682" s="15" t="s">
        <v>35</v>
      </c>
      <c r="Z682" s="19">
        <v>0</v>
      </c>
      <c r="AA682" s="15">
        <v>0</v>
      </c>
      <c r="AB682" s="15" t="s">
        <v>35</v>
      </c>
    </row>
    <row r="683">
      <c r="A683" s="15">
        <v>679</v>
      </c>
      <c r="B683" s="15" t="s">
        <v>61</v>
      </c>
      <c r="C683" s="15" t="s">
        <v>712</v>
      </c>
      <c r="D683" s="15" t="s">
        <v>35</v>
      </c>
      <c r="E683" s="15" t="s">
        <v>35</v>
      </c>
      <c r="F683" s="15" t="s">
        <v>35</v>
      </c>
      <c r="G683" s="15" t="s">
        <v>36</v>
      </c>
      <c r="H683" s="15" t="s">
        <v>4720</v>
      </c>
      <c r="I683" s="15" t="s">
        <v>4721</v>
      </c>
      <c r="J683" s="15" t="s">
        <v>4722</v>
      </c>
      <c r="K683" s="15" t="s">
        <v>40</v>
      </c>
      <c r="L683" s="15" t="s">
        <v>41</v>
      </c>
      <c r="M683" s="15" t="s">
        <v>205</v>
      </c>
      <c r="N683" s="15" t="s">
        <v>206</v>
      </c>
      <c r="O683" s="15" t="s">
        <v>44</v>
      </c>
      <c r="P683" s="15" t="s">
        <v>4723</v>
      </c>
      <c r="Q683" s="15" t="s">
        <v>4724</v>
      </c>
      <c r="R683" s="16">
        <v>44329</v>
      </c>
      <c r="S683" s="17" t="s">
        <v>159</v>
      </c>
      <c r="T683" s="20">
        <f>HYPERLINK("https://vnm.spiral.com.vn//uploaded/20210513/90f7297d-3a6c-498b-a1e2-abf8ab5477a8.JPEG","06:45:08")</f>
      </c>
      <c r="U683" s="20">
        <f>HYPERLINK("https://vnm.spiral.com.vn//uploaded/20210513/9b9393bf-9a4f-44e9-af11-1e9089956841.JPEG","16:01:42")</f>
      </c>
      <c r="V683" s="18">
        <v>0.3865046296296296</v>
      </c>
      <c r="W683" s="15" t="s">
        <v>4725</v>
      </c>
      <c r="X683" s="15" t="s">
        <v>4726</v>
      </c>
      <c r="Y683" s="15" t="s">
        <v>35</v>
      </c>
      <c r="Z683" s="19">
        <v>0</v>
      </c>
      <c r="AA683" s="15">
        <v>0</v>
      </c>
      <c r="AB683" s="15" t="s">
        <v>35</v>
      </c>
    </row>
    <row r="684">
      <c r="A684" s="15">
        <v>680</v>
      </c>
      <c r="B684" s="15" t="s">
        <v>87</v>
      </c>
      <c r="C684" s="15" t="s">
        <v>88</v>
      </c>
      <c r="D684" s="15" t="s">
        <v>35</v>
      </c>
      <c r="E684" s="15" t="s">
        <v>35</v>
      </c>
      <c r="F684" s="15" t="s">
        <v>1191</v>
      </c>
      <c r="G684" s="15" t="s">
        <v>36</v>
      </c>
      <c r="H684" s="15" t="s">
        <v>4727</v>
      </c>
      <c r="I684" s="15" t="s">
        <v>4728</v>
      </c>
      <c r="J684" s="15" t="s">
        <v>4729</v>
      </c>
      <c r="K684" s="15" t="s">
        <v>40</v>
      </c>
      <c r="L684" s="15" t="s">
        <v>41</v>
      </c>
      <c r="M684" s="15" t="s">
        <v>1195</v>
      </c>
      <c r="N684" s="15" t="s">
        <v>1196</v>
      </c>
      <c r="O684" s="15" t="s">
        <v>44</v>
      </c>
      <c r="P684" s="15" t="s">
        <v>4730</v>
      </c>
      <c r="Q684" s="15" t="s">
        <v>4731</v>
      </c>
      <c r="R684" s="16">
        <v>44329</v>
      </c>
      <c r="S684" s="17" t="s">
        <v>2925</v>
      </c>
      <c r="T684" s="20">
        <f>HYPERLINK("https://vnm.spiral.com.vn//uploaded/20210513/2D6D877C-E89A-4232-A19A-6E98A64F89FE.jpg","16:01:34")</f>
      </c>
      <c r="U684" s="18"/>
      <c r="V684" s="18" t="s">
        <v>35</v>
      </c>
      <c r="W684" s="15" t="s">
        <v>4732</v>
      </c>
      <c r="X684" s="15" t="s">
        <v>35</v>
      </c>
      <c r="Y684" s="15" t="s">
        <v>35</v>
      </c>
      <c r="Z684" s="19">
        <v>0</v>
      </c>
      <c r="AA684" s="15">
        <v>0</v>
      </c>
      <c r="AB684" s="15" t="s">
        <v>35</v>
      </c>
    </row>
    <row r="685">
      <c r="A685" s="15">
        <v>681</v>
      </c>
      <c r="B685" s="15" t="s">
        <v>49</v>
      </c>
      <c r="C685" s="15" t="s">
        <v>1715</v>
      </c>
      <c r="D685" s="15" t="s">
        <v>35</v>
      </c>
      <c r="E685" s="15" t="s">
        <v>35</v>
      </c>
      <c r="F685" s="15" t="s">
        <v>35</v>
      </c>
      <c r="G685" s="15" t="s">
        <v>36</v>
      </c>
      <c r="H685" s="15" t="s">
        <v>4733</v>
      </c>
      <c r="I685" s="15" t="s">
        <v>4734</v>
      </c>
      <c r="J685" s="15" t="s">
        <v>4735</v>
      </c>
      <c r="K685" s="15" t="s">
        <v>40</v>
      </c>
      <c r="L685" s="15" t="s">
        <v>41</v>
      </c>
      <c r="M685" s="15" t="s">
        <v>55</v>
      </c>
      <c r="N685" s="15" t="s">
        <v>56</v>
      </c>
      <c r="O685" s="15" t="s">
        <v>44</v>
      </c>
      <c r="P685" s="15" t="s">
        <v>4736</v>
      </c>
      <c r="Q685" s="15" t="s">
        <v>4737</v>
      </c>
      <c r="R685" s="16">
        <v>44329</v>
      </c>
      <c r="S685" s="17" t="s">
        <v>475</v>
      </c>
      <c r="T685" s="20">
        <f>HYPERLINK("https://vnm.spiral.com.vn//uploaded/20210513/0068adae-9a92-4c74-bb7b-39d184177ccc.JPEG","07:54:55")</f>
      </c>
      <c r="U685" s="20">
        <f>HYPERLINK("https://vnm.spiral.com.vn//uploaded/20210513/40d5ff8f-ed29-4f8e-8236-69214d137ca5.JPEG","16:01:32")</f>
      </c>
      <c r="V685" s="18">
        <v>0.33792824074074074</v>
      </c>
      <c r="W685" s="15" t="s">
        <v>4738</v>
      </c>
      <c r="X685" s="15" t="s">
        <v>4739</v>
      </c>
      <c r="Y685" s="15" t="s">
        <v>35</v>
      </c>
      <c r="Z685" s="19">
        <v>0</v>
      </c>
      <c r="AA685" s="15">
        <v>0</v>
      </c>
      <c r="AB685" s="15" t="s">
        <v>35</v>
      </c>
    </row>
    <row r="686">
      <c r="A686" s="15">
        <v>682</v>
      </c>
      <c r="B686" s="15" t="s">
        <v>61</v>
      </c>
      <c r="C686" s="15" t="s">
        <v>904</v>
      </c>
      <c r="D686" s="15" t="s">
        <v>35</v>
      </c>
      <c r="E686" s="15" t="s">
        <v>35</v>
      </c>
      <c r="F686" s="15" t="s">
        <v>35</v>
      </c>
      <c r="G686" s="15" t="s">
        <v>36</v>
      </c>
      <c r="H686" s="15" t="s">
        <v>4740</v>
      </c>
      <c r="I686" s="15" t="s">
        <v>4741</v>
      </c>
      <c r="J686" s="15" t="s">
        <v>4742</v>
      </c>
      <c r="K686" s="15" t="s">
        <v>40</v>
      </c>
      <c r="L686" s="15" t="s">
        <v>41</v>
      </c>
      <c r="M686" s="15" t="s">
        <v>66</v>
      </c>
      <c r="N686" s="15" t="s">
        <v>67</v>
      </c>
      <c r="O686" s="15" t="s">
        <v>44</v>
      </c>
      <c r="P686" s="15" t="s">
        <v>4743</v>
      </c>
      <c r="Q686" s="15" t="s">
        <v>4744</v>
      </c>
      <c r="R686" s="16">
        <v>44329</v>
      </c>
      <c r="S686" s="17" t="s">
        <v>1112</v>
      </c>
      <c r="T686" s="20">
        <f>HYPERLINK("https://vnm.spiral.com.vn//uploaded/20210513/20F9F3E4-FA00-449B-BAE6-0F6F2082907D.jpg","08:06:20")</f>
      </c>
      <c r="U686" s="20">
        <f>HYPERLINK("https://vnm.spiral.com.vn//uploaded/20210513/BB8212EE-7BD0-47FA-9E3E-4418A4CDAC85.jpg","16:01:22")</f>
      </c>
      <c r="V686" s="18">
        <v>0.32988425925925924</v>
      </c>
      <c r="W686" s="15" t="s">
        <v>4745</v>
      </c>
      <c r="X686" s="15" t="s">
        <v>4746</v>
      </c>
      <c r="Y686" s="15" t="s">
        <v>35</v>
      </c>
      <c r="Z686" s="19">
        <v>0</v>
      </c>
      <c r="AA686" s="15">
        <v>0</v>
      </c>
      <c r="AB686" s="15" t="s">
        <v>35</v>
      </c>
    </row>
    <row r="687">
      <c r="A687" s="15">
        <v>683</v>
      </c>
      <c r="B687" s="15" t="s">
        <v>87</v>
      </c>
      <c r="C687" s="15" t="s">
        <v>88</v>
      </c>
      <c r="D687" s="15" t="s">
        <v>1897</v>
      </c>
      <c r="E687" s="15" t="s">
        <v>90</v>
      </c>
      <c r="F687" s="15" t="s">
        <v>35</v>
      </c>
      <c r="G687" s="15" t="s">
        <v>74</v>
      </c>
      <c r="H687" s="15" t="s">
        <v>4747</v>
      </c>
      <c r="I687" s="15" t="s">
        <v>4748</v>
      </c>
      <c r="J687" s="15" t="s">
        <v>4749</v>
      </c>
      <c r="K687" s="15" t="s">
        <v>1204</v>
      </c>
      <c r="L687" s="15" t="s">
        <v>1205</v>
      </c>
      <c r="M687" s="15" t="s">
        <v>3774</v>
      </c>
      <c r="N687" s="15" t="s">
        <v>3775</v>
      </c>
      <c r="O687" s="15" t="s">
        <v>156</v>
      </c>
      <c r="P687" s="15" t="s">
        <v>4750</v>
      </c>
      <c r="Q687" s="15" t="s">
        <v>4751</v>
      </c>
      <c r="R687" s="16">
        <v>44329</v>
      </c>
      <c r="S687" s="17" t="s">
        <v>159</v>
      </c>
      <c r="T687" s="20">
        <f>HYPERLINK("https://vnm.spiral.com.vn//uploaded/20210513/145ae567-1f91-4dd7-9507-de6bafa7ae0e.jpg","06:58:13")</f>
      </c>
      <c r="U687" s="20">
        <f>HYPERLINK("https://vnm.spiral.com.vn//uploaded/20210513/dd0f7120-e381-49c1-901d-4a74d958bc72.jpg","16:01:21")</f>
      </c>
      <c r="V687" s="18">
        <v>0.3771759259259259</v>
      </c>
      <c r="W687" s="15" t="s">
        <v>4752</v>
      </c>
      <c r="X687" s="15" t="s">
        <v>4753</v>
      </c>
      <c r="Y687" s="15" t="s">
        <v>35</v>
      </c>
      <c r="Z687" s="19">
        <v>0</v>
      </c>
      <c r="AA687" s="15">
        <v>0</v>
      </c>
      <c r="AB687" s="15" t="s">
        <v>35</v>
      </c>
    </row>
    <row r="688">
      <c r="A688" s="15">
        <v>684</v>
      </c>
      <c r="B688" s="15" t="s">
        <v>87</v>
      </c>
      <c r="C688" s="15" t="s">
        <v>88</v>
      </c>
      <c r="D688" s="15" t="s">
        <v>379</v>
      </c>
      <c r="E688" s="15" t="s">
        <v>35</v>
      </c>
      <c r="F688" s="15" t="s">
        <v>35</v>
      </c>
      <c r="G688" s="15" t="s">
        <v>35</v>
      </c>
      <c r="H688" s="15" t="s">
        <v>4754</v>
      </c>
      <c r="I688" s="15" t="s">
        <v>4755</v>
      </c>
      <c r="J688" s="15" t="s">
        <v>4756</v>
      </c>
      <c r="K688" s="15" t="s">
        <v>748</v>
      </c>
      <c r="L688" s="15" t="s">
        <v>749</v>
      </c>
      <c r="M688" s="15" t="s">
        <v>2257</v>
      </c>
      <c r="N688" s="15" t="s">
        <v>2258</v>
      </c>
      <c r="O688" s="15" t="s">
        <v>156</v>
      </c>
      <c r="P688" s="15" t="s">
        <v>4757</v>
      </c>
      <c r="Q688" s="15" t="s">
        <v>4758</v>
      </c>
      <c r="R688" s="16">
        <v>44329</v>
      </c>
      <c r="S688" s="17" t="s">
        <v>159</v>
      </c>
      <c r="T688" s="20">
        <f>HYPERLINK("https://vnm.spiral.com.vn//uploaded/20210513/82B74558-4175-4596-A2B2-2279DC1622ED.jpg","06:55:45")</f>
      </c>
      <c r="U688" s="20">
        <f>HYPERLINK("https://vnm.spiral.com.vn//uploaded/20210513/2B58D86D-C389-4A16-BCBB-7904C5EBCC77.jpg","16:01:18")</f>
      </c>
      <c r="V688" s="18">
        <v>0.37885416666666666</v>
      </c>
      <c r="W688" s="15" t="s">
        <v>4759</v>
      </c>
      <c r="X688" s="15" t="s">
        <v>4760</v>
      </c>
      <c r="Y688" s="15" t="s">
        <v>35</v>
      </c>
      <c r="Z688" s="19">
        <v>0</v>
      </c>
      <c r="AA688" s="15">
        <v>0</v>
      </c>
      <c r="AB688" s="15" t="s">
        <v>35</v>
      </c>
    </row>
    <row r="689">
      <c r="A689" s="15">
        <v>685</v>
      </c>
      <c r="B689" s="15" t="s">
        <v>87</v>
      </c>
      <c r="C689" s="15" t="s">
        <v>88</v>
      </c>
      <c r="D689" s="15" t="s">
        <v>35</v>
      </c>
      <c r="E689" s="15" t="s">
        <v>35</v>
      </c>
      <c r="F689" s="15" t="s">
        <v>35</v>
      </c>
      <c r="G689" s="15" t="s">
        <v>36</v>
      </c>
      <c r="H689" s="15" t="s">
        <v>4761</v>
      </c>
      <c r="I689" s="15" t="s">
        <v>4762</v>
      </c>
      <c r="J689" s="15" t="s">
        <v>4763</v>
      </c>
      <c r="K689" s="15" t="s">
        <v>40</v>
      </c>
      <c r="L689" s="15" t="s">
        <v>41</v>
      </c>
      <c r="M689" s="15" t="s">
        <v>289</v>
      </c>
      <c r="N689" s="15" t="s">
        <v>290</v>
      </c>
      <c r="O689" s="15" t="s">
        <v>44</v>
      </c>
      <c r="P689" s="15" t="s">
        <v>4764</v>
      </c>
      <c r="Q689" s="15" t="s">
        <v>4765</v>
      </c>
      <c r="R689" s="16">
        <v>44329</v>
      </c>
      <c r="S689" s="17" t="s">
        <v>2925</v>
      </c>
      <c r="T689" s="20">
        <f>HYPERLINK("https://vnm.spiral.com.vn//uploaded/20210513/7BEF0BD7-D30D-4D20-8F91-6AD6EC0C2264.jpg","16:01:12")</f>
      </c>
      <c r="U689" s="18"/>
      <c r="V689" s="18" t="s">
        <v>35</v>
      </c>
      <c r="W689" s="15" t="s">
        <v>4766</v>
      </c>
      <c r="X689" s="15" t="s">
        <v>35</v>
      </c>
      <c r="Y689" s="15" t="s">
        <v>35</v>
      </c>
      <c r="Z689" s="19">
        <v>0</v>
      </c>
      <c r="AA689" s="15">
        <v>0</v>
      </c>
      <c r="AB689" s="15" t="s">
        <v>35</v>
      </c>
    </row>
    <row r="690">
      <c r="A690" s="15">
        <v>686</v>
      </c>
      <c r="B690" s="15" t="s">
        <v>87</v>
      </c>
      <c r="C690" s="15" t="s">
        <v>88</v>
      </c>
      <c r="D690" s="15" t="s">
        <v>35</v>
      </c>
      <c r="E690" s="15" t="s">
        <v>35</v>
      </c>
      <c r="F690" s="15" t="s">
        <v>2667</v>
      </c>
      <c r="G690" s="15" t="s">
        <v>36</v>
      </c>
      <c r="H690" s="15" t="s">
        <v>4767</v>
      </c>
      <c r="I690" s="15" t="s">
        <v>4768</v>
      </c>
      <c r="J690" s="15" t="s">
        <v>4769</v>
      </c>
      <c r="K690" s="15" t="s">
        <v>40</v>
      </c>
      <c r="L690" s="15" t="s">
        <v>41</v>
      </c>
      <c r="M690" s="15" t="s">
        <v>1195</v>
      </c>
      <c r="N690" s="15" t="s">
        <v>1196</v>
      </c>
      <c r="O690" s="15" t="s">
        <v>44</v>
      </c>
      <c r="P690" s="15" t="s">
        <v>4770</v>
      </c>
      <c r="Q690" s="15" t="s">
        <v>4771</v>
      </c>
      <c r="R690" s="16">
        <v>44329</v>
      </c>
      <c r="S690" s="17" t="s">
        <v>475</v>
      </c>
      <c r="T690" s="20">
        <f>HYPERLINK("https://vnm.spiral.com.vn//uploaded/20210513/631EBDD5-705A-4350-BAEC-4C6EAF476333.jpg","08:24:38")</f>
      </c>
      <c r="U690" s="20">
        <f>HYPERLINK("https://vnm.spiral.com.vn//uploaded/20210513/87FBB458-07B5-4699-87B0-4CB551CF7D90.jpg","16:01:03")</f>
      </c>
      <c r="V690" s="18">
        <v>0.3169560185185185</v>
      </c>
      <c r="W690" s="15" t="s">
        <v>4772</v>
      </c>
      <c r="X690" s="15" t="s">
        <v>4773</v>
      </c>
      <c r="Y690" s="15" t="s">
        <v>35</v>
      </c>
      <c r="Z690" s="19">
        <v>0</v>
      </c>
      <c r="AA690" s="15">
        <v>0</v>
      </c>
      <c r="AB690" s="15" t="s">
        <v>35</v>
      </c>
    </row>
    <row r="691">
      <c r="A691" s="15">
        <v>687</v>
      </c>
      <c r="B691" s="15" t="s">
        <v>246</v>
      </c>
      <c r="C691" s="15" t="s">
        <v>259</v>
      </c>
      <c r="D691" s="15" t="s">
        <v>35</v>
      </c>
      <c r="E691" s="15" t="s">
        <v>35</v>
      </c>
      <c r="F691" s="15" t="s">
        <v>35</v>
      </c>
      <c r="G691" s="15" t="s">
        <v>35</v>
      </c>
      <c r="H691" s="15" t="s">
        <v>4774</v>
      </c>
      <c r="I691" s="15" t="s">
        <v>4775</v>
      </c>
      <c r="J691" s="15" t="s">
        <v>4776</v>
      </c>
      <c r="K691" s="15" t="s">
        <v>40</v>
      </c>
      <c r="L691" s="15" t="s">
        <v>41</v>
      </c>
      <c r="M691" s="15" t="s">
        <v>252</v>
      </c>
      <c r="N691" s="15" t="s">
        <v>253</v>
      </c>
      <c r="O691" s="15" t="s">
        <v>44</v>
      </c>
      <c r="P691" s="15" t="s">
        <v>4777</v>
      </c>
      <c r="Q691" s="15" t="s">
        <v>4778</v>
      </c>
      <c r="R691" s="16">
        <v>44329</v>
      </c>
      <c r="S691" s="17" t="s">
        <v>2925</v>
      </c>
      <c r="T691" s="20">
        <f>HYPERLINK("https://vnm.spiral.com.vn//uploaded/20210513/1bfd3d2b-e471-4a11-8032-cb45bf12a41f.JPEG","16:01:02")</f>
      </c>
      <c r="U691" s="18"/>
      <c r="V691" s="18" t="s">
        <v>35</v>
      </c>
      <c r="W691" s="15" t="s">
        <v>4779</v>
      </c>
      <c r="X691" s="15" t="s">
        <v>35</v>
      </c>
      <c r="Y691" s="15" t="s">
        <v>35</v>
      </c>
      <c r="Z691" s="19">
        <v>0</v>
      </c>
      <c r="AA691" s="15">
        <v>0</v>
      </c>
      <c r="AB691" s="15" t="s">
        <v>35</v>
      </c>
    </row>
    <row r="692">
      <c r="A692" s="15">
        <v>688</v>
      </c>
      <c r="B692" s="15" t="s">
        <v>87</v>
      </c>
      <c r="C692" s="15" t="s">
        <v>88</v>
      </c>
      <c r="D692" s="15" t="s">
        <v>35</v>
      </c>
      <c r="E692" s="15" t="s">
        <v>35</v>
      </c>
      <c r="F692" s="15" t="s">
        <v>4780</v>
      </c>
      <c r="G692" s="15" t="s">
        <v>36</v>
      </c>
      <c r="H692" s="15" t="s">
        <v>4781</v>
      </c>
      <c r="I692" s="15" t="s">
        <v>4782</v>
      </c>
      <c r="J692" s="15" t="s">
        <v>4783</v>
      </c>
      <c r="K692" s="15" t="s">
        <v>40</v>
      </c>
      <c r="L692" s="15" t="s">
        <v>41</v>
      </c>
      <c r="M692" s="15" t="s">
        <v>810</v>
      </c>
      <c r="N692" s="15" t="s">
        <v>811</v>
      </c>
      <c r="O692" s="15" t="s">
        <v>44</v>
      </c>
      <c r="P692" s="15" t="s">
        <v>4784</v>
      </c>
      <c r="Q692" s="15" t="s">
        <v>4785</v>
      </c>
      <c r="R692" s="16">
        <v>44329</v>
      </c>
      <c r="S692" s="17" t="s">
        <v>2925</v>
      </c>
      <c r="T692" s="20">
        <f>HYPERLINK("https://vnm.spiral.com.vn//uploaded/20210513/d9743a8a-e878-4f88-aa59-8df6035c99aa.JPEG","16:01:00")</f>
      </c>
      <c r="U692" s="18"/>
      <c r="V692" s="18" t="s">
        <v>35</v>
      </c>
      <c r="W692" s="15" t="s">
        <v>4786</v>
      </c>
      <c r="X692" s="15" t="s">
        <v>35</v>
      </c>
      <c r="Y692" s="15" t="s">
        <v>35</v>
      </c>
      <c r="Z692" s="19">
        <v>0</v>
      </c>
      <c r="AA692" s="15">
        <v>0</v>
      </c>
      <c r="AB692" s="15" t="s">
        <v>35</v>
      </c>
    </row>
    <row r="693">
      <c r="A693" s="15">
        <v>689</v>
      </c>
      <c r="B693" s="15" t="s">
        <v>87</v>
      </c>
      <c r="C693" s="15" t="s">
        <v>88</v>
      </c>
      <c r="D693" s="15" t="s">
        <v>89</v>
      </c>
      <c r="E693" s="15" t="s">
        <v>90</v>
      </c>
      <c r="F693" s="15" t="s">
        <v>35</v>
      </c>
      <c r="G693" s="15" t="s">
        <v>74</v>
      </c>
      <c r="H693" s="15" t="s">
        <v>4787</v>
      </c>
      <c r="I693" s="15" t="s">
        <v>4788</v>
      </c>
      <c r="J693" s="15" t="s">
        <v>4789</v>
      </c>
      <c r="K693" s="15" t="s">
        <v>96</v>
      </c>
      <c r="L693" s="15" t="s">
        <v>97</v>
      </c>
      <c r="M693" s="15" t="s">
        <v>1288</v>
      </c>
      <c r="N693" s="15" t="s">
        <v>1289</v>
      </c>
      <c r="O693" s="15" t="s">
        <v>156</v>
      </c>
      <c r="P693" s="15" t="s">
        <v>4790</v>
      </c>
      <c r="Q693" s="15" t="s">
        <v>4791</v>
      </c>
      <c r="R693" s="16">
        <v>44329</v>
      </c>
      <c r="S693" s="17" t="s">
        <v>159</v>
      </c>
      <c r="T693" s="20">
        <f>HYPERLINK("https://vnm.spiral.com.vn//uploaded/20210513/2C5EA6E5-4BC4-47B8-B3CC-997BBC362360.jpg","06:49:02")</f>
      </c>
      <c r="U693" s="20">
        <f>HYPERLINK("https://vnm.spiral.com.vn//uploaded/20210513/D6BB8046-2D61-43EC-90FC-5DA207D38610.jpg","16:00:58")</f>
      </c>
      <c r="V693" s="18">
        <v>0.38328703703703704</v>
      </c>
      <c r="W693" s="15" t="s">
        <v>4792</v>
      </c>
      <c r="X693" s="15" t="s">
        <v>4793</v>
      </c>
      <c r="Y693" s="15" t="s">
        <v>35</v>
      </c>
      <c r="Z693" s="19">
        <v>0</v>
      </c>
      <c r="AA693" s="15">
        <v>0</v>
      </c>
      <c r="AB693" s="15" t="s">
        <v>35</v>
      </c>
    </row>
    <row r="694">
      <c r="A694" s="15">
        <v>690</v>
      </c>
      <c r="B694" s="15" t="s">
        <v>87</v>
      </c>
      <c r="C694" s="15" t="s">
        <v>88</v>
      </c>
      <c r="D694" s="15" t="s">
        <v>304</v>
      </c>
      <c r="E694" s="15" t="s">
        <v>305</v>
      </c>
      <c r="F694" s="15" t="s">
        <v>35</v>
      </c>
      <c r="G694" s="15" t="s">
        <v>74</v>
      </c>
      <c r="H694" s="15" t="s">
        <v>1614</v>
      </c>
      <c r="I694" s="15" t="s">
        <v>1615</v>
      </c>
      <c r="J694" s="15" t="s">
        <v>1616</v>
      </c>
      <c r="K694" s="15" t="s">
        <v>748</v>
      </c>
      <c r="L694" s="15" t="s">
        <v>749</v>
      </c>
      <c r="M694" s="15" t="s">
        <v>1617</v>
      </c>
      <c r="N694" s="15" t="s">
        <v>1618</v>
      </c>
      <c r="O694" s="15" t="s">
        <v>156</v>
      </c>
      <c r="P694" s="15" t="s">
        <v>4794</v>
      </c>
      <c r="Q694" s="15" t="s">
        <v>4795</v>
      </c>
      <c r="R694" s="16">
        <v>44329</v>
      </c>
      <c r="S694" s="17" t="s">
        <v>475</v>
      </c>
      <c r="T694" s="20">
        <f>HYPERLINK("https://vnm.spiral.com.vn//uploaded/20210513/a13304d8-139d-4046-8d79-bff90b93f694.jpg","07:55:50")</f>
      </c>
      <c r="U694" s="20">
        <f>HYPERLINK("https://vnm.spiral.com.vn//uploaded/20210513/2010f87d-0cf6-4c8b-aac3-d9e94cf5b18d.jpg","16:00:50")</f>
      </c>
      <c r="V694" s="18">
        <v>0.3368055555555556</v>
      </c>
      <c r="W694" s="15" t="s">
        <v>4796</v>
      </c>
      <c r="X694" s="15" t="s">
        <v>4797</v>
      </c>
      <c r="Y694" s="15" t="s">
        <v>35</v>
      </c>
      <c r="Z694" s="19">
        <v>0</v>
      </c>
      <c r="AA694" s="15">
        <v>0</v>
      </c>
      <c r="AB694" s="15" t="s">
        <v>35</v>
      </c>
    </row>
    <row r="695">
      <c r="A695" s="15">
        <v>691</v>
      </c>
      <c r="B695" s="15" t="s">
        <v>343</v>
      </c>
      <c r="C695" s="15" t="s">
        <v>4798</v>
      </c>
      <c r="D695" s="15" t="s">
        <v>357</v>
      </c>
      <c r="E695" s="15" t="s">
        <v>90</v>
      </c>
      <c r="F695" s="15" t="s">
        <v>35</v>
      </c>
      <c r="G695" s="15" t="s">
        <v>74</v>
      </c>
      <c r="H695" s="15" t="s">
        <v>4799</v>
      </c>
      <c r="I695" s="15" t="s">
        <v>4800</v>
      </c>
      <c r="J695" s="15" t="s">
        <v>4801</v>
      </c>
      <c r="K695" s="15" t="s">
        <v>1168</v>
      </c>
      <c r="L695" s="15" t="s">
        <v>1169</v>
      </c>
      <c r="M695" s="15" t="s">
        <v>1170</v>
      </c>
      <c r="N695" s="15" t="s">
        <v>1171</v>
      </c>
      <c r="O695" s="15" t="s">
        <v>82</v>
      </c>
      <c r="P695" s="15" t="s">
        <v>4802</v>
      </c>
      <c r="Q695" s="15" t="s">
        <v>4803</v>
      </c>
      <c r="R695" s="16">
        <v>44329</v>
      </c>
      <c r="S695" s="17" t="s">
        <v>70</v>
      </c>
      <c r="T695" s="20">
        <f>HYPERLINK("https://vnm.spiral.com.vn//uploaded/20210513/573a296a-4e09-4695-adcc-48701f263b80.JPEG","06:51:52")</f>
      </c>
      <c r="U695" s="20">
        <f>HYPERLINK("https://vnm.spiral.com.vn//uploaded/20210513/f8a6c7e4-0f79-45f9-9d3f-552249ad3539.JPEG","16:00:47")</f>
      </c>
      <c r="V695" s="18">
        <v>0.3811921296296296</v>
      </c>
      <c r="W695" s="15" t="s">
        <v>4804</v>
      </c>
      <c r="X695" s="15" t="s">
        <v>4805</v>
      </c>
      <c r="Y695" s="15" t="s">
        <v>35</v>
      </c>
      <c r="Z695" s="19">
        <v>0</v>
      </c>
      <c r="AA695" s="15">
        <v>0</v>
      </c>
      <c r="AB695" s="15" t="s">
        <v>35</v>
      </c>
    </row>
    <row r="696">
      <c r="A696" s="15">
        <v>692</v>
      </c>
      <c r="B696" s="15" t="s">
        <v>246</v>
      </c>
      <c r="C696" s="15" t="s">
        <v>259</v>
      </c>
      <c r="D696" s="15" t="s">
        <v>35</v>
      </c>
      <c r="E696" s="15" t="s">
        <v>35</v>
      </c>
      <c r="F696" s="15" t="s">
        <v>4355</v>
      </c>
      <c r="G696" s="15" t="s">
        <v>36</v>
      </c>
      <c r="H696" s="15" t="s">
        <v>4806</v>
      </c>
      <c r="I696" s="15" t="s">
        <v>4807</v>
      </c>
      <c r="J696" s="15" t="s">
        <v>4808</v>
      </c>
      <c r="K696" s="15" t="s">
        <v>40</v>
      </c>
      <c r="L696" s="15" t="s">
        <v>41</v>
      </c>
      <c r="M696" s="15" t="s">
        <v>252</v>
      </c>
      <c r="N696" s="15" t="s">
        <v>253</v>
      </c>
      <c r="O696" s="15" t="s">
        <v>44</v>
      </c>
      <c r="P696" s="15" t="s">
        <v>4809</v>
      </c>
      <c r="Q696" s="15" t="s">
        <v>4810</v>
      </c>
      <c r="R696" s="16">
        <v>44329</v>
      </c>
      <c r="S696" s="17" t="s">
        <v>4811</v>
      </c>
      <c r="T696" s="20">
        <f>HYPERLINK("https://vnm.spiral.com.vn//uploaded/20210513/dab8f63d-6397-490d-a643-4d22d4230b3c.JPEG","16:00:45")</f>
      </c>
      <c r="U696" s="18"/>
      <c r="V696" s="18" t="s">
        <v>35</v>
      </c>
      <c r="W696" s="15" t="s">
        <v>4812</v>
      </c>
      <c r="X696" s="15" t="s">
        <v>35</v>
      </c>
      <c r="Y696" s="15" t="s">
        <v>35</v>
      </c>
      <c r="Z696" s="19">
        <v>0</v>
      </c>
      <c r="AA696" s="15">
        <v>0</v>
      </c>
      <c r="AB696" s="15" t="s">
        <v>35</v>
      </c>
    </row>
    <row r="697">
      <c r="A697" s="15">
        <v>693</v>
      </c>
      <c r="B697" s="15" t="s">
        <v>343</v>
      </c>
      <c r="C697" s="15" t="s">
        <v>344</v>
      </c>
      <c r="D697" s="15" t="s">
        <v>878</v>
      </c>
      <c r="E697" s="15" t="s">
        <v>35</v>
      </c>
      <c r="F697" s="15" t="s">
        <v>35</v>
      </c>
      <c r="G697" s="15" t="s">
        <v>74</v>
      </c>
      <c r="H697" s="15" t="s">
        <v>4813</v>
      </c>
      <c r="I697" s="15" t="s">
        <v>4814</v>
      </c>
      <c r="J697" s="15" t="s">
        <v>4815</v>
      </c>
      <c r="K697" s="15" t="s">
        <v>540</v>
      </c>
      <c r="L697" s="15" t="s">
        <v>541</v>
      </c>
      <c r="M697" s="15" t="s">
        <v>584</v>
      </c>
      <c r="N697" s="15" t="s">
        <v>585</v>
      </c>
      <c r="O697" s="15" t="s">
        <v>98</v>
      </c>
      <c r="P697" s="15" t="s">
        <v>586</v>
      </c>
      <c r="Q697" s="15" t="s">
        <v>587</v>
      </c>
      <c r="R697" s="16">
        <v>44329</v>
      </c>
      <c r="S697" s="17" t="s">
        <v>35</v>
      </c>
      <c r="T697" s="20">
        <f>HYPERLINK("https://vnm.spiral.com.vn//uploaded/20210513/55F91BA2-78F9-4603-B2BF-B95058F39FAE.jpg","12:09:04")</f>
      </c>
      <c r="U697" s="20">
        <f>HYPERLINK("https://vnm.spiral.com.vn//uploaded/20210513/643441C2-A67F-4981-91D5-DA9D5F84C328.jpg","16:00:39")</f>
      </c>
      <c r="V697" s="18">
        <v>0.16082175925925926</v>
      </c>
      <c r="W697" s="15" t="s">
        <v>4816</v>
      </c>
      <c r="X697" s="15" t="s">
        <v>4816</v>
      </c>
      <c r="Y697" s="15" t="s">
        <v>35</v>
      </c>
      <c r="Z697" s="19">
        <v>0</v>
      </c>
      <c r="AA697" s="15">
        <v>0</v>
      </c>
      <c r="AB697" s="15" t="s">
        <v>35</v>
      </c>
    </row>
    <row r="698">
      <c r="A698" s="15">
        <v>694</v>
      </c>
      <c r="B698" s="15" t="s">
        <v>246</v>
      </c>
      <c r="C698" s="15" t="s">
        <v>259</v>
      </c>
      <c r="D698" s="15" t="s">
        <v>35</v>
      </c>
      <c r="E698" s="15" t="s">
        <v>35</v>
      </c>
      <c r="F698" s="15" t="s">
        <v>943</v>
      </c>
      <c r="G698" s="15" t="s">
        <v>36</v>
      </c>
      <c r="H698" s="15" t="s">
        <v>4817</v>
      </c>
      <c r="I698" s="15" t="s">
        <v>4818</v>
      </c>
      <c r="J698" s="15" t="s">
        <v>4819</v>
      </c>
      <c r="K698" s="15" t="s">
        <v>40</v>
      </c>
      <c r="L698" s="15" t="s">
        <v>41</v>
      </c>
      <c r="M698" s="15" t="s">
        <v>252</v>
      </c>
      <c r="N698" s="15" t="s">
        <v>253</v>
      </c>
      <c r="O698" s="15" t="s">
        <v>44</v>
      </c>
      <c r="P698" s="15" t="s">
        <v>4820</v>
      </c>
      <c r="Q698" s="15" t="s">
        <v>4821</v>
      </c>
      <c r="R698" s="16">
        <v>44329</v>
      </c>
      <c r="S698" s="17" t="s">
        <v>2925</v>
      </c>
      <c r="T698" s="20">
        <f>HYPERLINK("https://vnm.spiral.com.vn//uploaded/20210513/51ac40f7-e5c2-4855-a6f8-034b37e0165a.JPEG","16:00:38")</f>
      </c>
      <c r="U698" s="18"/>
      <c r="V698" s="18" t="s">
        <v>35</v>
      </c>
      <c r="W698" s="15" t="s">
        <v>4822</v>
      </c>
      <c r="X698" s="15" t="s">
        <v>35</v>
      </c>
      <c r="Y698" s="15" t="s">
        <v>35</v>
      </c>
      <c r="Z698" s="19">
        <v>0</v>
      </c>
      <c r="AA698" s="15">
        <v>0</v>
      </c>
      <c r="AB698" s="15" t="s">
        <v>35</v>
      </c>
    </row>
    <row r="699">
      <c r="A699" s="15">
        <v>695</v>
      </c>
      <c r="B699" s="15" t="s">
        <v>61</v>
      </c>
      <c r="C699" s="15" t="s">
        <v>303</v>
      </c>
      <c r="D699" s="15" t="s">
        <v>379</v>
      </c>
      <c r="E699" s="15" t="s">
        <v>35</v>
      </c>
      <c r="F699" s="15" t="s">
        <v>35</v>
      </c>
      <c r="G699" s="15" t="s">
        <v>74</v>
      </c>
      <c r="H699" s="15" t="s">
        <v>2029</v>
      </c>
      <c r="I699" s="15" t="s">
        <v>2030</v>
      </c>
      <c r="J699" s="15" t="s">
        <v>2031</v>
      </c>
      <c r="K699" s="15" t="s">
        <v>309</v>
      </c>
      <c r="L699" s="15" t="s">
        <v>310</v>
      </c>
      <c r="M699" s="15" t="s">
        <v>311</v>
      </c>
      <c r="N699" s="15" t="s">
        <v>312</v>
      </c>
      <c r="O699" s="15" t="s">
        <v>156</v>
      </c>
      <c r="P699" s="15" t="s">
        <v>4823</v>
      </c>
      <c r="Q699" s="15" t="s">
        <v>4824</v>
      </c>
      <c r="R699" s="16">
        <v>44329</v>
      </c>
      <c r="S699" s="17" t="s">
        <v>159</v>
      </c>
      <c r="T699" s="20">
        <f>HYPERLINK("https://vnm.spiral.com.vn//uploaded/20210513/A6109317-DB80-474F-A5A8-C6F7E40CAD35.jpg","06:28:03")</f>
      </c>
      <c r="U699" s="20">
        <f>HYPERLINK("https://vnm.spiral.com.vn//uploaded/20210513/DB78C510-A52C-40E6-9051-B7DD55007B30.jpg","16:00:35")</f>
      </c>
      <c r="V699" s="18">
        <v>0.3975925925925926</v>
      </c>
      <c r="W699" s="15" t="s">
        <v>4825</v>
      </c>
      <c r="X699" s="15" t="s">
        <v>4826</v>
      </c>
      <c r="Y699" s="15" t="s">
        <v>35</v>
      </c>
      <c r="Z699" s="19">
        <v>0</v>
      </c>
      <c r="AA699" s="15">
        <v>0</v>
      </c>
      <c r="AB699" s="15" t="s">
        <v>35</v>
      </c>
    </row>
    <row r="700">
      <c r="A700" s="15">
        <v>696</v>
      </c>
      <c r="B700" s="15" t="s">
        <v>246</v>
      </c>
      <c r="C700" s="15" t="s">
        <v>259</v>
      </c>
      <c r="D700" s="15" t="s">
        <v>35</v>
      </c>
      <c r="E700" s="15" t="s">
        <v>35</v>
      </c>
      <c r="F700" s="15" t="s">
        <v>943</v>
      </c>
      <c r="G700" s="15" t="s">
        <v>36</v>
      </c>
      <c r="H700" s="15" t="s">
        <v>4827</v>
      </c>
      <c r="I700" s="15" t="s">
        <v>4828</v>
      </c>
      <c r="J700" s="15" t="s">
        <v>4829</v>
      </c>
      <c r="K700" s="15" t="s">
        <v>40</v>
      </c>
      <c r="L700" s="15" t="s">
        <v>41</v>
      </c>
      <c r="M700" s="15" t="s">
        <v>252</v>
      </c>
      <c r="N700" s="15" t="s">
        <v>253</v>
      </c>
      <c r="O700" s="15" t="s">
        <v>44</v>
      </c>
      <c r="P700" s="15" t="s">
        <v>4830</v>
      </c>
      <c r="Q700" s="15" t="s">
        <v>4022</v>
      </c>
      <c r="R700" s="16">
        <v>44329</v>
      </c>
      <c r="S700" s="17" t="s">
        <v>4811</v>
      </c>
      <c r="T700" s="20">
        <f>HYPERLINK("https://vnm.spiral.com.vn//uploaded/20210513/EF83F842-09FA-41B1-98BA-FC0C544E24FB.jpg","16:00:32")</f>
      </c>
      <c r="U700" s="18"/>
      <c r="V700" s="18" t="s">
        <v>35</v>
      </c>
      <c r="W700" s="15" t="s">
        <v>4831</v>
      </c>
      <c r="X700" s="15" t="s">
        <v>35</v>
      </c>
      <c r="Y700" s="15" t="s">
        <v>35</v>
      </c>
      <c r="Z700" s="19">
        <v>0</v>
      </c>
      <c r="AA700" s="15">
        <v>0</v>
      </c>
      <c r="AB700" s="15" t="s">
        <v>35</v>
      </c>
    </row>
    <row r="701">
      <c r="A701" s="15">
        <v>697</v>
      </c>
      <c r="B701" s="15" t="s">
        <v>87</v>
      </c>
      <c r="C701" s="15" t="s">
        <v>88</v>
      </c>
      <c r="D701" s="15" t="s">
        <v>35</v>
      </c>
      <c r="E701" s="15" t="s">
        <v>35</v>
      </c>
      <c r="F701" s="15" t="s">
        <v>1191</v>
      </c>
      <c r="G701" s="15" t="s">
        <v>36</v>
      </c>
      <c r="H701" s="15" t="s">
        <v>4832</v>
      </c>
      <c r="I701" s="15" t="s">
        <v>1093</v>
      </c>
      <c r="J701" s="15" t="s">
        <v>4833</v>
      </c>
      <c r="K701" s="15" t="s">
        <v>40</v>
      </c>
      <c r="L701" s="15" t="s">
        <v>41</v>
      </c>
      <c r="M701" s="15" t="s">
        <v>1195</v>
      </c>
      <c r="N701" s="15" t="s">
        <v>1196</v>
      </c>
      <c r="O701" s="15" t="s">
        <v>44</v>
      </c>
      <c r="P701" s="15" t="s">
        <v>4834</v>
      </c>
      <c r="Q701" s="15" t="s">
        <v>4835</v>
      </c>
      <c r="R701" s="16">
        <v>44329</v>
      </c>
      <c r="S701" s="17" t="s">
        <v>475</v>
      </c>
      <c r="T701" s="20">
        <f>HYPERLINK("https://vnm.spiral.com.vn//uploaded/20210513/553ca22f-f493-4cb4-a528-07e6713e3252.JPEG","08:12:04")</f>
      </c>
      <c r="U701" s="20">
        <f>HYPERLINK("https://vnm.spiral.com.vn//uploaded/20210513/619dbed8-980e-4e7e-a6ea-208703275ec8.JPEG","16:00:28")</f>
      </c>
      <c r="V701" s="18">
        <v>0.3252777777777778</v>
      </c>
      <c r="W701" s="15" t="s">
        <v>4836</v>
      </c>
      <c r="X701" s="15" t="s">
        <v>4837</v>
      </c>
      <c r="Y701" s="15" t="s">
        <v>35</v>
      </c>
      <c r="Z701" s="19">
        <v>0</v>
      </c>
      <c r="AA701" s="15">
        <v>0</v>
      </c>
      <c r="AB701" s="15" t="s">
        <v>35</v>
      </c>
    </row>
    <row r="702">
      <c r="A702" s="15">
        <v>698</v>
      </c>
      <c r="B702" s="15" t="s">
        <v>61</v>
      </c>
      <c r="C702" s="15" t="s">
        <v>712</v>
      </c>
      <c r="D702" s="15" t="s">
        <v>35</v>
      </c>
      <c r="E702" s="15" t="s">
        <v>35</v>
      </c>
      <c r="F702" s="15" t="s">
        <v>35</v>
      </c>
      <c r="G702" s="15" t="s">
        <v>36</v>
      </c>
      <c r="H702" s="15" t="s">
        <v>4838</v>
      </c>
      <c r="I702" s="15" t="s">
        <v>4839</v>
      </c>
      <c r="J702" s="15" t="s">
        <v>4840</v>
      </c>
      <c r="K702" s="15" t="s">
        <v>40</v>
      </c>
      <c r="L702" s="15" t="s">
        <v>41</v>
      </c>
      <c r="M702" s="15" t="s">
        <v>205</v>
      </c>
      <c r="N702" s="15" t="s">
        <v>206</v>
      </c>
      <c r="O702" s="15" t="s">
        <v>44</v>
      </c>
      <c r="P702" s="15" t="s">
        <v>4841</v>
      </c>
      <c r="Q702" s="15" t="s">
        <v>4842</v>
      </c>
      <c r="R702" s="16">
        <v>44329</v>
      </c>
      <c r="S702" s="17" t="s">
        <v>1112</v>
      </c>
      <c r="T702" s="20">
        <f>HYPERLINK("https://vnm.spiral.com.vn//uploaded/20210513/B9466C16-36C3-432E-97EA-47AAEA59CA54.jpg","07:48:25")</f>
      </c>
      <c r="U702" s="20">
        <f>HYPERLINK("https://vnm.spiral.com.vn//uploaded/20210513/FAD9D471-1845-4599-8BE4-D66C804256CF.jpg","16:00:28")</f>
      </c>
      <c r="V702" s="18">
        <v>0.3417013888888889</v>
      </c>
      <c r="W702" s="15" t="s">
        <v>4843</v>
      </c>
      <c r="X702" s="15" t="s">
        <v>4844</v>
      </c>
      <c r="Y702" s="15" t="s">
        <v>35</v>
      </c>
      <c r="Z702" s="19">
        <v>0</v>
      </c>
      <c r="AA702" s="15">
        <v>0</v>
      </c>
      <c r="AB702" s="15" t="s">
        <v>35</v>
      </c>
    </row>
    <row r="703">
      <c r="A703" s="15">
        <v>699</v>
      </c>
      <c r="B703" s="15" t="s">
        <v>61</v>
      </c>
      <c r="C703" s="15" t="s">
        <v>1106</v>
      </c>
      <c r="D703" s="15" t="s">
        <v>35</v>
      </c>
      <c r="E703" s="15" t="s">
        <v>35</v>
      </c>
      <c r="F703" s="15" t="s">
        <v>35</v>
      </c>
      <c r="G703" s="15" t="s">
        <v>36</v>
      </c>
      <c r="H703" s="15" t="s">
        <v>4845</v>
      </c>
      <c r="I703" s="15" t="s">
        <v>4846</v>
      </c>
      <c r="J703" s="15" t="s">
        <v>4847</v>
      </c>
      <c r="K703" s="15" t="s">
        <v>40</v>
      </c>
      <c r="L703" s="15" t="s">
        <v>41</v>
      </c>
      <c r="M703" s="15" t="s">
        <v>66</v>
      </c>
      <c r="N703" s="15" t="s">
        <v>67</v>
      </c>
      <c r="O703" s="15" t="s">
        <v>44</v>
      </c>
      <c r="P703" s="15" t="s">
        <v>4848</v>
      </c>
      <c r="Q703" s="15" t="s">
        <v>4849</v>
      </c>
      <c r="R703" s="16">
        <v>44329</v>
      </c>
      <c r="S703" s="17" t="s">
        <v>2925</v>
      </c>
      <c r="T703" s="20">
        <f>HYPERLINK("https://vnm.spiral.com.vn//uploaded/20210513/7af130b4-eb84-4899-a624-8ae89426e223.JPEG","16:00:25")</f>
      </c>
      <c r="U703" s="18"/>
      <c r="V703" s="18" t="s">
        <v>35</v>
      </c>
      <c r="W703" s="15" t="s">
        <v>4850</v>
      </c>
      <c r="X703" s="15" t="s">
        <v>35</v>
      </c>
      <c r="Y703" s="15" t="s">
        <v>35</v>
      </c>
      <c r="Z703" s="19">
        <v>0</v>
      </c>
      <c r="AA703" s="15">
        <v>0</v>
      </c>
      <c r="AB703" s="15" t="s">
        <v>35</v>
      </c>
    </row>
    <row r="704">
      <c r="A704" s="15">
        <v>700</v>
      </c>
      <c r="B704" s="15" t="s">
        <v>33</v>
      </c>
      <c r="C704" s="15" t="s">
        <v>2883</v>
      </c>
      <c r="D704" s="15" t="s">
        <v>35</v>
      </c>
      <c r="E704" s="15" t="s">
        <v>35</v>
      </c>
      <c r="F704" s="15" t="s">
        <v>35</v>
      </c>
      <c r="G704" s="15" t="s">
        <v>74</v>
      </c>
      <c r="H704" s="15" t="s">
        <v>4851</v>
      </c>
      <c r="I704" s="15" t="s">
        <v>4852</v>
      </c>
      <c r="J704" s="15" t="s">
        <v>4853</v>
      </c>
      <c r="K704" s="15" t="s">
        <v>2887</v>
      </c>
      <c r="L704" s="15" t="s">
        <v>2888</v>
      </c>
      <c r="M704" s="15" t="s">
        <v>2889</v>
      </c>
      <c r="N704" s="15" t="s">
        <v>2890</v>
      </c>
      <c r="O704" s="15" t="s">
        <v>156</v>
      </c>
      <c r="P704" s="15" t="s">
        <v>4854</v>
      </c>
      <c r="Q704" s="15" t="s">
        <v>4855</v>
      </c>
      <c r="R704" s="16">
        <v>44329</v>
      </c>
      <c r="S704" s="17" t="s">
        <v>159</v>
      </c>
      <c r="T704" s="20">
        <f>HYPERLINK("https://vnm.spiral.com.vn//uploaded/20210513/b8020971-3bf6-4539-932e-6ccf4a0edba5.JPEG","06:17:37")</f>
      </c>
      <c r="U704" s="20">
        <f>HYPERLINK("https://vnm.spiral.com.vn//uploaded/20210513/e7a4c951-478a-4197-b43c-fe26ee63a3e9.JPEG","16:00:23")</f>
      </c>
      <c r="V704" s="18">
        <v>0.40469907407407407</v>
      </c>
      <c r="W704" s="15" t="s">
        <v>4856</v>
      </c>
      <c r="X704" s="15" t="s">
        <v>4857</v>
      </c>
      <c r="Y704" s="15" t="s">
        <v>35</v>
      </c>
      <c r="Z704" s="19">
        <v>0</v>
      </c>
      <c r="AA704" s="15">
        <v>0</v>
      </c>
      <c r="AB704" s="15" t="s">
        <v>35</v>
      </c>
    </row>
    <row r="705">
      <c r="A705" s="15">
        <v>701</v>
      </c>
      <c r="B705" s="15" t="s">
        <v>49</v>
      </c>
      <c r="C705" s="15" t="s">
        <v>162</v>
      </c>
      <c r="D705" s="15" t="s">
        <v>35</v>
      </c>
      <c r="E705" s="15" t="s">
        <v>35</v>
      </c>
      <c r="F705" s="15" t="s">
        <v>1850</v>
      </c>
      <c r="G705" s="15" t="s">
        <v>36</v>
      </c>
      <c r="H705" s="15" t="s">
        <v>4858</v>
      </c>
      <c r="I705" s="15" t="s">
        <v>4859</v>
      </c>
      <c r="J705" s="15" t="s">
        <v>4860</v>
      </c>
      <c r="K705" s="15" t="s">
        <v>40</v>
      </c>
      <c r="L705" s="15" t="s">
        <v>41</v>
      </c>
      <c r="M705" s="15" t="s">
        <v>55</v>
      </c>
      <c r="N705" s="15" t="s">
        <v>56</v>
      </c>
      <c r="O705" s="15" t="s">
        <v>44</v>
      </c>
      <c r="P705" s="15" t="s">
        <v>4861</v>
      </c>
      <c r="Q705" s="15" t="s">
        <v>4862</v>
      </c>
      <c r="R705" s="16">
        <v>44329</v>
      </c>
      <c r="S705" s="17" t="s">
        <v>475</v>
      </c>
      <c r="T705" s="20">
        <f>HYPERLINK("https://vnm.spiral.com.vn//uploaded/20210513/d00f820e-ecde-4e01-914b-b4d772bfa284.JPEG","08:03:45")</f>
      </c>
      <c r="U705" s="20">
        <f>HYPERLINK("https://vnm.spiral.com.vn//uploaded/20210513/c480cbe1-adda-49a9-8ffc-74a8e52ba507.JPEG","16:00:16")</f>
      </c>
      <c r="V705" s="18">
        <v>0.33091435185185186</v>
      </c>
      <c r="W705" s="15" t="s">
        <v>4863</v>
      </c>
      <c r="X705" s="15" t="s">
        <v>4864</v>
      </c>
      <c r="Y705" s="15" t="s">
        <v>35</v>
      </c>
      <c r="Z705" s="19">
        <v>0</v>
      </c>
      <c r="AA705" s="15">
        <v>0</v>
      </c>
      <c r="AB705" s="15" t="s">
        <v>35</v>
      </c>
    </row>
    <row r="706">
      <c r="A706" s="15">
        <v>702</v>
      </c>
      <c r="B706" s="15" t="s">
        <v>246</v>
      </c>
      <c r="C706" s="15" t="s">
        <v>259</v>
      </c>
      <c r="D706" s="15" t="s">
        <v>35</v>
      </c>
      <c r="E706" s="15" t="s">
        <v>35</v>
      </c>
      <c r="F706" s="15" t="s">
        <v>1352</v>
      </c>
      <c r="G706" s="15" t="s">
        <v>36</v>
      </c>
      <c r="H706" s="15" t="s">
        <v>4865</v>
      </c>
      <c r="I706" s="15" t="s">
        <v>4866</v>
      </c>
      <c r="J706" s="15" t="s">
        <v>4867</v>
      </c>
      <c r="K706" s="15" t="s">
        <v>40</v>
      </c>
      <c r="L706" s="15" t="s">
        <v>41</v>
      </c>
      <c r="M706" s="15" t="s">
        <v>252</v>
      </c>
      <c r="N706" s="15" t="s">
        <v>253</v>
      </c>
      <c r="O706" s="15" t="s">
        <v>44</v>
      </c>
      <c r="P706" s="15" t="s">
        <v>4868</v>
      </c>
      <c r="Q706" s="15" t="s">
        <v>4869</v>
      </c>
      <c r="R706" s="16">
        <v>44329</v>
      </c>
      <c r="S706" s="17" t="s">
        <v>2925</v>
      </c>
      <c r="T706" s="20">
        <f>HYPERLINK("https://vnm.spiral.com.vn//uploaded/20210513/EF5B8751-CF6D-45C7-AE5E-162535B4B2F8.jpg","16:00:13")</f>
      </c>
      <c r="U706" s="18"/>
      <c r="V706" s="18" t="s">
        <v>35</v>
      </c>
      <c r="W706" s="15" t="s">
        <v>4870</v>
      </c>
      <c r="X706" s="15" t="s">
        <v>35</v>
      </c>
      <c r="Y706" s="15" t="s">
        <v>35</v>
      </c>
      <c r="Z706" s="19">
        <v>0</v>
      </c>
      <c r="AA706" s="15">
        <v>0</v>
      </c>
      <c r="AB706" s="15" t="s">
        <v>35</v>
      </c>
    </row>
    <row r="707">
      <c r="A707" s="15">
        <v>703</v>
      </c>
      <c r="B707" s="15" t="s">
        <v>49</v>
      </c>
      <c r="C707" s="15" t="s">
        <v>1389</v>
      </c>
      <c r="D707" s="15" t="s">
        <v>35</v>
      </c>
      <c r="E707" s="15" t="s">
        <v>35</v>
      </c>
      <c r="F707" s="15" t="s">
        <v>4871</v>
      </c>
      <c r="G707" s="15" t="s">
        <v>36</v>
      </c>
      <c r="H707" s="15" t="s">
        <v>4872</v>
      </c>
      <c r="I707" s="15" t="s">
        <v>4873</v>
      </c>
      <c r="J707" s="15" t="s">
        <v>4874</v>
      </c>
      <c r="K707" s="15" t="s">
        <v>40</v>
      </c>
      <c r="L707" s="15" t="s">
        <v>41</v>
      </c>
      <c r="M707" s="15" t="s">
        <v>55</v>
      </c>
      <c r="N707" s="15" t="s">
        <v>56</v>
      </c>
      <c r="O707" s="15" t="s">
        <v>44</v>
      </c>
      <c r="P707" s="15" t="s">
        <v>4875</v>
      </c>
      <c r="Q707" s="15" t="s">
        <v>4876</v>
      </c>
      <c r="R707" s="16">
        <v>44329</v>
      </c>
      <c r="S707" s="17" t="s">
        <v>2925</v>
      </c>
      <c r="T707" s="20">
        <f>HYPERLINK("https://vnm.spiral.com.vn//uploaded/20210513/2449e0e8-cbf4-42ea-a4db-1f27fa242799.JPEG","16:00:09")</f>
      </c>
      <c r="U707" s="18"/>
      <c r="V707" s="18" t="s">
        <v>35</v>
      </c>
      <c r="W707" s="15" t="s">
        <v>4877</v>
      </c>
      <c r="X707" s="15" t="s">
        <v>35</v>
      </c>
      <c r="Y707" s="15" t="s">
        <v>35</v>
      </c>
      <c r="Z707" s="19">
        <v>0</v>
      </c>
      <c r="AA707" s="15">
        <v>0</v>
      </c>
      <c r="AB707" s="15" t="s">
        <v>35</v>
      </c>
    </row>
    <row r="708">
      <c r="A708" s="15">
        <v>704</v>
      </c>
      <c r="B708" s="15" t="s">
        <v>87</v>
      </c>
      <c r="C708" s="15" t="s">
        <v>88</v>
      </c>
      <c r="D708" s="15" t="s">
        <v>35</v>
      </c>
      <c r="E708" s="15" t="s">
        <v>35</v>
      </c>
      <c r="F708" s="15" t="s">
        <v>2789</v>
      </c>
      <c r="G708" s="15" t="s">
        <v>36</v>
      </c>
      <c r="H708" s="15" t="s">
        <v>4878</v>
      </c>
      <c r="I708" s="15" t="s">
        <v>3867</v>
      </c>
      <c r="J708" s="15" t="s">
        <v>4879</v>
      </c>
      <c r="K708" s="15" t="s">
        <v>40</v>
      </c>
      <c r="L708" s="15" t="s">
        <v>41</v>
      </c>
      <c r="M708" s="15" t="s">
        <v>289</v>
      </c>
      <c r="N708" s="15" t="s">
        <v>290</v>
      </c>
      <c r="O708" s="15" t="s">
        <v>44</v>
      </c>
      <c r="P708" s="15" t="s">
        <v>4880</v>
      </c>
      <c r="Q708" s="15" t="s">
        <v>4881</v>
      </c>
      <c r="R708" s="16">
        <v>44329</v>
      </c>
      <c r="S708" s="17" t="s">
        <v>2925</v>
      </c>
      <c r="T708" s="20">
        <f>HYPERLINK("https://vnm.spiral.com.vn//uploaded/20210513/711d946b-157b-4351-8470-68285be7ea7b.JPEG","16:00:04")</f>
      </c>
      <c r="U708" s="18"/>
      <c r="V708" s="18" t="s">
        <v>35</v>
      </c>
      <c r="W708" s="15" t="s">
        <v>4882</v>
      </c>
      <c r="X708" s="15" t="s">
        <v>35</v>
      </c>
      <c r="Y708" s="15" t="s">
        <v>35</v>
      </c>
      <c r="Z708" s="19">
        <v>0</v>
      </c>
      <c r="AA708" s="15">
        <v>0</v>
      </c>
      <c r="AB708" s="15" t="s">
        <v>35</v>
      </c>
    </row>
    <row r="709">
      <c r="A709" s="15">
        <v>705</v>
      </c>
      <c r="B709" s="15" t="s">
        <v>103</v>
      </c>
      <c r="C709" s="15" t="s">
        <v>186</v>
      </c>
      <c r="D709" s="15" t="s">
        <v>35</v>
      </c>
      <c r="E709" s="15" t="s">
        <v>35</v>
      </c>
      <c r="F709" s="15" t="s">
        <v>4402</v>
      </c>
      <c r="G709" s="15" t="s">
        <v>36</v>
      </c>
      <c r="H709" s="15" t="s">
        <v>4883</v>
      </c>
      <c r="I709" s="15" t="s">
        <v>4884</v>
      </c>
      <c r="J709" s="15" t="s">
        <v>4885</v>
      </c>
      <c r="K709" s="15" t="s">
        <v>40</v>
      </c>
      <c r="L709" s="15" t="s">
        <v>41</v>
      </c>
      <c r="M709" s="15" t="s">
        <v>565</v>
      </c>
      <c r="N709" s="15" t="s">
        <v>566</v>
      </c>
      <c r="O709" s="15" t="s">
        <v>44</v>
      </c>
      <c r="P709" s="15" t="s">
        <v>4886</v>
      </c>
      <c r="Q709" s="15" t="s">
        <v>4887</v>
      </c>
      <c r="R709" s="16">
        <v>44329</v>
      </c>
      <c r="S709" s="17" t="s">
        <v>2925</v>
      </c>
      <c r="T709" s="20">
        <f>HYPERLINK("https://vnm.spiral.com.vn//uploaded/20210513/7F2D0349-6D91-4264-A2D6-67139DA57CC8.jpg","15:59:53")</f>
      </c>
      <c r="U709" s="18"/>
      <c r="V709" s="18" t="s">
        <v>35</v>
      </c>
      <c r="W709" s="15" t="s">
        <v>4888</v>
      </c>
      <c r="X709" s="15" t="s">
        <v>35</v>
      </c>
      <c r="Y709" s="15" t="s">
        <v>35</v>
      </c>
      <c r="Z709" s="19">
        <v>0</v>
      </c>
      <c r="AA709" s="15">
        <v>0</v>
      </c>
      <c r="AB709" s="15" t="s">
        <v>35</v>
      </c>
    </row>
    <row r="710">
      <c r="A710" s="15">
        <v>706</v>
      </c>
      <c r="B710" s="15" t="s">
        <v>87</v>
      </c>
      <c r="C710" s="15" t="s">
        <v>88</v>
      </c>
      <c r="D710" s="15" t="s">
        <v>35</v>
      </c>
      <c r="E710" s="15" t="s">
        <v>35</v>
      </c>
      <c r="F710" s="15" t="s">
        <v>35</v>
      </c>
      <c r="G710" s="15" t="s">
        <v>36</v>
      </c>
      <c r="H710" s="15" t="s">
        <v>4889</v>
      </c>
      <c r="I710" s="15" t="s">
        <v>4890</v>
      </c>
      <c r="J710" s="15" t="s">
        <v>4891</v>
      </c>
      <c r="K710" s="15" t="s">
        <v>40</v>
      </c>
      <c r="L710" s="15" t="s">
        <v>41</v>
      </c>
      <c r="M710" s="15" t="s">
        <v>289</v>
      </c>
      <c r="N710" s="15" t="s">
        <v>290</v>
      </c>
      <c r="O710" s="15" t="s">
        <v>44</v>
      </c>
      <c r="P710" s="15" t="s">
        <v>4892</v>
      </c>
      <c r="Q710" s="15" t="s">
        <v>4893</v>
      </c>
      <c r="R710" s="16">
        <v>44329</v>
      </c>
      <c r="S710" s="17" t="s">
        <v>475</v>
      </c>
      <c r="T710" s="20">
        <f>HYPERLINK("https://vnm.spiral.com.vn//uploaded/20210513/403E6215-3F48-4C89-87BD-22B0C296386A.jpg","07:49:05")</f>
      </c>
      <c r="U710" s="20">
        <f>HYPERLINK("https://vnm.spiral.com.vn//uploaded/20210513/EDDA0C86-E74C-4936-9E5B-C55E275208B0.jpg","15:59:53")</f>
      </c>
      <c r="V710" s="18">
        <v>0.3408333333333333</v>
      </c>
      <c r="W710" s="15" t="s">
        <v>4894</v>
      </c>
      <c r="X710" s="15" t="s">
        <v>4895</v>
      </c>
      <c r="Y710" s="15" t="s">
        <v>35</v>
      </c>
      <c r="Z710" s="19">
        <v>0</v>
      </c>
      <c r="AA710" s="15">
        <v>0</v>
      </c>
      <c r="AB710" s="15" t="s">
        <v>35</v>
      </c>
    </row>
    <row r="711">
      <c r="A711" s="15">
        <v>707</v>
      </c>
      <c r="B711" s="15" t="s">
        <v>103</v>
      </c>
      <c r="C711" s="15" t="s">
        <v>186</v>
      </c>
      <c r="D711" s="15" t="s">
        <v>89</v>
      </c>
      <c r="E711" s="15" t="s">
        <v>90</v>
      </c>
      <c r="F711" s="15" t="s">
        <v>35</v>
      </c>
      <c r="G711" s="15" t="s">
        <v>74</v>
      </c>
      <c r="H711" s="15" t="s">
        <v>4896</v>
      </c>
      <c r="I711" s="15" t="s">
        <v>4897</v>
      </c>
      <c r="J711" s="15" t="s">
        <v>4898</v>
      </c>
      <c r="K711" s="15" t="s">
        <v>190</v>
      </c>
      <c r="L711" s="15" t="s">
        <v>191</v>
      </c>
      <c r="M711" s="15" t="s">
        <v>178</v>
      </c>
      <c r="N711" s="15" t="s">
        <v>179</v>
      </c>
      <c r="O711" s="15" t="s">
        <v>98</v>
      </c>
      <c r="P711" s="15" t="s">
        <v>2120</v>
      </c>
      <c r="Q711" s="15" t="s">
        <v>2121</v>
      </c>
      <c r="R711" s="16">
        <v>44329</v>
      </c>
      <c r="S711" s="17" t="s">
        <v>70</v>
      </c>
      <c r="T711" s="20">
        <f>HYPERLINK("https://vnm.spiral.com.vn//uploaded/20210513/69315557-E290-4471-B726-BB5AE062A4C0.jpg","08:50:19")</f>
      </c>
      <c r="U711" s="20">
        <f>HYPERLINK("https://vnm.spiral.com.vn//uploaded/20210513/2FD01CCD-9833-4703-A76B-2E2948C95B92.jpg","15:59:51")</f>
      </c>
      <c r="V711" s="18">
        <v>0.298287037037037</v>
      </c>
      <c r="W711" s="15" t="s">
        <v>4899</v>
      </c>
      <c r="X711" s="15" t="s">
        <v>4900</v>
      </c>
      <c r="Y711" s="15" t="s">
        <v>35</v>
      </c>
      <c r="Z711" s="19">
        <v>0</v>
      </c>
      <c r="AA711" s="15">
        <v>0</v>
      </c>
      <c r="AB711" s="15" t="s">
        <v>35</v>
      </c>
    </row>
    <row r="712">
      <c r="A712" s="15">
        <v>708</v>
      </c>
      <c r="B712" s="15" t="s">
        <v>61</v>
      </c>
      <c r="C712" s="15" t="s">
        <v>320</v>
      </c>
      <c r="D712" s="15" t="s">
        <v>35</v>
      </c>
      <c r="E712" s="15" t="s">
        <v>35</v>
      </c>
      <c r="F712" s="15" t="s">
        <v>35</v>
      </c>
      <c r="G712" s="15" t="s">
        <v>36</v>
      </c>
      <c r="H712" s="15" t="s">
        <v>4901</v>
      </c>
      <c r="I712" s="15" t="s">
        <v>4902</v>
      </c>
      <c r="J712" s="15" t="s">
        <v>4903</v>
      </c>
      <c r="K712" s="15" t="s">
        <v>40</v>
      </c>
      <c r="L712" s="15" t="s">
        <v>41</v>
      </c>
      <c r="M712" s="15" t="s">
        <v>205</v>
      </c>
      <c r="N712" s="15" t="s">
        <v>206</v>
      </c>
      <c r="O712" s="15" t="s">
        <v>44</v>
      </c>
      <c r="P712" s="15" t="s">
        <v>4904</v>
      </c>
      <c r="Q712" s="15" t="s">
        <v>4905</v>
      </c>
      <c r="R712" s="16">
        <v>44329</v>
      </c>
      <c r="S712" s="17" t="s">
        <v>4811</v>
      </c>
      <c r="T712" s="20">
        <f>HYPERLINK("https://vnm.spiral.com.vn//uploaded/20210513/a8f1487d-f699-4f9b-afc7-99322fab6c14.JPEG","15:59:45")</f>
      </c>
      <c r="U712" s="18"/>
      <c r="V712" s="18" t="s">
        <v>35</v>
      </c>
      <c r="W712" s="15" t="s">
        <v>4906</v>
      </c>
      <c r="X712" s="15" t="s">
        <v>35</v>
      </c>
      <c r="Y712" s="15" t="s">
        <v>35</v>
      </c>
      <c r="Z712" s="19">
        <v>0</v>
      </c>
      <c r="AA712" s="15">
        <v>0</v>
      </c>
      <c r="AB712" s="15" t="s">
        <v>35</v>
      </c>
    </row>
    <row r="713">
      <c r="A713" s="15">
        <v>709</v>
      </c>
      <c r="B713" s="15" t="s">
        <v>103</v>
      </c>
      <c r="C713" s="15" t="s">
        <v>186</v>
      </c>
      <c r="D713" s="15" t="s">
        <v>35</v>
      </c>
      <c r="E713" s="15" t="s">
        <v>35</v>
      </c>
      <c r="F713" s="15" t="s">
        <v>35</v>
      </c>
      <c r="G713" s="15" t="s">
        <v>36</v>
      </c>
      <c r="H713" s="15" t="s">
        <v>4907</v>
      </c>
      <c r="I713" s="15" t="s">
        <v>4908</v>
      </c>
      <c r="J713" s="15" t="s">
        <v>4909</v>
      </c>
      <c r="K713" s="15" t="s">
        <v>40</v>
      </c>
      <c r="L713" s="15" t="s">
        <v>41</v>
      </c>
      <c r="M713" s="15" t="s">
        <v>565</v>
      </c>
      <c r="N713" s="15" t="s">
        <v>566</v>
      </c>
      <c r="O713" s="15" t="s">
        <v>44</v>
      </c>
      <c r="P713" s="15" t="s">
        <v>4910</v>
      </c>
      <c r="Q713" s="15" t="s">
        <v>4911</v>
      </c>
      <c r="R713" s="16">
        <v>44329</v>
      </c>
      <c r="S713" s="17" t="s">
        <v>4912</v>
      </c>
      <c r="T713" s="20">
        <f>HYPERLINK("https://vnm.spiral.com.vn//uploaded/20210513/97be74fd-6957-4087-a369-5cef4112880e.JPEG","15:59:42")</f>
      </c>
      <c r="U713" s="18"/>
      <c r="V713" s="18" t="s">
        <v>35</v>
      </c>
      <c r="W713" s="15" t="s">
        <v>4913</v>
      </c>
      <c r="X713" s="15" t="s">
        <v>35</v>
      </c>
      <c r="Y713" s="15" t="s">
        <v>35</v>
      </c>
      <c r="Z713" s="19">
        <v>0</v>
      </c>
      <c r="AA713" s="15">
        <v>0</v>
      </c>
      <c r="AB713" s="15" t="s">
        <v>35</v>
      </c>
    </row>
    <row r="714">
      <c r="A714" s="15">
        <v>710</v>
      </c>
      <c r="B714" s="15" t="s">
        <v>49</v>
      </c>
      <c r="C714" s="15" t="s">
        <v>162</v>
      </c>
      <c r="D714" s="15" t="s">
        <v>148</v>
      </c>
      <c r="E714" s="15" t="s">
        <v>90</v>
      </c>
      <c r="F714" s="15" t="s">
        <v>35</v>
      </c>
      <c r="G714" s="15" t="s">
        <v>74</v>
      </c>
      <c r="H714" s="15" t="s">
        <v>4914</v>
      </c>
      <c r="I714" s="15" t="s">
        <v>4915</v>
      </c>
      <c r="J714" s="15" t="s">
        <v>4916</v>
      </c>
      <c r="K714" s="15" t="s">
        <v>1861</v>
      </c>
      <c r="L714" s="15" t="s">
        <v>1862</v>
      </c>
      <c r="M714" s="15" t="s">
        <v>1863</v>
      </c>
      <c r="N714" s="15" t="s">
        <v>1864</v>
      </c>
      <c r="O714" s="15" t="s">
        <v>82</v>
      </c>
      <c r="P714" s="15" t="s">
        <v>1865</v>
      </c>
      <c r="Q714" s="15" t="s">
        <v>1866</v>
      </c>
      <c r="R714" s="16">
        <v>44329</v>
      </c>
      <c r="S714" s="17" t="s">
        <v>70</v>
      </c>
      <c r="T714" s="20">
        <f>HYPERLINK("https://vnm.spiral.com.vn//uploaded/20210513/EAF62533-464D-4AE8-AC01-43B8640D1599.jpg","15:49:34")</f>
      </c>
      <c r="U714" s="20">
        <f>HYPERLINK("https://vnm.spiral.com.vn//uploaded/20210513/9825A773-7344-4377-96ED-6F3E0AE2FB12.jpg","15:59:35")</f>
      </c>
      <c r="V714" s="18">
        <v>0.0069560185185185185</v>
      </c>
      <c r="W714" s="15" t="s">
        <v>4917</v>
      </c>
      <c r="X714" s="15" t="s">
        <v>4918</v>
      </c>
      <c r="Y714" s="15" t="s">
        <v>35</v>
      </c>
      <c r="Z714" s="19">
        <v>0</v>
      </c>
      <c r="AA714" s="15">
        <v>0</v>
      </c>
      <c r="AB714" s="15" t="s">
        <v>35</v>
      </c>
    </row>
    <row r="715">
      <c r="A715" s="15">
        <v>711</v>
      </c>
      <c r="B715" s="15" t="s">
        <v>49</v>
      </c>
      <c r="C715" s="15" t="s">
        <v>369</v>
      </c>
      <c r="D715" s="15" t="s">
        <v>35</v>
      </c>
      <c r="E715" s="15" t="s">
        <v>35</v>
      </c>
      <c r="F715" s="15" t="s">
        <v>370</v>
      </c>
      <c r="G715" s="15" t="s">
        <v>36</v>
      </c>
      <c r="H715" s="15" t="s">
        <v>4919</v>
      </c>
      <c r="I715" s="15" t="s">
        <v>471</v>
      </c>
      <c r="J715" s="15" t="s">
        <v>4920</v>
      </c>
      <c r="K715" s="15" t="s">
        <v>40</v>
      </c>
      <c r="L715" s="15" t="s">
        <v>41</v>
      </c>
      <c r="M715" s="15" t="s">
        <v>55</v>
      </c>
      <c r="N715" s="15" t="s">
        <v>56</v>
      </c>
      <c r="O715" s="15" t="s">
        <v>44</v>
      </c>
      <c r="P715" s="15" t="s">
        <v>4921</v>
      </c>
      <c r="Q715" s="15" t="s">
        <v>4922</v>
      </c>
      <c r="R715" s="16">
        <v>44329</v>
      </c>
      <c r="S715" s="17" t="s">
        <v>2925</v>
      </c>
      <c r="T715" s="20">
        <f>HYPERLINK("https://vnm.spiral.com.vn//uploaded/20210513/483D6D66-C44E-4252-8C10-50680B762D2C.jpg","15:59:25")</f>
      </c>
      <c r="U715" s="18"/>
      <c r="V715" s="18" t="s">
        <v>35</v>
      </c>
      <c r="W715" s="15" t="s">
        <v>4923</v>
      </c>
      <c r="X715" s="15" t="s">
        <v>35</v>
      </c>
      <c r="Y715" s="15" t="s">
        <v>35</v>
      </c>
      <c r="Z715" s="19">
        <v>0</v>
      </c>
      <c r="AA715" s="15">
        <v>0</v>
      </c>
      <c r="AB715" s="15" t="s">
        <v>35</v>
      </c>
    </row>
    <row r="716">
      <c r="A716" s="15">
        <v>712</v>
      </c>
      <c r="B716" s="15" t="s">
        <v>87</v>
      </c>
      <c r="C716" s="15" t="s">
        <v>88</v>
      </c>
      <c r="D716" s="15" t="s">
        <v>35</v>
      </c>
      <c r="E716" s="15" t="s">
        <v>35</v>
      </c>
      <c r="F716" s="15" t="s">
        <v>2077</v>
      </c>
      <c r="G716" s="15" t="s">
        <v>36</v>
      </c>
      <c r="H716" s="15" t="s">
        <v>4924</v>
      </c>
      <c r="I716" s="15" t="s">
        <v>4925</v>
      </c>
      <c r="J716" s="15" t="s">
        <v>4926</v>
      </c>
      <c r="K716" s="15" t="s">
        <v>40</v>
      </c>
      <c r="L716" s="15" t="s">
        <v>41</v>
      </c>
      <c r="M716" s="15" t="s">
        <v>289</v>
      </c>
      <c r="N716" s="15" t="s">
        <v>290</v>
      </c>
      <c r="O716" s="15" t="s">
        <v>44</v>
      </c>
      <c r="P716" s="15" t="s">
        <v>4927</v>
      </c>
      <c r="Q716" s="15" t="s">
        <v>4928</v>
      </c>
      <c r="R716" s="16">
        <v>44329</v>
      </c>
      <c r="S716" s="17" t="s">
        <v>2925</v>
      </c>
      <c r="T716" s="20">
        <f>HYPERLINK("https://vnm.spiral.com.vn//uploaded/20210513/c8370e73-8e4b-4ff0-a5c3-bd5ac2282206.JPEG","15:59:12")</f>
      </c>
      <c r="U716" s="18"/>
      <c r="V716" s="18" t="s">
        <v>35</v>
      </c>
      <c r="W716" s="15" t="s">
        <v>4929</v>
      </c>
      <c r="X716" s="15" t="s">
        <v>35</v>
      </c>
      <c r="Y716" s="15" t="s">
        <v>35</v>
      </c>
      <c r="Z716" s="19">
        <v>0</v>
      </c>
      <c r="AA716" s="15">
        <v>0</v>
      </c>
      <c r="AB716" s="15" t="s">
        <v>35</v>
      </c>
    </row>
    <row r="717">
      <c r="A717" s="15">
        <v>713</v>
      </c>
      <c r="B717" s="15" t="s">
        <v>343</v>
      </c>
      <c r="C717" s="15" t="s">
        <v>344</v>
      </c>
      <c r="D717" s="15" t="s">
        <v>35</v>
      </c>
      <c r="E717" s="15" t="s">
        <v>35</v>
      </c>
      <c r="F717" s="15" t="s">
        <v>35</v>
      </c>
      <c r="G717" s="15" t="s">
        <v>36</v>
      </c>
      <c r="H717" s="15" t="s">
        <v>4930</v>
      </c>
      <c r="I717" s="15" t="s">
        <v>4931</v>
      </c>
      <c r="J717" s="15" t="s">
        <v>4932</v>
      </c>
      <c r="K717" s="15" t="s">
        <v>40</v>
      </c>
      <c r="L717" s="15" t="s">
        <v>41</v>
      </c>
      <c r="M717" s="15" t="s">
        <v>409</v>
      </c>
      <c r="N717" s="15" t="s">
        <v>410</v>
      </c>
      <c r="O717" s="15" t="s">
        <v>44</v>
      </c>
      <c r="P717" s="15" t="s">
        <v>4933</v>
      </c>
      <c r="Q717" s="15" t="s">
        <v>4934</v>
      </c>
      <c r="R717" s="16">
        <v>44329</v>
      </c>
      <c r="S717" s="17" t="s">
        <v>4811</v>
      </c>
      <c r="T717" s="20">
        <f>HYPERLINK("https://vnm.spiral.com.vn//uploaded/20210513/B39FA4C8-9D1B-4D6A-8C1B-07AFA35143F0.jpg","15:59:09")</f>
      </c>
      <c r="U717" s="18"/>
      <c r="V717" s="18" t="s">
        <v>35</v>
      </c>
      <c r="W717" s="15" t="s">
        <v>4935</v>
      </c>
      <c r="X717" s="15" t="s">
        <v>35</v>
      </c>
      <c r="Y717" s="15" t="s">
        <v>35</v>
      </c>
      <c r="Z717" s="19">
        <v>0</v>
      </c>
      <c r="AA717" s="15">
        <v>0</v>
      </c>
      <c r="AB717" s="15" t="s">
        <v>35</v>
      </c>
    </row>
    <row r="718">
      <c r="A718" s="15">
        <v>714</v>
      </c>
      <c r="B718" s="15" t="s">
        <v>61</v>
      </c>
      <c r="C718" s="15" t="s">
        <v>303</v>
      </c>
      <c r="D718" s="15" t="s">
        <v>35</v>
      </c>
      <c r="E718" s="15" t="s">
        <v>35</v>
      </c>
      <c r="F718" s="15" t="s">
        <v>35</v>
      </c>
      <c r="G718" s="15" t="s">
        <v>36</v>
      </c>
      <c r="H718" s="15" t="s">
        <v>4936</v>
      </c>
      <c r="I718" s="15" t="s">
        <v>4937</v>
      </c>
      <c r="J718" s="15" t="s">
        <v>4938</v>
      </c>
      <c r="K718" s="15" t="s">
        <v>40</v>
      </c>
      <c r="L718" s="15" t="s">
        <v>41</v>
      </c>
      <c r="M718" s="15" t="s">
        <v>205</v>
      </c>
      <c r="N718" s="15" t="s">
        <v>206</v>
      </c>
      <c r="O718" s="15" t="s">
        <v>44</v>
      </c>
      <c r="P718" s="15" t="s">
        <v>4939</v>
      </c>
      <c r="Q718" s="15" t="s">
        <v>4940</v>
      </c>
      <c r="R718" s="16">
        <v>44329</v>
      </c>
      <c r="S718" s="17" t="s">
        <v>273</v>
      </c>
      <c r="T718" s="20">
        <f>HYPERLINK("https://vnm.spiral.com.vn//uploaded/20210513/5EECDC71-3C4A-4B9A-9C05-20B429F1E8A7.jpg","07:36:45")</f>
      </c>
      <c r="U718" s="20">
        <f>HYPERLINK("https://vnm.spiral.com.vn//uploaded/20210513/7D16EF37-7203-437F-B170-51FB6D0BC0B8.jpg","15:59:08")</f>
      </c>
      <c r="V718" s="18">
        <v>0.3488773148148148</v>
      </c>
      <c r="W718" s="15" t="s">
        <v>4941</v>
      </c>
      <c r="X718" s="15" t="s">
        <v>4942</v>
      </c>
      <c r="Y718" s="15" t="s">
        <v>35</v>
      </c>
      <c r="Z718" s="19">
        <v>0</v>
      </c>
      <c r="AA718" s="15">
        <v>0</v>
      </c>
      <c r="AB718" s="15" t="s">
        <v>35</v>
      </c>
    </row>
    <row r="719">
      <c r="A719" s="15">
        <v>715</v>
      </c>
      <c r="B719" s="15" t="s">
        <v>87</v>
      </c>
      <c r="C719" s="15" t="s">
        <v>88</v>
      </c>
      <c r="D719" s="15" t="s">
        <v>35</v>
      </c>
      <c r="E719" s="15" t="s">
        <v>35</v>
      </c>
      <c r="F719" s="15" t="s">
        <v>2077</v>
      </c>
      <c r="G719" s="15" t="s">
        <v>36</v>
      </c>
      <c r="H719" s="15" t="s">
        <v>4943</v>
      </c>
      <c r="I719" s="15" t="s">
        <v>4944</v>
      </c>
      <c r="J719" s="15" t="s">
        <v>4945</v>
      </c>
      <c r="K719" s="15" t="s">
        <v>40</v>
      </c>
      <c r="L719" s="15" t="s">
        <v>41</v>
      </c>
      <c r="M719" s="15" t="s">
        <v>289</v>
      </c>
      <c r="N719" s="15" t="s">
        <v>290</v>
      </c>
      <c r="O719" s="15" t="s">
        <v>44</v>
      </c>
      <c r="P719" s="15" t="s">
        <v>4946</v>
      </c>
      <c r="Q719" s="15" t="s">
        <v>4947</v>
      </c>
      <c r="R719" s="16">
        <v>44329</v>
      </c>
      <c r="S719" s="17" t="s">
        <v>2925</v>
      </c>
      <c r="T719" s="20">
        <f>HYPERLINK("https://vnm.spiral.com.vn//uploaded/20210513/C97A527C-CA08-448B-85F1-A37A8AA8CBBA.jpg","15:58:46")</f>
      </c>
      <c r="U719" s="18"/>
      <c r="V719" s="18" t="s">
        <v>35</v>
      </c>
      <c r="W719" s="15" t="s">
        <v>4948</v>
      </c>
      <c r="X719" s="15" t="s">
        <v>35</v>
      </c>
      <c r="Y719" s="15" t="s">
        <v>35</v>
      </c>
      <c r="Z719" s="19">
        <v>0</v>
      </c>
      <c r="AA719" s="15">
        <v>0</v>
      </c>
      <c r="AB719" s="15" t="s">
        <v>35</v>
      </c>
    </row>
    <row r="720">
      <c r="A720" s="15">
        <v>716</v>
      </c>
      <c r="B720" s="15" t="s">
        <v>87</v>
      </c>
      <c r="C720" s="15" t="s">
        <v>88</v>
      </c>
      <c r="D720" s="15" t="s">
        <v>35</v>
      </c>
      <c r="E720" s="15" t="s">
        <v>35</v>
      </c>
      <c r="F720" s="15" t="s">
        <v>35</v>
      </c>
      <c r="G720" s="15" t="s">
        <v>35</v>
      </c>
      <c r="H720" s="15" t="s">
        <v>4949</v>
      </c>
      <c r="I720" s="15" t="s">
        <v>4950</v>
      </c>
      <c r="J720" s="15" t="s">
        <v>4951</v>
      </c>
      <c r="K720" s="15" t="s">
        <v>40</v>
      </c>
      <c r="L720" s="15" t="s">
        <v>41</v>
      </c>
      <c r="M720" s="15" t="s">
        <v>810</v>
      </c>
      <c r="N720" s="15" t="s">
        <v>811</v>
      </c>
      <c r="O720" s="15" t="s">
        <v>44</v>
      </c>
      <c r="P720" s="15" t="s">
        <v>4952</v>
      </c>
      <c r="Q720" s="15" t="s">
        <v>4953</v>
      </c>
      <c r="R720" s="16">
        <v>44329</v>
      </c>
      <c r="S720" s="17" t="s">
        <v>2925</v>
      </c>
      <c r="T720" s="20">
        <f>HYPERLINK("https://vnm.spiral.com.vn//uploaded/20210513/4AA4E27B-1D7A-472A-9151-915C56F32DC8.jpg","15:58:32")</f>
      </c>
      <c r="U720" s="18"/>
      <c r="V720" s="18" t="s">
        <v>35</v>
      </c>
      <c r="W720" s="15" t="s">
        <v>4954</v>
      </c>
      <c r="X720" s="15" t="s">
        <v>35</v>
      </c>
      <c r="Y720" s="15" t="s">
        <v>35</v>
      </c>
      <c r="Z720" s="19">
        <v>0</v>
      </c>
      <c r="AA720" s="15">
        <v>0</v>
      </c>
      <c r="AB720" s="15" t="s">
        <v>35</v>
      </c>
    </row>
    <row r="721">
      <c r="A721" s="15">
        <v>717</v>
      </c>
      <c r="B721" s="15" t="s">
        <v>87</v>
      </c>
      <c r="C721" s="15" t="s">
        <v>88</v>
      </c>
      <c r="D721" s="15" t="s">
        <v>610</v>
      </c>
      <c r="E721" s="15" t="s">
        <v>90</v>
      </c>
      <c r="F721" s="15" t="s">
        <v>35</v>
      </c>
      <c r="G721" s="15" t="s">
        <v>74</v>
      </c>
      <c r="H721" s="15" t="s">
        <v>4955</v>
      </c>
      <c r="I721" s="15" t="s">
        <v>4956</v>
      </c>
      <c r="J721" s="15" t="s">
        <v>4957</v>
      </c>
      <c r="K721" s="15" t="s">
        <v>94</v>
      </c>
      <c r="L721" s="15" t="s">
        <v>95</v>
      </c>
      <c r="M721" s="15" t="s">
        <v>614</v>
      </c>
      <c r="N721" s="15" t="s">
        <v>615</v>
      </c>
      <c r="O721" s="15" t="s">
        <v>82</v>
      </c>
      <c r="P721" s="15" t="s">
        <v>2583</v>
      </c>
      <c r="Q721" s="15" t="s">
        <v>2584</v>
      </c>
      <c r="R721" s="16">
        <v>44329</v>
      </c>
      <c r="S721" s="17" t="s">
        <v>70</v>
      </c>
      <c r="T721" s="20">
        <f>HYPERLINK("https://vnm.spiral.com.vn//uploaded/20210513/5184f807-83f1-4eba-8646-528a4af3b62b.JPEG","15:20:19")</f>
      </c>
      <c r="U721" s="20">
        <f>HYPERLINK("https://vnm.spiral.com.vn//uploaded/20210513/1bc25024-c80d-4c07-bef6-acb362d773b7.JPEG","15:58:16")</f>
      </c>
      <c r="V721" s="18">
        <v>0.026354166666666668</v>
      </c>
      <c r="W721" s="15" t="s">
        <v>4958</v>
      </c>
      <c r="X721" s="15" t="s">
        <v>4959</v>
      </c>
      <c r="Y721" s="15" t="s">
        <v>35</v>
      </c>
      <c r="Z721" s="19">
        <v>0</v>
      </c>
      <c r="AA721" s="15">
        <v>0</v>
      </c>
      <c r="AB721" s="15" t="s">
        <v>35</v>
      </c>
    </row>
    <row r="722">
      <c r="A722" s="15">
        <v>718</v>
      </c>
      <c r="B722" s="15" t="s">
        <v>87</v>
      </c>
      <c r="C722" s="15" t="s">
        <v>88</v>
      </c>
      <c r="D722" s="15" t="s">
        <v>35</v>
      </c>
      <c r="E722" s="15" t="s">
        <v>35</v>
      </c>
      <c r="F722" s="15" t="s">
        <v>2667</v>
      </c>
      <c r="G722" s="15" t="s">
        <v>36</v>
      </c>
      <c r="H722" s="15" t="s">
        <v>4960</v>
      </c>
      <c r="I722" s="15" t="s">
        <v>4961</v>
      </c>
      <c r="J722" s="15" t="s">
        <v>4962</v>
      </c>
      <c r="K722" s="15" t="s">
        <v>40</v>
      </c>
      <c r="L722" s="15" t="s">
        <v>41</v>
      </c>
      <c r="M722" s="15" t="s">
        <v>1195</v>
      </c>
      <c r="N722" s="15" t="s">
        <v>1196</v>
      </c>
      <c r="O722" s="15" t="s">
        <v>44</v>
      </c>
      <c r="P722" s="15" t="s">
        <v>4963</v>
      </c>
      <c r="Q722" s="15" t="s">
        <v>4964</v>
      </c>
      <c r="R722" s="16">
        <v>44329</v>
      </c>
      <c r="S722" s="17" t="s">
        <v>2925</v>
      </c>
      <c r="T722" s="20">
        <f>HYPERLINK("https://vnm.spiral.com.vn//uploaded/20210513/58eb4d52-9aef-4a5b-93a3-a2eb5f9cc442.JPEG","15:58:15")</f>
      </c>
      <c r="U722" s="18"/>
      <c r="V722" s="18" t="s">
        <v>35</v>
      </c>
      <c r="W722" s="15" t="s">
        <v>4965</v>
      </c>
      <c r="X722" s="15" t="s">
        <v>35</v>
      </c>
      <c r="Y722" s="15" t="s">
        <v>35</v>
      </c>
      <c r="Z722" s="19">
        <v>0</v>
      </c>
      <c r="AA722" s="15">
        <v>0</v>
      </c>
      <c r="AB722" s="15" t="s">
        <v>35</v>
      </c>
    </row>
    <row r="723">
      <c r="A723" s="15">
        <v>719</v>
      </c>
      <c r="B723" s="15" t="s">
        <v>61</v>
      </c>
      <c r="C723" s="15" t="s">
        <v>737</v>
      </c>
      <c r="D723" s="15" t="s">
        <v>35</v>
      </c>
      <c r="E723" s="15" t="s">
        <v>35</v>
      </c>
      <c r="F723" s="15" t="s">
        <v>4966</v>
      </c>
      <c r="G723" s="15" t="s">
        <v>36</v>
      </c>
      <c r="H723" s="15" t="s">
        <v>4967</v>
      </c>
      <c r="I723" s="15" t="s">
        <v>4968</v>
      </c>
      <c r="J723" s="15" t="s">
        <v>4969</v>
      </c>
      <c r="K723" s="15" t="s">
        <v>40</v>
      </c>
      <c r="L723" s="15" t="s">
        <v>41</v>
      </c>
      <c r="M723" s="15" t="s">
        <v>205</v>
      </c>
      <c r="N723" s="15" t="s">
        <v>206</v>
      </c>
      <c r="O723" s="15" t="s">
        <v>44</v>
      </c>
      <c r="P723" s="15" t="s">
        <v>4970</v>
      </c>
      <c r="Q723" s="15" t="s">
        <v>4971</v>
      </c>
      <c r="R723" s="16">
        <v>44329</v>
      </c>
      <c r="S723" s="17" t="s">
        <v>273</v>
      </c>
      <c r="T723" s="20">
        <f>HYPERLINK("https://vnm.spiral.com.vn//uploaded/20210513/8CEB9C05-FFE9-45B0-991C-B891CA4C8D3B.jpg","07:12:35")</f>
      </c>
      <c r="U723" s="20">
        <f>HYPERLINK("https://vnm.spiral.com.vn//uploaded/20210513/232BD34D-9DB8-4E3D-98A1-FB093B036845.jpg","15:58:12")</f>
      </c>
      <c r="V723" s="18">
        <v>0.3650115740740741</v>
      </c>
      <c r="W723" s="15" t="s">
        <v>4972</v>
      </c>
      <c r="X723" s="15" t="s">
        <v>4973</v>
      </c>
      <c r="Y723" s="15" t="s">
        <v>35</v>
      </c>
      <c r="Z723" s="19">
        <v>0</v>
      </c>
      <c r="AA723" s="15">
        <v>0</v>
      </c>
      <c r="AB723" s="15" t="s">
        <v>35</v>
      </c>
    </row>
    <row r="724">
      <c r="A724" s="15">
        <v>720</v>
      </c>
      <c r="B724" s="15" t="s">
        <v>87</v>
      </c>
      <c r="C724" s="15" t="s">
        <v>88</v>
      </c>
      <c r="D724" s="15" t="s">
        <v>35</v>
      </c>
      <c r="E724" s="15" t="s">
        <v>35</v>
      </c>
      <c r="F724" s="15" t="s">
        <v>2773</v>
      </c>
      <c r="G724" s="15" t="s">
        <v>36</v>
      </c>
      <c r="H724" s="15" t="s">
        <v>4974</v>
      </c>
      <c r="I724" s="15" t="s">
        <v>4975</v>
      </c>
      <c r="J724" s="15" t="s">
        <v>4976</v>
      </c>
      <c r="K724" s="15" t="s">
        <v>40</v>
      </c>
      <c r="L724" s="15" t="s">
        <v>41</v>
      </c>
      <c r="M724" s="15" t="s">
        <v>810</v>
      </c>
      <c r="N724" s="15" t="s">
        <v>811</v>
      </c>
      <c r="O724" s="15" t="s">
        <v>44</v>
      </c>
      <c r="P724" s="15" t="s">
        <v>4977</v>
      </c>
      <c r="Q724" s="15" t="s">
        <v>4978</v>
      </c>
      <c r="R724" s="16">
        <v>44329</v>
      </c>
      <c r="S724" s="17" t="s">
        <v>1199</v>
      </c>
      <c r="T724" s="20">
        <f>HYPERLINK("https://vnm.spiral.com.vn//uploaded/20210513/a5ba135b-0352-4491-8a4b-5fc952c691a6.JPEG","15:58:11")</f>
      </c>
      <c r="U724" s="18"/>
      <c r="V724" s="18" t="s">
        <v>35</v>
      </c>
      <c r="W724" s="15" t="s">
        <v>4979</v>
      </c>
      <c r="X724" s="15" t="s">
        <v>35</v>
      </c>
      <c r="Y724" s="15" t="s">
        <v>35</v>
      </c>
      <c r="Z724" s="19">
        <v>0</v>
      </c>
      <c r="AA724" s="15">
        <v>0</v>
      </c>
      <c r="AB724" s="15" t="s">
        <v>35</v>
      </c>
    </row>
    <row r="725">
      <c r="A725" s="15">
        <v>721</v>
      </c>
      <c r="B725" s="15" t="s">
        <v>103</v>
      </c>
      <c r="C725" s="15" t="s">
        <v>186</v>
      </c>
      <c r="D725" s="15" t="s">
        <v>89</v>
      </c>
      <c r="E725" s="15" t="s">
        <v>90</v>
      </c>
      <c r="F725" s="15" t="s">
        <v>35</v>
      </c>
      <c r="G725" s="15" t="s">
        <v>74</v>
      </c>
      <c r="H725" s="15" t="s">
        <v>4896</v>
      </c>
      <c r="I725" s="15" t="s">
        <v>4897</v>
      </c>
      <c r="J725" s="15" t="s">
        <v>4898</v>
      </c>
      <c r="K725" s="15" t="s">
        <v>178</v>
      </c>
      <c r="L725" s="15" t="s">
        <v>179</v>
      </c>
      <c r="M725" s="15" t="s">
        <v>2120</v>
      </c>
      <c r="N725" s="15" t="s">
        <v>2121</v>
      </c>
      <c r="O725" s="15" t="s">
        <v>156</v>
      </c>
      <c r="P725" s="15" t="s">
        <v>4980</v>
      </c>
      <c r="Q725" s="15" t="s">
        <v>4981</v>
      </c>
      <c r="R725" s="16">
        <v>44329</v>
      </c>
      <c r="S725" s="17" t="s">
        <v>1696</v>
      </c>
      <c r="T725" s="20">
        <f>HYPERLINK("https://vnm.spiral.com.vn//uploaded/20210513/714C38B8-B9B1-4415-BC68-B74AC63A5CA2.jpg","06:58:41")</f>
      </c>
      <c r="U725" s="20">
        <f>HYPERLINK("https://vnm.spiral.com.vn//uploaded/20210513/B553F434-112C-4BBD-8772-861ADBB7E3F2.jpg","15:58:08")</f>
      </c>
      <c r="V725" s="18">
        <v>0.37461805555555555</v>
      </c>
      <c r="W725" s="15" t="s">
        <v>4982</v>
      </c>
      <c r="X725" s="15" t="s">
        <v>4983</v>
      </c>
      <c r="Y725" s="15" t="s">
        <v>35</v>
      </c>
      <c r="Z725" s="19">
        <v>0</v>
      </c>
      <c r="AA725" s="15">
        <v>0</v>
      </c>
      <c r="AB725" s="15" t="s">
        <v>35</v>
      </c>
    </row>
    <row r="726">
      <c r="A726" s="15">
        <v>722</v>
      </c>
      <c r="B726" s="15" t="s">
        <v>61</v>
      </c>
      <c r="C726" s="15" t="s">
        <v>712</v>
      </c>
      <c r="D726" s="15" t="s">
        <v>35</v>
      </c>
      <c r="E726" s="15" t="s">
        <v>35</v>
      </c>
      <c r="F726" s="15" t="s">
        <v>35</v>
      </c>
      <c r="G726" s="15" t="s">
        <v>36</v>
      </c>
      <c r="H726" s="15" t="s">
        <v>4984</v>
      </c>
      <c r="I726" s="15" t="s">
        <v>4985</v>
      </c>
      <c r="J726" s="15" t="s">
        <v>4986</v>
      </c>
      <c r="K726" s="15" t="s">
        <v>40</v>
      </c>
      <c r="L726" s="15" t="s">
        <v>41</v>
      </c>
      <c r="M726" s="15" t="s">
        <v>205</v>
      </c>
      <c r="N726" s="15" t="s">
        <v>206</v>
      </c>
      <c r="O726" s="15" t="s">
        <v>44</v>
      </c>
      <c r="P726" s="15" t="s">
        <v>4987</v>
      </c>
      <c r="Q726" s="15" t="s">
        <v>4988</v>
      </c>
      <c r="R726" s="16">
        <v>44329</v>
      </c>
      <c r="S726" s="17" t="s">
        <v>2925</v>
      </c>
      <c r="T726" s="20">
        <f>HYPERLINK("https://vnm.spiral.com.vn//uploaded/20210513/7c045303-020f-4401-b60f-ea340a0d9673.JPEG","15:57:59")</f>
      </c>
      <c r="U726" s="18"/>
      <c r="V726" s="18" t="s">
        <v>35</v>
      </c>
      <c r="W726" s="15" t="s">
        <v>4989</v>
      </c>
      <c r="X726" s="15" t="s">
        <v>35</v>
      </c>
      <c r="Y726" s="15" t="s">
        <v>35</v>
      </c>
      <c r="Z726" s="19">
        <v>0</v>
      </c>
      <c r="AA726" s="15">
        <v>0</v>
      </c>
      <c r="AB726" s="15" t="s">
        <v>35</v>
      </c>
    </row>
    <row r="727">
      <c r="A727" s="15">
        <v>723</v>
      </c>
      <c r="B727" s="15" t="s">
        <v>87</v>
      </c>
      <c r="C727" s="15" t="s">
        <v>88</v>
      </c>
      <c r="D727" s="15" t="s">
        <v>35</v>
      </c>
      <c r="E727" s="15" t="s">
        <v>35</v>
      </c>
      <c r="F727" s="15" t="s">
        <v>1191</v>
      </c>
      <c r="G727" s="15" t="s">
        <v>36</v>
      </c>
      <c r="H727" s="15" t="s">
        <v>4990</v>
      </c>
      <c r="I727" s="15" t="s">
        <v>4991</v>
      </c>
      <c r="J727" s="15" t="s">
        <v>4992</v>
      </c>
      <c r="K727" s="15" t="s">
        <v>40</v>
      </c>
      <c r="L727" s="15" t="s">
        <v>41</v>
      </c>
      <c r="M727" s="15" t="s">
        <v>1195</v>
      </c>
      <c r="N727" s="15" t="s">
        <v>1196</v>
      </c>
      <c r="O727" s="15" t="s">
        <v>44</v>
      </c>
      <c r="P727" s="15" t="s">
        <v>4993</v>
      </c>
      <c r="Q727" s="15" t="s">
        <v>4994</v>
      </c>
      <c r="R727" s="16">
        <v>44329</v>
      </c>
      <c r="S727" s="17" t="s">
        <v>2925</v>
      </c>
      <c r="T727" s="20">
        <f>HYPERLINK("https://vnm.spiral.com.vn//uploaded/20210513/26FB8E81-1E0F-4492-835F-943DB4B5CEEC.jpg","15:57:39")</f>
      </c>
      <c r="U727" s="18"/>
      <c r="V727" s="18" t="s">
        <v>35</v>
      </c>
      <c r="W727" s="15" t="s">
        <v>4995</v>
      </c>
      <c r="X727" s="15" t="s">
        <v>35</v>
      </c>
      <c r="Y727" s="15" t="s">
        <v>35</v>
      </c>
      <c r="Z727" s="19">
        <v>0</v>
      </c>
      <c r="AA727" s="15">
        <v>0</v>
      </c>
      <c r="AB727" s="15" t="s">
        <v>35</v>
      </c>
    </row>
    <row r="728">
      <c r="A728" s="15">
        <v>724</v>
      </c>
      <c r="B728" s="15" t="s">
        <v>87</v>
      </c>
      <c r="C728" s="15" t="s">
        <v>88</v>
      </c>
      <c r="D728" s="15" t="s">
        <v>135</v>
      </c>
      <c r="E728" s="15" t="s">
        <v>116</v>
      </c>
      <c r="F728" s="15" t="s">
        <v>35</v>
      </c>
      <c r="G728" s="15" t="s">
        <v>74</v>
      </c>
      <c r="H728" s="15" t="s">
        <v>4996</v>
      </c>
      <c r="I728" s="15" t="s">
        <v>4997</v>
      </c>
      <c r="J728" s="15" t="s">
        <v>4998</v>
      </c>
      <c r="K728" s="15" t="s">
        <v>390</v>
      </c>
      <c r="L728" s="15" t="s">
        <v>391</v>
      </c>
      <c r="M728" s="15" t="s">
        <v>392</v>
      </c>
      <c r="N728" s="15" t="s">
        <v>393</v>
      </c>
      <c r="O728" s="15" t="s">
        <v>82</v>
      </c>
      <c r="P728" s="15" t="s">
        <v>1497</v>
      </c>
      <c r="Q728" s="15" t="s">
        <v>1498</v>
      </c>
      <c r="R728" s="16">
        <v>44329</v>
      </c>
      <c r="S728" s="17" t="s">
        <v>70</v>
      </c>
      <c r="T728" s="20">
        <f>HYPERLINK("https://vnm.spiral.com.vn//uploaded/20210513/6b0cc416-6ec8-4e37-8cb7-312d6a8018a1.JPEG","15:16:51")</f>
      </c>
      <c r="U728" s="20">
        <f>HYPERLINK("https://vnm.spiral.com.vn//uploaded/20210513/826a17fc-50a9-48be-b477-f98b50d8337c.JPEG","15:57:34")</f>
      </c>
      <c r="V728" s="18">
        <v>0.028275462962962964</v>
      </c>
      <c r="W728" s="15" t="s">
        <v>4999</v>
      </c>
      <c r="X728" s="15" t="s">
        <v>5000</v>
      </c>
      <c r="Y728" s="15" t="s">
        <v>35</v>
      </c>
      <c r="Z728" s="19">
        <v>0</v>
      </c>
      <c r="AA728" s="15">
        <v>0</v>
      </c>
      <c r="AB728" s="15" t="s">
        <v>35</v>
      </c>
    </row>
    <row r="729">
      <c r="A729" s="15">
        <v>725</v>
      </c>
      <c r="B729" s="15" t="s">
        <v>61</v>
      </c>
      <c r="C729" s="15" t="s">
        <v>303</v>
      </c>
      <c r="D729" s="15" t="s">
        <v>35</v>
      </c>
      <c r="E729" s="15" t="s">
        <v>35</v>
      </c>
      <c r="F729" s="15" t="s">
        <v>35</v>
      </c>
      <c r="G729" s="15" t="s">
        <v>36</v>
      </c>
      <c r="H729" s="15" t="s">
        <v>5001</v>
      </c>
      <c r="I729" s="15" t="s">
        <v>5002</v>
      </c>
      <c r="J729" s="15" t="s">
        <v>5003</v>
      </c>
      <c r="K729" s="15" t="s">
        <v>40</v>
      </c>
      <c r="L729" s="15" t="s">
        <v>41</v>
      </c>
      <c r="M729" s="15" t="s">
        <v>205</v>
      </c>
      <c r="N729" s="15" t="s">
        <v>206</v>
      </c>
      <c r="O729" s="15" t="s">
        <v>44</v>
      </c>
      <c r="P729" s="15" t="s">
        <v>5004</v>
      </c>
      <c r="Q729" s="15" t="s">
        <v>5005</v>
      </c>
      <c r="R729" s="16">
        <v>44329</v>
      </c>
      <c r="S729" s="17" t="s">
        <v>2925</v>
      </c>
      <c r="T729" s="20">
        <f>HYPERLINK("https://vnm.spiral.com.vn//uploaded/20210513/465A08A2-85E6-4644-B8C6-E05851D9EF8E.jpg","15:57:34")</f>
      </c>
      <c r="U729" s="18"/>
      <c r="V729" s="18" t="s">
        <v>35</v>
      </c>
      <c r="W729" s="15" t="s">
        <v>5006</v>
      </c>
      <c r="X729" s="15" t="s">
        <v>35</v>
      </c>
      <c r="Y729" s="15" t="s">
        <v>35</v>
      </c>
      <c r="Z729" s="19">
        <v>0</v>
      </c>
      <c r="AA729" s="15">
        <v>0</v>
      </c>
      <c r="AB729" s="15" t="s">
        <v>35</v>
      </c>
    </row>
    <row r="730">
      <c r="A730" s="15">
        <v>726</v>
      </c>
      <c r="B730" s="15" t="s">
        <v>246</v>
      </c>
      <c r="C730" s="15" t="s">
        <v>259</v>
      </c>
      <c r="D730" s="15" t="s">
        <v>35</v>
      </c>
      <c r="E730" s="15" t="s">
        <v>35</v>
      </c>
      <c r="F730" s="15" t="s">
        <v>4355</v>
      </c>
      <c r="G730" s="15" t="s">
        <v>36</v>
      </c>
      <c r="H730" s="15" t="s">
        <v>5007</v>
      </c>
      <c r="I730" s="15" t="s">
        <v>5008</v>
      </c>
      <c r="J730" s="15" t="s">
        <v>5009</v>
      </c>
      <c r="K730" s="15" t="s">
        <v>40</v>
      </c>
      <c r="L730" s="15" t="s">
        <v>41</v>
      </c>
      <c r="M730" s="15" t="s">
        <v>252</v>
      </c>
      <c r="N730" s="15" t="s">
        <v>253</v>
      </c>
      <c r="O730" s="15" t="s">
        <v>44</v>
      </c>
      <c r="P730" s="15" t="s">
        <v>5010</v>
      </c>
      <c r="Q730" s="15" t="s">
        <v>5011</v>
      </c>
      <c r="R730" s="16">
        <v>44329</v>
      </c>
      <c r="S730" s="17" t="s">
        <v>2925</v>
      </c>
      <c r="T730" s="20">
        <f>HYPERLINK("https://vnm.spiral.com.vn//uploaded/20210513/daf25ad1-3c5c-4bee-8317-b333eb88b4fd.JPEG","15:57:18")</f>
      </c>
      <c r="U730" s="18"/>
      <c r="V730" s="18" t="s">
        <v>35</v>
      </c>
      <c r="W730" s="15" t="s">
        <v>5012</v>
      </c>
      <c r="X730" s="15" t="s">
        <v>35</v>
      </c>
      <c r="Y730" s="15" t="s">
        <v>35</v>
      </c>
      <c r="Z730" s="19">
        <v>0</v>
      </c>
      <c r="AA730" s="15">
        <v>0</v>
      </c>
      <c r="AB730" s="15" t="s">
        <v>35</v>
      </c>
    </row>
    <row r="731">
      <c r="A731" s="15">
        <v>727</v>
      </c>
      <c r="B731" s="15" t="s">
        <v>343</v>
      </c>
      <c r="C731" s="15" t="s">
        <v>344</v>
      </c>
      <c r="D731" s="15" t="s">
        <v>432</v>
      </c>
      <c r="E731" s="15" t="s">
        <v>116</v>
      </c>
      <c r="F731" s="15" t="s">
        <v>35</v>
      </c>
      <c r="G731" s="15" t="s">
        <v>74</v>
      </c>
      <c r="H731" s="15" t="s">
        <v>5013</v>
      </c>
      <c r="I731" s="15" t="s">
        <v>5014</v>
      </c>
      <c r="J731" s="15" t="s">
        <v>5015</v>
      </c>
      <c r="K731" s="15" t="s">
        <v>512</v>
      </c>
      <c r="L731" s="15" t="s">
        <v>513</v>
      </c>
      <c r="M731" s="15" t="s">
        <v>514</v>
      </c>
      <c r="N731" s="15" t="s">
        <v>515</v>
      </c>
      <c r="O731" s="15" t="s">
        <v>82</v>
      </c>
      <c r="P731" s="15" t="s">
        <v>516</v>
      </c>
      <c r="Q731" s="15" t="s">
        <v>517</v>
      </c>
      <c r="R731" s="16">
        <v>44329</v>
      </c>
      <c r="S731" s="17" t="s">
        <v>70</v>
      </c>
      <c r="T731" s="20">
        <f>HYPERLINK("https://vnm.spiral.com.vn//uploaded/20210513/ad359b3a-3ce7-4479-8382-320bbb7b67c5.JPEG","14:57:06")</f>
      </c>
      <c r="U731" s="20">
        <f>HYPERLINK("https://vnm.spiral.com.vn//uploaded/20210513/c6a632df-2cd9-4e25-b853-492987a0e24d.JPEG","15:57:09")</f>
      </c>
      <c r="V731" s="18">
        <v>0.04170138888888889</v>
      </c>
      <c r="W731" s="15" t="s">
        <v>5016</v>
      </c>
      <c r="X731" s="15" t="s">
        <v>5017</v>
      </c>
      <c r="Y731" s="15" t="s">
        <v>35</v>
      </c>
      <c r="Z731" s="19">
        <v>0</v>
      </c>
      <c r="AA731" s="15">
        <v>0</v>
      </c>
      <c r="AB731" s="15" t="s">
        <v>35</v>
      </c>
    </row>
    <row r="732">
      <c r="A732" s="15">
        <v>728</v>
      </c>
      <c r="B732" s="15" t="s">
        <v>103</v>
      </c>
      <c r="C732" s="15" t="s">
        <v>186</v>
      </c>
      <c r="D732" s="15" t="s">
        <v>35</v>
      </c>
      <c r="E732" s="15" t="s">
        <v>35</v>
      </c>
      <c r="F732" s="15" t="s">
        <v>5018</v>
      </c>
      <c r="G732" s="15" t="s">
        <v>36</v>
      </c>
      <c r="H732" s="15" t="s">
        <v>5019</v>
      </c>
      <c r="I732" s="15" t="s">
        <v>5020</v>
      </c>
      <c r="J732" s="15" t="s">
        <v>5021</v>
      </c>
      <c r="K732" s="15" t="s">
        <v>40</v>
      </c>
      <c r="L732" s="15" t="s">
        <v>41</v>
      </c>
      <c r="M732" s="15" t="s">
        <v>565</v>
      </c>
      <c r="N732" s="15" t="s">
        <v>566</v>
      </c>
      <c r="O732" s="15" t="s">
        <v>44</v>
      </c>
      <c r="P732" s="15" t="s">
        <v>5022</v>
      </c>
      <c r="Q732" s="15" t="s">
        <v>5023</v>
      </c>
      <c r="R732" s="16">
        <v>44329</v>
      </c>
      <c r="S732" s="17" t="s">
        <v>4811</v>
      </c>
      <c r="T732" s="20">
        <f>HYPERLINK("https://vnm.spiral.com.vn//uploaded/20210513/249c9783-1b8b-4501-8b35-b6d253d842fa.JPEG","15:57:07")</f>
      </c>
      <c r="U732" s="18"/>
      <c r="V732" s="18" t="s">
        <v>35</v>
      </c>
      <c r="W732" s="15" t="s">
        <v>5024</v>
      </c>
      <c r="X732" s="15" t="s">
        <v>35</v>
      </c>
      <c r="Y732" s="15" t="s">
        <v>35</v>
      </c>
      <c r="Z732" s="19">
        <v>0</v>
      </c>
      <c r="AA732" s="15">
        <v>0</v>
      </c>
      <c r="AB732" s="15" t="s">
        <v>35</v>
      </c>
    </row>
    <row r="733">
      <c r="A733" s="15">
        <v>729</v>
      </c>
      <c r="B733" s="15" t="s">
        <v>343</v>
      </c>
      <c r="C733" s="15" t="s">
        <v>344</v>
      </c>
      <c r="D733" s="15" t="s">
        <v>432</v>
      </c>
      <c r="E733" s="15" t="s">
        <v>116</v>
      </c>
      <c r="F733" s="15" t="s">
        <v>35</v>
      </c>
      <c r="G733" s="15" t="s">
        <v>74</v>
      </c>
      <c r="H733" s="15" t="s">
        <v>5025</v>
      </c>
      <c r="I733" s="15" t="s">
        <v>5026</v>
      </c>
      <c r="J733" s="15" t="s">
        <v>5027</v>
      </c>
      <c r="K733" s="15" t="s">
        <v>1168</v>
      </c>
      <c r="L733" s="15" t="s">
        <v>1169</v>
      </c>
      <c r="M733" s="15" t="s">
        <v>1170</v>
      </c>
      <c r="N733" s="15" t="s">
        <v>1171</v>
      </c>
      <c r="O733" s="15" t="s">
        <v>82</v>
      </c>
      <c r="P733" s="15" t="s">
        <v>4370</v>
      </c>
      <c r="Q733" s="15" t="s">
        <v>4371</v>
      </c>
      <c r="R733" s="16">
        <v>44329</v>
      </c>
      <c r="S733" s="17" t="s">
        <v>70</v>
      </c>
      <c r="T733" s="20">
        <f>HYPERLINK("https://vnm.spiral.com.vn//uploaded/20210513/5E069B49-8440-4B95-B4F3-1BA670115F30.jpg","15:31:25")</f>
      </c>
      <c r="U733" s="20">
        <f>HYPERLINK("https://vnm.spiral.com.vn//uploaded/20210513/CFD9E506-3220-460C-841F-4D1210C1345E.jpg","15:57:06")</f>
      </c>
      <c r="V733" s="18">
        <v>0.01783564814814815</v>
      </c>
      <c r="W733" s="15" t="s">
        <v>5028</v>
      </c>
      <c r="X733" s="15" t="s">
        <v>5029</v>
      </c>
      <c r="Y733" s="15" t="s">
        <v>35</v>
      </c>
      <c r="Z733" s="19">
        <v>0</v>
      </c>
      <c r="AA733" s="15">
        <v>0</v>
      </c>
      <c r="AB733" s="15" t="s">
        <v>35</v>
      </c>
    </row>
    <row r="734">
      <c r="A734" s="15">
        <v>730</v>
      </c>
      <c r="B734" s="15" t="s">
        <v>49</v>
      </c>
      <c r="C734" s="15" t="s">
        <v>369</v>
      </c>
      <c r="D734" s="15" t="s">
        <v>35</v>
      </c>
      <c r="E734" s="15" t="s">
        <v>35</v>
      </c>
      <c r="F734" s="15" t="s">
        <v>5030</v>
      </c>
      <c r="G734" s="15" t="s">
        <v>36</v>
      </c>
      <c r="H734" s="15" t="s">
        <v>5031</v>
      </c>
      <c r="I734" s="15" t="s">
        <v>5032</v>
      </c>
      <c r="J734" s="15" t="s">
        <v>5033</v>
      </c>
      <c r="K734" s="15" t="s">
        <v>40</v>
      </c>
      <c r="L734" s="15" t="s">
        <v>41</v>
      </c>
      <c r="M734" s="15" t="s">
        <v>55</v>
      </c>
      <c r="N734" s="15" t="s">
        <v>56</v>
      </c>
      <c r="O734" s="15" t="s">
        <v>44</v>
      </c>
      <c r="P734" s="15" t="s">
        <v>5034</v>
      </c>
      <c r="Q734" s="15" t="s">
        <v>5035</v>
      </c>
      <c r="R734" s="16">
        <v>44329</v>
      </c>
      <c r="S734" s="17" t="s">
        <v>2925</v>
      </c>
      <c r="T734" s="20">
        <f>HYPERLINK("https://vnm.spiral.com.vn//uploaded/20210513/ac4880e7-dfaa-4ad5-9e26-29fce147fcc9.JPEG","15:56:55")</f>
      </c>
      <c r="U734" s="18"/>
      <c r="V734" s="18" t="s">
        <v>35</v>
      </c>
      <c r="W734" s="15" t="s">
        <v>5036</v>
      </c>
      <c r="X734" s="15" t="s">
        <v>35</v>
      </c>
      <c r="Y734" s="15" t="s">
        <v>35</v>
      </c>
      <c r="Z734" s="19">
        <v>0</v>
      </c>
      <c r="AA734" s="15">
        <v>0</v>
      </c>
      <c r="AB734" s="15" t="s">
        <v>35</v>
      </c>
    </row>
    <row r="735">
      <c r="A735" s="15">
        <v>731</v>
      </c>
      <c r="B735" s="15" t="s">
        <v>103</v>
      </c>
      <c r="C735" s="15" t="s">
        <v>104</v>
      </c>
      <c r="D735" s="15" t="s">
        <v>35</v>
      </c>
      <c r="E735" s="15" t="s">
        <v>35</v>
      </c>
      <c r="F735" s="15" t="s">
        <v>35</v>
      </c>
      <c r="G735" s="15" t="s">
        <v>36</v>
      </c>
      <c r="H735" s="15" t="s">
        <v>5037</v>
      </c>
      <c r="I735" s="15" t="s">
        <v>5038</v>
      </c>
      <c r="J735" s="15" t="s">
        <v>5039</v>
      </c>
      <c r="K735" s="15" t="s">
        <v>40</v>
      </c>
      <c r="L735" s="15" t="s">
        <v>41</v>
      </c>
      <c r="M735" s="15" t="s">
        <v>108</v>
      </c>
      <c r="N735" s="15" t="s">
        <v>109</v>
      </c>
      <c r="O735" s="15" t="s">
        <v>44</v>
      </c>
      <c r="P735" s="15" t="s">
        <v>5040</v>
      </c>
      <c r="Q735" s="15" t="s">
        <v>5041</v>
      </c>
      <c r="R735" s="16">
        <v>44329</v>
      </c>
      <c r="S735" s="17" t="s">
        <v>2925</v>
      </c>
      <c r="T735" s="20">
        <f>HYPERLINK("https://vnm.spiral.com.vn//uploaded/20210513/920370c3-07ae-46a2-b451-4d3db9a9d198.JPEG","15:56:54")</f>
      </c>
      <c r="U735" s="18"/>
      <c r="V735" s="18" t="s">
        <v>35</v>
      </c>
      <c r="W735" s="15" t="s">
        <v>5042</v>
      </c>
      <c r="X735" s="15" t="s">
        <v>35</v>
      </c>
      <c r="Y735" s="15" t="s">
        <v>35</v>
      </c>
      <c r="Z735" s="19">
        <v>0</v>
      </c>
      <c r="AA735" s="15">
        <v>0</v>
      </c>
      <c r="AB735" s="15" t="s">
        <v>35</v>
      </c>
    </row>
    <row r="736">
      <c r="A736" s="15">
        <v>732</v>
      </c>
      <c r="B736" s="15" t="s">
        <v>103</v>
      </c>
      <c r="C736" s="15" t="s">
        <v>186</v>
      </c>
      <c r="D736" s="15" t="s">
        <v>135</v>
      </c>
      <c r="E736" s="15" t="s">
        <v>116</v>
      </c>
      <c r="F736" s="15" t="s">
        <v>35</v>
      </c>
      <c r="G736" s="15" t="s">
        <v>74</v>
      </c>
      <c r="H736" s="15" t="s">
        <v>5043</v>
      </c>
      <c r="I736" s="15" t="s">
        <v>5044</v>
      </c>
      <c r="J736" s="15" t="s">
        <v>5045</v>
      </c>
      <c r="K736" s="15" t="s">
        <v>436</v>
      </c>
      <c r="L736" s="15" t="s">
        <v>437</v>
      </c>
      <c r="M736" s="15" t="s">
        <v>438</v>
      </c>
      <c r="N736" s="15" t="s">
        <v>439</v>
      </c>
      <c r="O736" s="15" t="s">
        <v>82</v>
      </c>
      <c r="P736" s="15" t="s">
        <v>1125</v>
      </c>
      <c r="Q736" s="15" t="s">
        <v>1126</v>
      </c>
      <c r="R736" s="16">
        <v>44329</v>
      </c>
      <c r="S736" s="17" t="s">
        <v>70</v>
      </c>
      <c r="T736" s="20">
        <f>HYPERLINK("https://vnm.spiral.com.vn//uploaded/20210513/A6154282-A644-4F75-A613-23DB895FB222.jpg","14:39:03")</f>
      </c>
      <c r="U736" s="20">
        <f>HYPERLINK("https://vnm.spiral.com.vn//uploaded/20210513/22CAEF6D-8843-4BA8-B7EF-B89241D46E0F.jpg","15:56:44")</f>
      </c>
      <c r="V736" s="18">
        <v>0.05394675925925926</v>
      </c>
      <c r="W736" s="15" t="s">
        <v>5046</v>
      </c>
      <c r="X736" s="15" t="s">
        <v>5047</v>
      </c>
      <c r="Y736" s="15" t="s">
        <v>35</v>
      </c>
      <c r="Z736" s="19">
        <v>0</v>
      </c>
      <c r="AA736" s="15">
        <v>0</v>
      </c>
      <c r="AB736" s="15" t="s">
        <v>35</v>
      </c>
    </row>
    <row r="737">
      <c r="A737" s="15">
        <v>733</v>
      </c>
      <c r="B737" s="15" t="s">
        <v>87</v>
      </c>
      <c r="C737" s="15" t="s">
        <v>88</v>
      </c>
      <c r="D737" s="15" t="s">
        <v>35</v>
      </c>
      <c r="E737" s="15" t="s">
        <v>35</v>
      </c>
      <c r="F737" s="15" t="s">
        <v>35</v>
      </c>
      <c r="G737" s="15" t="s">
        <v>74</v>
      </c>
      <c r="H737" s="15" t="s">
        <v>5048</v>
      </c>
      <c r="I737" s="15" t="s">
        <v>5049</v>
      </c>
      <c r="J737" s="15" t="s">
        <v>5050</v>
      </c>
      <c r="K737" s="15" t="s">
        <v>888</v>
      </c>
      <c r="L737" s="15" t="s">
        <v>889</v>
      </c>
      <c r="M737" s="15" t="s">
        <v>890</v>
      </c>
      <c r="N737" s="15" t="s">
        <v>891</v>
      </c>
      <c r="O737" s="15" t="s">
        <v>82</v>
      </c>
      <c r="P737" s="15" t="s">
        <v>1914</v>
      </c>
      <c r="Q737" s="15" t="s">
        <v>1915</v>
      </c>
      <c r="R737" s="16">
        <v>44329</v>
      </c>
      <c r="S737" s="17" t="s">
        <v>70</v>
      </c>
      <c r="T737" s="20">
        <f>HYPERLINK("https://vnm.spiral.com.vn//uploaded/20210513/5EBB2D11-C3F9-4A6B-9514-8174C61324FF.jpg","15:38:13")</f>
      </c>
      <c r="U737" s="20">
        <f>HYPERLINK("https://vnm.spiral.com.vn//uploaded/20210513/9BDF64C1-6342-49D7-A91E-35E0445B829C.jpg","15:56:42")</f>
      </c>
      <c r="V737" s="18">
        <v>0.012835648148148148</v>
      </c>
      <c r="W737" s="15" t="s">
        <v>5051</v>
      </c>
      <c r="X737" s="15" t="s">
        <v>5052</v>
      </c>
      <c r="Y737" s="15" t="s">
        <v>35</v>
      </c>
      <c r="Z737" s="19">
        <v>0</v>
      </c>
      <c r="AA737" s="15">
        <v>0</v>
      </c>
      <c r="AB737" s="15" t="s">
        <v>35</v>
      </c>
    </row>
    <row r="738">
      <c r="A738" s="15">
        <v>734</v>
      </c>
      <c r="B738" s="15" t="s">
        <v>246</v>
      </c>
      <c r="C738" s="15" t="s">
        <v>782</v>
      </c>
      <c r="D738" s="15" t="s">
        <v>432</v>
      </c>
      <c r="E738" s="15" t="s">
        <v>116</v>
      </c>
      <c r="F738" s="15" t="s">
        <v>35</v>
      </c>
      <c r="G738" s="15" t="s">
        <v>74</v>
      </c>
      <c r="H738" s="15" t="s">
        <v>5053</v>
      </c>
      <c r="I738" s="15" t="s">
        <v>5054</v>
      </c>
      <c r="J738" s="15" t="s">
        <v>5055</v>
      </c>
      <c r="K738" s="15" t="s">
        <v>263</v>
      </c>
      <c r="L738" s="15" t="s">
        <v>264</v>
      </c>
      <c r="M738" s="15" t="s">
        <v>280</v>
      </c>
      <c r="N738" s="15" t="s">
        <v>281</v>
      </c>
      <c r="O738" s="15" t="s">
        <v>156</v>
      </c>
      <c r="P738" s="15" t="s">
        <v>5056</v>
      </c>
      <c r="Q738" s="15" t="s">
        <v>5057</v>
      </c>
      <c r="R738" s="16">
        <v>44329</v>
      </c>
      <c r="S738" s="17" t="s">
        <v>5058</v>
      </c>
      <c r="T738" s="20">
        <f>HYPERLINK("https://vnm.spiral.com.vn//uploaded/20210513/7CE75C39-9BE4-48D3-9440-14B55DE1CD03.jpg","15:56:40")</f>
      </c>
      <c r="U738" s="18"/>
      <c r="V738" s="18" t="s">
        <v>35</v>
      </c>
      <c r="W738" s="15" t="s">
        <v>5059</v>
      </c>
      <c r="X738" s="15" t="s">
        <v>35</v>
      </c>
      <c r="Y738" s="15" t="s">
        <v>35</v>
      </c>
      <c r="Z738" s="19">
        <v>0</v>
      </c>
      <c r="AA738" s="15">
        <v>0</v>
      </c>
      <c r="AB738" s="15" t="s">
        <v>35</v>
      </c>
    </row>
    <row r="739">
      <c r="A739" s="15">
        <v>735</v>
      </c>
      <c r="B739" s="15" t="s">
        <v>343</v>
      </c>
      <c r="C739" s="15" t="s">
        <v>2135</v>
      </c>
      <c r="D739" s="15" t="s">
        <v>89</v>
      </c>
      <c r="E739" s="15" t="s">
        <v>90</v>
      </c>
      <c r="F739" s="15" t="s">
        <v>35</v>
      </c>
      <c r="G739" s="15" t="s">
        <v>74</v>
      </c>
      <c r="H739" s="15" t="s">
        <v>5060</v>
      </c>
      <c r="I739" s="15" t="s">
        <v>5061</v>
      </c>
      <c r="J739" s="15" t="s">
        <v>5062</v>
      </c>
      <c r="K739" s="15" t="s">
        <v>1168</v>
      </c>
      <c r="L739" s="15" t="s">
        <v>1169</v>
      </c>
      <c r="M739" s="15" t="s">
        <v>1170</v>
      </c>
      <c r="N739" s="15" t="s">
        <v>1171</v>
      </c>
      <c r="O739" s="15" t="s">
        <v>156</v>
      </c>
      <c r="P739" s="15" t="s">
        <v>5063</v>
      </c>
      <c r="Q739" s="15" t="s">
        <v>5064</v>
      </c>
      <c r="R739" s="16">
        <v>44329</v>
      </c>
      <c r="S739" s="17" t="s">
        <v>159</v>
      </c>
      <c r="T739" s="20">
        <f>HYPERLINK("https://vnm.spiral.com.vn//uploaded/20210513/40355190-31C3-4651-9257-A23FF45B6246.jpg","15:34:36")</f>
      </c>
      <c r="U739" s="20">
        <f>HYPERLINK("https://vnm.spiral.com.vn//uploaded/20210513/B0127903-D4B2-44D1-ADB1-18563A9FE48F.jpg","15:56:30")</f>
      </c>
      <c r="V739" s="18">
        <v>0.015208333333333334</v>
      </c>
      <c r="W739" s="15" t="s">
        <v>5065</v>
      </c>
      <c r="X739" s="15" t="s">
        <v>5066</v>
      </c>
      <c r="Y739" s="15" t="s">
        <v>35</v>
      </c>
      <c r="Z739" s="19">
        <v>0</v>
      </c>
      <c r="AA739" s="15">
        <v>0</v>
      </c>
      <c r="AB739" s="15" t="s">
        <v>35</v>
      </c>
    </row>
    <row r="740">
      <c r="A740" s="15">
        <v>736</v>
      </c>
      <c r="B740" s="15" t="s">
        <v>343</v>
      </c>
      <c r="C740" s="15" t="s">
        <v>344</v>
      </c>
      <c r="D740" s="15" t="s">
        <v>35</v>
      </c>
      <c r="E740" s="15" t="s">
        <v>35</v>
      </c>
      <c r="F740" s="15" t="s">
        <v>35</v>
      </c>
      <c r="G740" s="15" t="s">
        <v>36</v>
      </c>
      <c r="H740" s="15" t="s">
        <v>5067</v>
      </c>
      <c r="I740" s="15" t="s">
        <v>5068</v>
      </c>
      <c r="J740" s="15" t="s">
        <v>5069</v>
      </c>
      <c r="K740" s="15" t="s">
        <v>40</v>
      </c>
      <c r="L740" s="15" t="s">
        <v>41</v>
      </c>
      <c r="M740" s="15" t="s">
        <v>595</v>
      </c>
      <c r="N740" s="15" t="s">
        <v>596</v>
      </c>
      <c r="O740" s="15" t="s">
        <v>44</v>
      </c>
      <c r="P740" s="15" t="s">
        <v>5070</v>
      </c>
      <c r="Q740" s="15" t="s">
        <v>5071</v>
      </c>
      <c r="R740" s="16">
        <v>44329</v>
      </c>
      <c r="S740" s="17" t="s">
        <v>686</v>
      </c>
      <c r="T740" s="20">
        <f>HYPERLINK("https://vnm.spiral.com.vn//uploaded/20210513/3E1FA9E6-1D5E-42CA-B364-E1771517CBC1.jpg","15:56:29")</f>
      </c>
      <c r="U740" s="18"/>
      <c r="V740" s="18" t="s">
        <v>35</v>
      </c>
      <c r="W740" s="15" t="s">
        <v>5072</v>
      </c>
      <c r="X740" s="15" t="s">
        <v>35</v>
      </c>
      <c r="Y740" s="15" t="s">
        <v>35</v>
      </c>
      <c r="Z740" s="19">
        <v>0</v>
      </c>
      <c r="AA740" s="15">
        <v>0</v>
      </c>
      <c r="AB740" s="15" t="s">
        <v>35</v>
      </c>
    </row>
    <row r="741">
      <c r="A741" s="15">
        <v>737</v>
      </c>
      <c r="B741" s="15" t="s">
        <v>87</v>
      </c>
      <c r="C741" s="15" t="s">
        <v>88</v>
      </c>
      <c r="D741" s="15" t="s">
        <v>35</v>
      </c>
      <c r="E741" s="15" t="s">
        <v>35</v>
      </c>
      <c r="F741" s="15" t="s">
        <v>2077</v>
      </c>
      <c r="G741" s="15" t="s">
        <v>36</v>
      </c>
      <c r="H741" s="15" t="s">
        <v>5073</v>
      </c>
      <c r="I741" s="15" t="s">
        <v>5074</v>
      </c>
      <c r="J741" s="15" t="s">
        <v>5075</v>
      </c>
      <c r="K741" s="15" t="s">
        <v>40</v>
      </c>
      <c r="L741" s="15" t="s">
        <v>41</v>
      </c>
      <c r="M741" s="15" t="s">
        <v>289</v>
      </c>
      <c r="N741" s="15" t="s">
        <v>290</v>
      </c>
      <c r="O741" s="15" t="s">
        <v>44</v>
      </c>
      <c r="P741" s="15" t="s">
        <v>5076</v>
      </c>
      <c r="Q741" s="15" t="s">
        <v>5077</v>
      </c>
      <c r="R741" s="16">
        <v>44329</v>
      </c>
      <c r="S741" s="17" t="s">
        <v>2925</v>
      </c>
      <c r="T741" s="20">
        <f>HYPERLINK("https://vnm.spiral.com.vn//uploaded/20210513/c724b81b-f09e-47f0-9c09-bae3420629c7.JPEG","15:56:27")</f>
      </c>
      <c r="U741" s="18"/>
      <c r="V741" s="18" t="s">
        <v>35</v>
      </c>
      <c r="W741" s="15" t="s">
        <v>5078</v>
      </c>
      <c r="X741" s="15" t="s">
        <v>35</v>
      </c>
      <c r="Y741" s="15" t="s">
        <v>35</v>
      </c>
      <c r="Z741" s="19">
        <v>0</v>
      </c>
      <c r="AA741" s="15">
        <v>0</v>
      </c>
      <c r="AB741" s="15" t="s">
        <v>35</v>
      </c>
    </row>
    <row r="742">
      <c r="A742" s="15">
        <v>738</v>
      </c>
      <c r="B742" s="15" t="s">
        <v>246</v>
      </c>
      <c r="C742" s="15" t="s">
        <v>276</v>
      </c>
      <c r="D742" s="15" t="s">
        <v>35</v>
      </c>
      <c r="E742" s="15" t="s">
        <v>35</v>
      </c>
      <c r="F742" s="15" t="s">
        <v>35</v>
      </c>
      <c r="G742" s="15" t="s">
        <v>35</v>
      </c>
      <c r="H742" s="15" t="s">
        <v>5079</v>
      </c>
      <c r="I742" s="15" t="s">
        <v>5080</v>
      </c>
      <c r="J742" s="15" t="s">
        <v>5081</v>
      </c>
      <c r="K742" s="15" t="s">
        <v>40</v>
      </c>
      <c r="L742" s="15" t="s">
        <v>41</v>
      </c>
      <c r="M742" s="15" t="s">
        <v>252</v>
      </c>
      <c r="N742" s="15" t="s">
        <v>253</v>
      </c>
      <c r="O742" s="15" t="s">
        <v>44</v>
      </c>
      <c r="P742" s="15" t="s">
        <v>5082</v>
      </c>
      <c r="Q742" s="15" t="s">
        <v>5083</v>
      </c>
      <c r="R742" s="16">
        <v>44329</v>
      </c>
      <c r="S742" s="17" t="s">
        <v>2925</v>
      </c>
      <c r="T742" s="20">
        <f>HYPERLINK("https://vnm.spiral.com.vn//uploaded/20210513/fd203453-960b-4e1f-a243-f6b8ddb3d095.JPEG","15:55:55")</f>
      </c>
      <c r="U742" s="18"/>
      <c r="V742" s="18" t="s">
        <v>35</v>
      </c>
      <c r="W742" s="15" t="s">
        <v>5084</v>
      </c>
      <c r="X742" s="15" t="s">
        <v>35</v>
      </c>
      <c r="Y742" s="15" t="s">
        <v>35</v>
      </c>
      <c r="Z742" s="19">
        <v>0</v>
      </c>
      <c r="AA742" s="15">
        <v>0</v>
      </c>
      <c r="AB742" s="15" t="s">
        <v>35</v>
      </c>
    </row>
    <row r="743">
      <c r="A743" s="15">
        <v>739</v>
      </c>
      <c r="B743" s="15" t="s">
        <v>87</v>
      </c>
      <c r="C743" s="15" t="s">
        <v>88</v>
      </c>
      <c r="D743" s="15" t="s">
        <v>35</v>
      </c>
      <c r="E743" s="15" t="s">
        <v>35</v>
      </c>
      <c r="F743" s="15" t="s">
        <v>35</v>
      </c>
      <c r="G743" s="15" t="s">
        <v>74</v>
      </c>
      <c r="H743" s="15" t="s">
        <v>5085</v>
      </c>
      <c r="I743" s="15" t="s">
        <v>5086</v>
      </c>
      <c r="J743" s="15" t="s">
        <v>5087</v>
      </c>
      <c r="K743" s="15" t="s">
        <v>888</v>
      </c>
      <c r="L743" s="15" t="s">
        <v>889</v>
      </c>
      <c r="M743" s="15" t="s">
        <v>890</v>
      </c>
      <c r="N743" s="15" t="s">
        <v>891</v>
      </c>
      <c r="O743" s="15" t="s">
        <v>82</v>
      </c>
      <c r="P743" s="15" t="s">
        <v>1547</v>
      </c>
      <c r="Q743" s="15" t="s">
        <v>1548</v>
      </c>
      <c r="R743" s="16">
        <v>44329</v>
      </c>
      <c r="S743" s="17" t="s">
        <v>70</v>
      </c>
      <c r="T743" s="20">
        <f>HYPERLINK("https://vnm.spiral.com.vn//uploaded/20210513/E49ACBDF-4E5E-416F-825D-1F65CC9506C9.jpg","15:19:17")</f>
      </c>
      <c r="U743" s="20">
        <f>HYPERLINK("https://vnm.spiral.com.vn//uploaded/20210513/48B6F732-5713-4344-8336-A87F3BCA106A.jpg","15:55:50")</f>
      </c>
      <c r="V743" s="18">
        <v>0.025381944444444443</v>
      </c>
      <c r="W743" s="15" t="s">
        <v>5088</v>
      </c>
      <c r="X743" s="15" t="s">
        <v>5088</v>
      </c>
      <c r="Y743" s="15" t="s">
        <v>35</v>
      </c>
      <c r="Z743" s="19">
        <v>0</v>
      </c>
      <c r="AA743" s="15">
        <v>0</v>
      </c>
      <c r="AB743" s="15" t="s">
        <v>35</v>
      </c>
    </row>
    <row r="744">
      <c r="A744" s="15">
        <v>740</v>
      </c>
      <c r="B744" s="15" t="s">
        <v>87</v>
      </c>
      <c r="C744" s="15" t="s">
        <v>88</v>
      </c>
      <c r="D744" s="15" t="s">
        <v>432</v>
      </c>
      <c r="E744" s="15" t="s">
        <v>116</v>
      </c>
      <c r="F744" s="15" t="s">
        <v>35</v>
      </c>
      <c r="G744" s="15" t="s">
        <v>74</v>
      </c>
      <c r="H744" s="15" t="s">
        <v>5089</v>
      </c>
      <c r="I744" s="15" t="s">
        <v>5090</v>
      </c>
      <c r="J744" s="15" t="s">
        <v>5091</v>
      </c>
      <c r="K744" s="15" t="s">
        <v>625</v>
      </c>
      <c r="L744" s="15" t="s">
        <v>626</v>
      </c>
      <c r="M744" s="15" t="s">
        <v>1022</v>
      </c>
      <c r="N744" s="15" t="s">
        <v>1023</v>
      </c>
      <c r="O744" s="15" t="s">
        <v>82</v>
      </c>
      <c r="P744" s="15" t="s">
        <v>1024</v>
      </c>
      <c r="Q744" s="15" t="s">
        <v>1025</v>
      </c>
      <c r="R744" s="16">
        <v>44329</v>
      </c>
      <c r="S744" s="17" t="s">
        <v>70</v>
      </c>
      <c r="T744" s="20">
        <f>HYPERLINK("https://vnm.spiral.com.vn//uploaded/20210513/01288137-80C8-4747-90E5-C3D6A753D73C.jpg","15:38:14")</f>
      </c>
      <c r="U744" s="20">
        <f>HYPERLINK("https://vnm.spiral.com.vn//uploaded/20210513/44074D51-016E-4683-A233-9F679BA4D88C.jpg","15:55:43")</f>
      </c>
      <c r="V744" s="18">
        <v>0.012141203703703704</v>
      </c>
      <c r="W744" s="15" t="s">
        <v>5092</v>
      </c>
      <c r="X744" s="15" t="s">
        <v>5093</v>
      </c>
      <c r="Y744" s="15" t="s">
        <v>35</v>
      </c>
      <c r="Z744" s="19">
        <v>0</v>
      </c>
      <c r="AA744" s="15">
        <v>0</v>
      </c>
      <c r="AB744" s="15" t="s">
        <v>35</v>
      </c>
    </row>
    <row r="745">
      <c r="A745" s="15">
        <v>741</v>
      </c>
      <c r="B745" s="15" t="s">
        <v>49</v>
      </c>
      <c r="C745" s="15" t="s">
        <v>162</v>
      </c>
      <c r="D745" s="15" t="s">
        <v>35</v>
      </c>
      <c r="E745" s="15" t="s">
        <v>35</v>
      </c>
      <c r="F745" s="15" t="s">
        <v>35</v>
      </c>
      <c r="G745" s="15" t="s">
        <v>35</v>
      </c>
      <c r="H745" s="15" t="s">
        <v>5094</v>
      </c>
      <c r="I745" s="15" t="s">
        <v>5095</v>
      </c>
      <c r="J745" s="15" t="s">
        <v>5096</v>
      </c>
      <c r="K745" s="15" t="s">
        <v>40</v>
      </c>
      <c r="L745" s="15" t="s">
        <v>41</v>
      </c>
      <c r="M745" s="15" t="s">
        <v>55</v>
      </c>
      <c r="N745" s="15" t="s">
        <v>56</v>
      </c>
      <c r="O745" s="15" t="s">
        <v>44</v>
      </c>
      <c r="P745" s="15" t="s">
        <v>5097</v>
      </c>
      <c r="Q745" s="15" t="s">
        <v>5098</v>
      </c>
      <c r="R745" s="16">
        <v>44329</v>
      </c>
      <c r="S745" s="17" t="s">
        <v>2925</v>
      </c>
      <c r="T745" s="20">
        <f>HYPERLINK("https://vnm.spiral.com.vn//uploaded/20210513/8FC44A9D-BCC9-4B5E-BA63-7AFB37A47F5C.jpg","15:55:42")</f>
      </c>
      <c r="U745" s="18"/>
      <c r="V745" s="18" t="s">
        <v>35</v>
      </c>
      <c r="W745" s="15" t="s">
        <v>5099</v>
      </c>
      <c r="X745" s="15" t="s">
        <v>35</v>
      </c>
      <c r="Y745" s="15" t="s">
        <v>35</v>
      </c>
      <c r="Z745" s="19">
        <v>0</v>
      </c>
      <c r="AA745" s="15">
        <v>0</v>
      </c>
      <c r="AB745" s="15" t="s">
        <v>35</v>
      </c>
    </row>
    <row r="746">
      <c r="A746" s="15">
        <v>742</v>
      </c>
      <c r="B746" s="15" t="s">
        <v>61</v>
      </c>
      <c r="C746" s="15" t="s">
        <v>712</v>
      </c>
      <c r="D746" s="15" t="s">
        <v>35</v>
      </c>
      <c r="E746" s="15" t="s">
        <v>35</v>
      </c>
      <c r="F746" s="15" t="s">
        <v>35</v>
      </c>
      <c r="G746" s="15" t="s">
        <v>36</v>
      </c>
      <c r="H746" s="15" t="s">
        <v>5100</v>
      </c>
      <c r="I746" s="15" t="s">
        <v>5101</v>
      </c>
      <c r="J746" s="15" t="s">
        <v>5102</v>
      </c>
      <c r="K746" s="15" t="s">
        <v>40</v>
      </c>
      <c r="L746" s="15" t="s">
        <v>41</v>
      </c>
      <c r="M746" s="15" t="s">
        <v>205</v>
      </c>
      <c r="N746" s="15" t="s">
        <v>206</v>
      </c>
      <c r="O746" s="15" t="s">
        <v>44</v>
      </c>
      <c r="P746" s="15" t="s">
        <v>5103</v>
      </c>
      <c r="Q746" s="15" t="s">
        <v>5104</v>
      </c>
      <c r="R746" s="16">
        <v>44329</v>
      </c>
      <c r="S746" s="17" t="s">
        <v>5105</v>
      </c>
      <c r="T746" s="20">
        <f>HYPERLINK("https://vnm.spiral.com.vn//uploaded/20210513/FA928D69-E661-441E-99FA-08A41C022B81.jpg","15:55:28")</f>
      </c>
      <c r="U746" s="18"/>
      <c r="V746" s="18" t="s">
        <v>35</v>
      </c>
      <c r="W746" s="15" t="s">
        <v>5106</v>
      </c>
      <c r="X746" s="15" t="s">
        <v>35</v>
      </c>
      <c r="Y746" s="15" t="s">
        <v>35</v>
      </c>
      <c r="Z746" s="19">
        <v>0</v>
      </c>
      <c r="AA746" s="15">
        <v>0</v>
      </c>
      <c r="AB746" s="15" t="s">
        <v>35</v>
      </c>
    </row>
    <row r="747">
      <c r="A747" s="15">
        <v>743</v>
      </c>
      <c r="B747" s="15" t="s">
        <v>87</v>
      </c>
      <c r="C747" s="15" t="s">
        <v>88</v>
      </c>
      <c r="D747" s="15" t="s">
        <v>357</v>
      </c>
      <c r="E747" s="15" t="s">
        <v>90</v>
      </c>
      <c r="F747" s="15" t="s">
        <v>35</v>
      </c>
      <c r="G747" s="15" t="s">
        <v>74</v>
      </c>
      <c r="H747" s="15" t="s">
        <v>5107</v>
      </c>
      <c r="I747" s="15" t="s">
        <v>5108</v>
      </c>
      <c r="J747" s="15" t="s">
        <v>5109</v>
      </c>
      <c r="K747" s="15" t="s">
        <v>1570</v>
      </c>
      <c r="L747" s="15" t="s">
        <v>1571</v>
      </c>
      <c r="M747" s="15" t="s">
        <v>2024</v>
      </c>
      <c r="N747" s="15" t="s">
        <v>2025</v>
      </c>
      <c r="O747" s="15" t="s">
        <v>82</v>
      </c>
      <c r="P747" s="15" t="s">
        <v>2026</v>
      </c>
      <c r="Q747" s="15" t="s">
        <v>2027</v>
      </c>
      <c r="R747" s="16">
        <v>44329</v>
      </c>
      <c r="S747" s="17" t="s">
        <v>70</v>
      </c>
      <c r="T747" s="20">
        <f>HYPERLINK("https://vnm.spiral.com.vn//uploaded/20210513/55d6a95e-d3a3-479d-9b9b-2e503d4e0ae7.JPEG","15:28:06")</f>
      </c>
      <c r="U747" s="20">
        <f>HYPERLINK("https://vnm.spiral.com.vn//uploaded/20210513/c5ff9ea0-67a8-4bed-9596-3e3a2837f1fb.JPEG","15:55:25")</f>
      </c>
      <c r="V747" s="18">
        <v>0.018969907407407408</v>
      </c>
      <c r="W747" s="15" t="s">
        <v>5110</v>
      </c>
      <c r="X747" s="15" t="s">
        <v>5111</v>
      </c>
      <c r="Y747" s="15" t="s">
        <v>35</v>
      </c>
      <c r="Z747" s="19">
        <v>0</v>
      </c>
      <c r="AA747" s="15">
        <v>0</v>
      </c>
      <c r="AB747" s="15" t="s">
        <v>35</v>
      </c>
    </row>
    <row r="748">
      <c r="A748" s="15">
        <v>744</v>
      </c>
      <c r="B748" s="15" t="s">
        <v>343</v>
      </c>
      <c r="C748" s="15" t="s">
        <v>344</v>
      </c>
      <c r="D748" s="15" t="s">
        <v>432</v>
      </c>
      <c r="E748" s="15" t="s">
        <v>116</v>
      </c>
      <c r="F748" s="15" t="s">
        <v>35</v>
      </c>
      <c r="G748" s="15" t="s">
        <v>74</v>
      </c>
      <c r="H748" s="15" t="s">
        <v>5112</v>
      </c>
      <c r="I748" s="15" t="s">
        <v>5113</v>
      </c>
      <c r="J748" s="15" t="s">
        <v>5114</v>
      </c>
      <c r="K748" s="15" t="s">
        <v>915</v>
      </c>
      <c r="L748" s="15" t="s">
        <v>916</v>
      </c>
      <c r="M748" s="15" t="s">
        <v>1168</v>
      </c>
      <c r="N748" s="15" t="s">
        <v>1169</v>
      </c>
      <c r="O748" s="15" t="s">
        <v>98</v>
      </c>
      <c r="P748" s="15" t="s">
        <v>1170</v>
      </c>
      <c r="Q748" s="15" t="s">
        <v>1171</v>
      </c>
      <c r="R748" s="16">
        <v>44329</v>
      </c>
      <c r="S748" s="17" t="s">
        <v>70</v>
      </c>
      <c r="T748" s="20">
        <f>HYPERLINK("https://vnm.spiral.com.vn//uploaded/20210513/a9da06b3-d509-41be-b1cd-1513fe1743cf.JPEG","15:46:05")</f>
      </c>
      <c r="U748" s="20">
        <f>HYPERLINK("https://vnm.spiral.com.vn//uploaded/20210513/6ce7c438-18c4-4245-b1b5-d28ddb00dcf3.JPEG","15:55:18")</f>
      </c>
      <c r="V748" s="18">
        <v>0.006400462962962963</v>
      </c>
      <c r="W748" s="15" t="s">
        <v>5115</v>
      </c>
      <c r="X748" s="15" t="s">
        <v>5116</v>
      </c>
      <c r="Y748" s="15" t="s">
        <v>35</v>
      </c>
      <c r="Z748" s="19">
        <v>0</v>
      </c>
      <c r="AA748" s="15">
        <v>0</v>
      </c>
      <c r="AB748" s="15" t="s">
        <v>35</v>
      </c>
    </row>
    <row r="749">
      <c r="A749" s="15">
        <v>745</v>
      </c>
      <c r="B749" s="15" t="s">
        <v>103</v>
      </c>
      <c r="C749" s="15" t="s">
        <v>174</v>
      </c>
      <c r="D749" s="15" t="s">
        <v>135</v>
      </c>
      <c r="E749" s="15" t="s">
        <v>116</v>
      </c>
      <c r="F749" s="15" t="s">
        <v>35</v>
      </c>
      <c r="G749" s="15" t="s">
        <v>74</v>
      </c>
      <c r="H749" s="15" t="s">
        <v>5117</v>
      </c>
      <c r="I749" s="15" t="s">
        <v>5118</v>
      </c>
      <c r="J749" s="15" t="s">
        <v>5119</v>
      </c>
      <c r="K749" s="15" t="s">
        <v>178</v>
      </c>
      <c r="L749" s="15" t="s">
        <v>179</v>
      </c>
      <c r="M749" s="15" t="s">
        <v>180</v>
      </c>
      <c r="N749" s="15" t="s">
        <v>181</v>
      </c>
      <c r="O749" s="15" t="s">
        <v>82</v>
      </c>
      <c r="P749" s="15" t="s">
        <v>182</v>
      </c>
      <c r="Q749" s="15" t="s">
        <v>183</v>
      </c>
      <c r="R749" s="16">
        <v>44329</v>
      </c>
      <c r="S749" s="17" t="s">
        <v>70</v>
      </c>
      <c r="T749" s="20">
        <f>HYPERLINK("https://vnm.spiral.com.vn//uploaded/20210513/6b0769c5-fa0e-41d8-9d8e-e18283d11a21.JPEG","14:52:43")</f>
      </c>
      <c r="U749" s="20">
        <f>HYPERLINK("https://vnm.spiral.com.vn//uploaded/20210513/18dfb74c-2e79-4243-aac4-26a225e46980.JPEG","15:55:04")</f>
      </c>
      <c r="V749" s="18">
        <v>0.043298611111111114</v>
      </c>
      <c r="W749" s="15" t="s">
        <v>5120</v>
      </c>
      <c r="X749" s="15" t="s">
        <v>5121</v>
      </c>
      <c r="Y749" s="15" t="s">
        <v>35</v>
      </c>
      <c r="Z749" s="19">
        <v>0</v>
      </c>
      <c r="AA749" s="15">
        <v>0</v>
      </c>
      <c r="AB749" s="15" t="s">
        <v>35</v>
      </c>
    </row>
    <row r="750">
      <c r="A750" s="15">
        <v>746</v>
      </c>
      <c r="B750" s="15" t="s">
        <v>87</v>
      </c>
      <c r="C750" s="15" t="s">
        <v>88</v>
      </c>
      <c r="D750" s="15" t="s">
        <v>135</v>
      </c>
      <c r="E750" s="15" t="s">
        <v>116</v>
      </c>
      <c r="F750" s="15" t="s">
        <v>35</v>
      </c>
      <c r="G750" s="15" t="s">
        <v>74</v>
      </c>
      <c r="H750" s="15" t="s">
        <v>5122</v>
      </c>
      <c r="I750" s="15" t="s">
        <v>5123</v>
      </c>
      <c r="J750" s="15" t="s">
        <v>5124</v>
      </c>
      <c r="K750" s="15" t="s">
        <v>390</v>
      </c>
      <c r="L750" s="15" t="s">
        <v>391</v>
      </c>
      <c r="M750" s="15" t="s">
        <v>392</v>
      </c>
      <c r="N750" s="15" t="s">
        <v>393</v>
      </c>
      <c r="O750" s="15" t="s">
        <v>82</v>
      </c>
      <c r="P750" s="15" t="s">
        <v>5125</v>
      </c>
      <c r="Q750" s="15" t="s">
        <v>5126</v>
      </c>
      <c r="R750" s="16">
        <v>44329</v>
      </c>
      <c r="S750" s="17" t="s">
        <v>70</v>
      </c>
      <c r="T750" s="20">
        <f>HYPERLINK("https://vnm.spiral.com.vn//uploaded/20210513/289a346e-6ac1-4fc0-b4b5-a97151b5a600.JPEG","15:54:53")</f>
      </c>
      <c r="U750" s="18"/>
      <c r="V750" s="18" t="s">
        <v>35</v>
      </c>
      <c r="W750" s="15" t="s">
        <v>5127</v>
      </c>
      <c r="X750" s="15" t="s">
        <v>35</v>
      </c>
      <c r="Y750" s="15" t="s">
        <v>35</v>
      </c>
      <c r="Z750" s="19">
        <v>0</v>
      </c>
      <c r="AA750" s="15">
        <v>0</v>
      </c>
      <c r="AB750" s="15" t="s">
        <v>35</v>
      </c>
    </row>
    <row r="751">
      <c r="A751" s="15">
        <v>747</v>
      </c>
      <c r="B751" s="15" t="s">
        <v>87</v>
      </c>
      <c r="C751" s="15" t="s">
        <v>88</v>
      </c>
      <c r="D751" s="15" t="s">
        <v>35</v>
      </c>
      <c r="E751" s="15" t="s">
        <v>35</v>
      </c>
      <c r="F751" s="15" t="s">
        <v>1191</v>
      </c>
      <c r="G751" s="15" t="s">
        <v>36</v>
      </c>
      <c r="H751" s="15" t="s">
        <v>5128</v>
      </c>
      <c r="I751" s="15" t="s">
        <v>5129</v>
      </c>
      <c r="J751" s="15" t="s">
        <v>5130</v>
      </c>
      <c r="K751" s="15" t="s">
        <v>40</v>
      </c>
      <c r="L751" s="15" t="s">
        <v>41</v>
      </c>
      <c r="M751" s="15" t="s">
        <v>1195</v>
      </c>
      <c r="N751" s="15" t="s">
        <v>1196</v>
      </c>
      <c r="O751" s="15" t="s">
        <v>44</v>
      </c>
      <c r="P751" s="15" t="s">
        <v>5131</v>
      </c>
      <c r="Q751" s="15" t="s">
        <v>5132</v>
      </c>
      <c r="R751" s="16">
        <v>44329</v>
      </c>
      <c r="S751" s="17" t="s">
        <v>2925</v>
      </c>
      <c r="T751" s="20">
        <f>HYPERLINK("https://vnm.spiral.com.vn//uploaded/20210513/9D5E6B1D-3982-46D2-9FD7-95B1FCB43FC6.jpg","15:54:50")</f>
      </c>
      <c r="U751" s="18"/>
      <c r="V751" s="18" t="s">
        <v>35</v>
      </c>
      <c r="W751" s="15" t="s">
        <v>5133</v>
      </c>
      <c r="X751" s="15" t="s">
        <v>35</v>
      </c>
      <c r="Y751" s="15" t="s">
        <v>35</v>
      </c>
      <c r="Z751" s="19">
        <v>0</v>
      </c>
      <c r="AA751" s="15">
        <v>0</v>
      </c>
      <c r="AB751" s="15" t="s">
        <v>35</v>
      </c>
    </row>
    <row r="752">
      <c r="A752" s="15">
        <v>748</v>
      </c>
      <c r="B752" s="15" t="s">
        <v>87</v>
      </c>
      <c r="C752" s="15" t="s">
        <v>88</v>
      </c>
      <c r="D752" s="15" t="s">
        <v>432</v>
      </c>
      <c r="E752" s="15" t="s">
        <v>116</v>
      </c>
      <c r="F752" s="15" t="s">
        <v>35</v>
      </c>
      <c r="G752" s="15" t="s">
        <v>74</v>
      </c>
      <c r="H752" s="15" t="s">
        <v>3995</v>
      </c>
      <c r="I752" s="15" t="s">
        <v>3996</v>
      </c>
      <c r="J752" s="15" t="s">
        <v>3997</v>
      </c>
      <c r="K752" s="15" t="s">
        <v>94</v>
      </c>
      <c r="L752" s="15" t="s">
        <v>95</v>
      </c>
      <c r="M752" s="15" t="s">
        <v>625</v>
      </c>
      <c r="N752" s="15" t="s">
        <v>626</v>
      </c>
      <c r="O752" s="15" t="s">
        <v>98</v>
      </c>
      <c r="P752" s="15" t="s">
        <v>627</v>
      </c>
      <c r="Q752" s="15" t="s">
        <v>628</v>
      </c>
      <c r="R752" s="16">
        <v>44329</v>
      </c>
      <c r="S752" s="17" t="s">
        <v>70</v>
      </c>
      <c r="T752" s="20">
        <f>HYPERLINK("https://vnm.spiral.com.vn//uploaded/20210513/b8c789fc-3cad-4fca-b6ef-beb3b4241ec8.JPEG","15:29:10")</f>
      </c>
      <c r="U752" s="20">
        <f>HYPERLINK("https://vnm.spiral.com.vn//uploaded/20210513/76c3ad1d-2dcd-4f8d-9b75-d184a5e9e269.JPEG","15:54:46")</f>
      </c>
      <c r="V752" s="18">
        <v>0.017777777777777778</v>
      </c>
      <c r="W752" s="15" t="s">
        <v>5134</v>
      </c>
      <c r="X752" s="15" t="s">
        <v>5135</v>
      </c>
      <c r="Y752" s="15" t="s">
        <v>35</v>
      </c>
      <c r="Z752" s="19">
        <v>0</v>
      </c>
      <c r="AA752" s="15">
        <v>0</v>
      </c>
      <c r="AB752" s="15" t="s">
        <v>35</v>
      </c>
    </row>
    <row r="753">
      <c r="A753" s="15">
        <v>749</v>
      </c>
      <c r="B753" s="15" t="s">
        <v>61</v>
      </c>
      <c r="C753" s="15" t="s">
        <v>737</v>
      </c>
      <c r="D753" s="15" t="s">
        <v>35</v>
      </c>
      <c r="E753" s="15" t="s">
        <v>35</v>
      </c>
      <c r="F753" s="15" t="s">
        <v>4966</v>
      </c>
      <c r="G753" s="15" t="s">
        <v>36</v>
      </c>
      <c r="H753" s="15" t="s">
        <v>5136</v>
      </c>
      <c r="I753" s="15" t="s">
        <v>5137</v>
      </c>
      <c r="J753" s="15" t="s">
        <v>5138</v>
      </c>
      <c r="K753" s="15" t="s">
        <v>40</v>
      </c>
      <c r="L753" s="15" t="s">
        <v>41</v>
      </c>
      <c r="M753" s="15" t="s">
        <v>205</v>
      </c>
      <c r="N753" s="15" t="s">
        <v>206</v>
      </c>
      <c r="O753" s="15" t="s">
        <v>44</v>
      </c>
      <c r="P753" s="15" t="s">
        <v>5139</v>
      </c>
      <c r="Q753" s="15" t="s">
        <v>5140</v>
      </c>
      <c r="R753" s="16">
        <v>44329</v>
      </c>
      <c r="S753" s="17" t="s">
        <v>2925</v>
      </c>
      <c r="T753" s="20">
        <f>HYPERLINK("https://vnm.spiral.com.vn//uploaded/20210513/d2c1ba42-3a08-4b10-9c61-83119a419429.JPEG","15:54:42")</f>
      </c>
      <c r="U753" s="18"/>
      <c r="V753" s="18" t="s">
        <v>35</v>
      </c>
      <c r="W753" s="15" t="s">
        <v>5141</v>
      </c>
      <c r="X753" s="15" t="s">
        <v>35</v>
      </c>
      <c r="Y753" s="15" t="s">
        <v>35</v>
      </c>
      <c r="Z753" s="19">
        <v>0</v>
      </c>
      <c r="AA753" s="15">
        <v>0</v>
      </c>
      <c r="AB753" s="15" t="s">
        <v>35</v>
      </c>
    </row>
    <row r="754">
      <c r="A754" s="15">
        <v>750</v>
      </c>
      <c r="B754" s="15" t="s">
        <v>87</v>
      </c>
      <c r="C754" s="15" t="s">
        <v>88</v>
      </c>
      <c r="D754" s="15" t="s">
        <v>35</v>
      </c>
      <c r="E754" s="15" t="s">
        <v>35</v>
      </c>
      <c r="F754" s="15" t="s">
        <v>35</v>
      </c>
      <c r="G754" s="15" t="s">
        <v>36</v>
      </c>
      <c r="H754" s="15" t="s">
        <v>5142</v>
      </c>
      <c r="I754" s="15" t="s">
        <v>5143</v>
      </c>
      <c r="J754" s="15" t="s">
        <v>5144</v>
      </c>
      <c r="K754" s="15" t="s">
        <v>40</v>
      </c>
      <c r="L754" s="15" t="s">
        <v>41</v>
      </c>
      <c r="M754" s="15" t="s">
        <v>289</v>
      </c>
      <c r="N754" s="15" t="s">
        <v>290</v>
      </c>
      <c r="O754" s="15" t="s">
        <v>44</v>
      </c>
      <c r="P754" s="15" t="s">
        <v>5145</v>
      </c>
      <c r="Q754" s="15" t="s">
        <v>5146</v>
      </c>
      <c r="R754" s="16">
        <v>44329</v>
      </c>
      <c r="S754" s="17" t="s">
        <v>70</v>
      </c>
      <c r="T754" s="20">
        <f>HYPERLINK("https://vnm.spiral.com.vn//uploaded/20210513/85222ccf-734a-4daf-a2f9-52b098d1bbdd.JPEG","07:56:54")</f>
      </c>
      <c r="U754" s="20">
        <f>HYPERLINK("https://vnm.spiral.com.vn//uploaded/20210513/0619a47c-c241-4aad-aa82-abfda633115c.JPEG","15:54:40")</f>
      </c>
      <c r="V754" s="18">
        <v>0.3317824074074074</v>
      </c>
      <c r="W754" s="15" t="s">
        <v>5147</v>
      </c>
      <c r="X754" s="15" t="s">
        <v>5148</v>
      </c>
      <c r="Y754" s="15" t="s">
        <v>35</v>
      </c>
      <c r="Z754" s="19">
        <v>0</v>
      </c>
      <c r="AA754" s="15">
        <v>0</v>
      </c>
      <c r="AB754" s="15" t="s">
        <v>35</v>
      </c>
    </row>
    <row r="755">
      <c r="A755" s="15">
        <v>751</v>
      </c>
      <c r="B755" s="15" t="s">
        <v>246</v>
      </c>
      <c r="C755" s="15" t="s">
        <v>276</v>
      </c>
      <c r="D755" s="15" t="s">
        <v>304</v>
      </c>
      <c r="E755" s="15" t="s">
        <v>305</v>
      </c>
      <c r="F755" s="15" t="s">
        <v>35</v>
      </c>
      <c r="G755" s="15" t="s">
        <v>74</v>
      </c>
      <c r="H755" s="15" t="s">
        <v>5149</v>
      </c>
      <c r="I755" s="15" t="s">
        <v>5150</v>
      </c>
      <c r="J755" s="15" t="s">
        <v>5151</v>
      </c>
      <c r="K755" s="15" t="s">
        <v>166</v>
      </c>
      <c r="L755" s="15" t="s">
        <v>167</v>
      </c>
      <c r="M755" s="15" t="s">
        <v>263</v>
      </c>
      <c r="N755" s="15" t="s">
        <v>264</v>
      </c>
      <c r="O755" s="15" t="s">
        <v>98</v>
      </c>
      <c r="P755" s="15" t="s">
        <v>280</v>
      </c>
      <c r="Q755" s="15" t="s">
        <v>281</v>
      </c>
      <c r="R755" s="16">
        <v>44329</v>
      </c>
      <c r="S755" s="17" t="s">
        <v>70</v>
      </c>
      <c r="T755" s="20">
        <f>HYPERLINK("https://vnm.spiral.com.vn//uploaded/20210513/99f164d8-cef8-48f1-846a-dfc7f73f3cc7.JPEG","12:05:28")</f>
      </c>
      <c r="U755" s="20">
        <f>HYPERLINK("https://vnm.spiral.com.vn//uploaded/20210513/59a3dd3b-49f0-4332-a1ea-395df4bd1dde.JPEG","15:54:40")</f>
      </c>
      <c r="V755" s="18">
        <v>0.15916666666666668</v>
      </c>
      <c r="W755" s="15" t="s">
        <v>5152</v>
      </c>
      <c r="X755" s="15" t="s">
        <v>5153</v>
      </c>
      <c r="Y755" s="15" t="s">
        <v>35</v>
      </c>
      <c r="Z755" s="19">
        <v>0</v>
      </c>
      <c r="AA755" s="15">
        <v>0</v>
      </c>
      <c r="AB755" s="15" t="s">
        <v>35</v>
      </c>
    </row>
    <row r="756">
      <c r="A756" s="15">
        <v>752</v>
      </c>
      <c r="B756" s="15" t="s">
        <v>87</v>
      </c>
      <c r="C756" s="15" t="s">
        <v>88</v>
      </c>
      <c r="D756" s="15" t="s">
        <v>35</v>
      </c>
      <c r="E756" s="15" t="s">
        <v>35</v>
      </c>
      <c r="F756" s="15" t="s">
        <v>806</v>
      </c>
      <c r="G756" s="15" t="s">
        <v>36</v>
      </c>
      <c r="H756" s="15" t="s">
        <v>5154</v>
      </c>
      <c r="I756" s="15" t="s">
        <v>5155</v>
      </c>
      <c r="J756" s="15" t="s">
        <v>5156</v>
      </c>
      <c r="K756" s="15" t="s">
        <v>40</v>
      </c>
      <c r="L756" s="15" t="s">
        <v>41</v>
      </c>
      <c r="M756" s="15" t="s">
        <v>810</v>
      </c>
      <c r="N756" s="15" t="s">
        <v>811</v>
      </c>
      <c r="O756" s="15" t="s">
        <v>44</v>
      </c>
      <c r="P756" s="15" t="s">
        <v>5157</v>
      </c>
      <c r="Q756" s="15" t="s">
        <v>5158</v>
      </c>
      <c r="R756" s="16">
        <v>44329</v>
      </c>
      <c r="S756" s="17" t="s">
        <v>2925</v>
      </c>
      <c r="T756" s="20">
        <f>HYPERLINK("https://vnm.spiral.com.vn//uploaded/20210513/017a6588-c462-4dc9-bb3c-eaeefad2246d.JPEG","15:54:29")</f>
      </c>
      <c r="U756" s="18"/>
      <c r="V756" s="18" t="s">
        <v>35</v>
      </c>
      <c r="W756" s="15" t="s">
        <v>5159</v>
      </c>
      <c r="X756" s="15" t="s">
        <v>35</v>
      </c>
      <c r="Y756" s="15" t="s">
        <v>35</v>
      </c>
      <c r="Z756" s="19">
        <v>0</v>
      </c>
      <c r="AA756" s="15">
        <v>0</v>
      </c>
      <c r="AB756" s="15" t="s">
        <v>35</v>
      </c>
    </row>
    <row r="757">
      <c r="A757" s="15">
        <v>753</v>
      </c>
      <c r="B757" s="15" t="s">
        <v>49</v>
      </c>
      <c r="C757" s="15" t="s">
        <v>369</v>
      </c>
      <c r="D757" s="15" t="s">
        <v>35</v>
      </c>
      <c r="E757" s="15" t="s">
        <v>35</v>
      </c>
      <c r="F757" s="15" t="s">
        <v>370</v>
      </c>
      <c r="G757" s="15" t="s">
        <v>36</v>
      </c>
      <c r="H757" s="15" t="s">
        <v>5160</v>
      </c>
      <c r="I757" s="15" t="s">
        <v>4357</v>
      </c>
      <c r="J757" s="15" t="s">
        <v>5161</v>
      </c>
      <c r="K757" s="15" t="s">
        <v>40</v>
      </c>
      <c r="L757" s="15" t="s">
        <v>41</v>
      </c>
      <c r="M757" s="15" t="s">
        <v>55</v>
      </c>
      <c r="N757" s="15" t="s">
        <v>56</v>
      </c>
      <c r="O757" s="15" t="s">
        <v>44</v>
      </c>
      <c r="P757" s="15" t="s">
        <v>5162</v>
      </c>
      <c r="Q757" s="15" t="s">
        <v>5163</v>
      </c>
      <c r="R757" s="16">
        <v>44329</v>
      </c>
      <c r="S757" s="17" t="s">
        <v>2925</v>
      </c>
      <c r="T757" s="20">
        <f>HYPERLINK("https://vnm.spiral.com.vn//uploaded/20210513/009DE213-C56E-46FA-9328-C92A5BC41898.jpg","15:54:27")</f>
      </c>
      <c r="U757" s="18"/>
      <c r="V757" s="18" t="s">
        <v>35</v>
      </c>
      <c r="W757" s="15" t="s">
        <v>5164</v>
      </c>
      <c r="X757" s="15" t="s">
        <v>35</v>
      </c>
      <c r="Y757" s="15" t="s">
        <v>35</v>
      </c>
      <c r="Z757" s="19">
        <v>0</v>
      </c>
      <c r="AA757" s="15">
        <v>0</v>
      </c>
      <c r="AB757" s="15" t="s">
        <v>35</v>
      </c>
    </row>
    <row r="758">
      <c r="A758" s="15">
        <v>754</v>
      </c>
      <c r="B758" s="15" t="s">
        <v>87</v>
      </c>
      <c r="C758" s="15" t="s">
        <v>88</v>
      </c>
      <c r="D758" s="15" t="s">
        <v>610</v>
      </c>
      <c r="E758" s="15" t="s">
        <v>90</v>
      </c>
      <c r="F758" s="15" t="s">
        <v>35</v>
      </c>
      <c r="G758" s="15" t="s">
        <v>74</v>
      </c>
      <c r="H758" s="15" t="s">
        <v>5165</v>
      </c>
      <c r="I758" s="15" t="s">
        <v>5166</v>
      </c>
      <c r="J758" s="15" t="s">
        <v>5167</v>
      </c>
      <c r="K758" s="15" t="s">
        <v>614</v>
      </c>
      <c r="L758" s="15" t="s">
        <v>615</v>
      </c>
      <c r="M758" s="15" t="s">
        <v>616</v>
      </c>
      <c r="N758" s="15" t="s">
        <v>617</v>
      </c>
      <c r="O758" s="15" t="s">
        <v>82</v>
      </c>
      <c r="P758" s="15" t="s">
        <v>1251</v>
      </c>
      <c r="Q758" s="15" t="s">
        <v>1252</v>
      </c>
      <c r="R758" s="16">
        <v>44329</v>
      </c>
      <c r="S758" s="17" t="s">
        <v>70</v>
      </c>
      <c r="T758" s="20">
        <f>HYPERLINK("https://vnm.spiral.com.vn//uploaded/20210513/B23923E9-2773-4AD0-8345-75FB4651010A.jpg","14:59:55")</f>
      </c>
      <c r="U758" s="20">
        <f>HYPERLINK("https://vnm.spiral.com.vn//uploaded/20210513/9F03A2E0-6EF3-4ADA-AB07-44164245075A.jpg","15:54:15")</f>
      </c>
      <c r="V758" s="18">
        <v>0.037731481481481484</v>
      </c>
      <c r="W758" s="15" t="s">
        <v>5168</v>
      </c>
      <c r="X758" s="15" t="s">
        <v>5169</v>
      </c>
      <c r="Y758" s="15" t="s">
        <v>35</v>
      </c>
      <c r="Z758" s="19">
        <v>0</v>
      </c>
      <c r="AA758" s="15">
        <v>0</v>
      </c>
      <c r="AB758" s="15" t="s">
        <v>35</v>
      </c>
    </row>
    <row r="759">
      <c r="A759" s="15">
        <v>755</v>
      </c>
      <c r="B759" s="15" t="s">
        <v>103</v>
      </c>
      <c r="C759" s="15" t="s">
        <v>104</v>
      </c>
      <c r="D759" s="15" t="s">
        <v>35</v>
      </c>
      <c r="E759" s="15" t="s">
        <v>35</v>
      </c>
      <c r="F759" s="15" t="s">
        <v>35</v>
      </c>
      <c r="G759" s="15" t="s">
        <v>36</v>
      </c>
      <c r="H759" s="15" t="s">
        <v>5170</v>
      </c>
      <c r="I759" s="15" t="s">
        <v>5171</v>
      </c>
      <c r="J759" s="15" t="s">
        <v>5172</v>
      </c>
      <c r="K759" s="15" t="s">
        <v>40</v>
      </c>
      <c r="L759" s="15" t="s">
        <v>41</v>
      </c>
      <c r="M759" s="15" t="s">
        <v>108</v>
      </c>
      <c r="N759" s="15" t="s">
        <v>109</v>
      </c>
      <c r="O759" s="15" t="s">
        <v>44</v>
      </c>
      <c r="P759" s="15" t="s">
        <v>5173</v>
      </c>
      <c r="Q759" s="15" t="s">
        <v>5174</v>
      </c>
      <c r="R759" s="16">
        <v>44329</v>
      </c>
      <c r="S759" s="17" t="s">
        <v>2925</v>
      </c>
      <c r="T759" s="20">
        <f>HYPERLINK("https://vnm.spiral.com.vn//uploaded/20210513/FFE2AD47-A4D2-4DF6-B3DF-E78A2CEA970D.jpg","15:53:39")</f>
      </c>
      <c r="U759" s="18"/>
      <c r="V759" s="18" t="s">
        <v>35</v>
      </c>
      <c r="W759" s="15" t="s">
        <v>5175</v>
      </c>
      <c r="X759" s="15" t="s">
        <v>35</v>
      </c>
      <c r="Y759" s="15" t="s">
        <v>35</v>
      </c>
      <c r="Z759" s="19">
        <v>0</v>
      </c>
      <c r="AA759" s="15">
        <v>0</v>
      </c>
      <c r="AB759" s="15" t="s">
        <v>35</v>
      </c>
    </row>
    <row r="760">
      <c r="A760" s="15">
        <v>756</v>
      </c>
      <c r="B760" s="15" t="s">
        <v>343</v>
      </c>
      <c r="C760" s="15" t="s">
        <v>344</v>
      </c>
      <c r="D760" s="15" t="s">
        <v>357</v>
      </c>
      <c r="E760" s="15" t="s">
        <v>90</v>
      </c>
      <c r="F760" s="15" t="s">
        <v>35</v>
      </c>
      <c r="G760" s="15" t="s">
        <v>74</v>
      </c>
      <c r="H760" s="15" t="s">
        <v>485</v>
      </c>
      <c r="I760" s="15" t="s">
        <v>486</v>
      </c>
      <c r="J760" s="15" t="s">
        <v>487</v>
      </c>
      <c r="K760" s="15" t="s">
        <v>915</v>
      </c>
      <c r="L760" s="15" t="s">
        <v>916</v>
      </c>
      <c r="M760" s="15" t="s">
        <v>361</v>
      </c>
      <c r="N760" s="15" t="s">
        <v>362</v>
      </c>
      <c r="O760" s="15" t="s">
        <v>98</v>
      </c>
      <c r="P760" s="15" t="s">
        <v>363</v>
      </c>
      <c r="Q760" s="15" t="s">
        <v>364</v>
      </c>
      <c r="R760" s="16">
        <v>44329</v>
      </c>
      <c r="S760" s="17" t="s">
        <v>70</v>
      </c>
      <c r="T760" s="20">
        <f>HYPERLINK("https://vnm.spiral.com.vn//uploaded/20210513/384D4536-2D2A-4D0B-838A-529DBA96D59F.jpg","11:47:34")</f>
      </c>
      <c r="U760" s="20">
        <f>HYPERLINK("https://vnm.spiral.com.vn//uploaded/20210513/90E29B20-5FD1-417F-AA3C-3BD6BBE03E76.jpg","15:53:38")</f>
      </c>
      <c r="V760" s="18">
        <v>0.17087962962962963</v>
      </c>
      <c r="W760" s="15" t="s">
        <v>5176</v>
      </c>
      <c r="X760" s="15" t="s">
        <v>5177</v>
      </c>
      <c r="Y760" s="15" t="s">
        <v>35</v>
      </c>
      <c r="Z760" s="19">
        <v>0</v>
      </c>
      <c r="AA760" s="15">
        <v>0</v>
      </c>
      <c r="AB760" s="15" t="s">
        <v>35</v>
      </c>
    </row>
    <row r="761">
      <c r="A761" s="15">
        <v>757</v>
      </c>
      <c r="B761" s="15" t="s">
        <v>61</v>
      </c>
      <c r="C761" s="15" t="s">
        <v>442</v>
      </c>
      <c r="D761" s="15" t="s">
        <v>35</v>
      </c>
      <c r="E761" s="15" t="s">
        <v>35</v>
      </c>
      <c r="F761" s="15" t="s">
        <v>35</v>
      </c>
      <c r="G761" s="15" t="s">
        <v>36</v>
      </c>
      <c r="H761" s="15" t="s">
        <v>5178</v>
      </c>
      <c r="I761" s="15" t="s">
        <v>5179</v>
      </c>
      <c r="J761" s="15" t="s">
        <v>5180</v>
      </c>
      <c r="K761" s="15" t="s">
        <v>40</v>
      </c>
      <c r="L761" s="15" t="s">
        <v>41</v>
      </c>
      <c r="M761" s="15" t="s">
        <v>205</v>
      </c>
      <c r="N761" s="15" t="s">
        <v>206</v>
      </c>
      <c r="O761" s="15" t="s">
        <v>44</v>
      </c>
      <c r="P761" s="15" t="s">
        <v>5181</v>
      </c>
      <c r="Q761" s="15" t="s">
        <v>5182</v>
      </c>
      <c r="R761" s="16">
        <v>44329</v>
      </c>
      <c r="S761" s="17" t="s">
        <v>2925</v>
      </c>
      <c r="T761" s="20">
        <f>HYPERLINK("https://vnm.spiral.com.vn//uploaded/20210513/b0ef8e43-5339-40b6-8c07-783c32e7c83b.JPEG","15:53:16")</f>
      </c>
      <c r="U761" s="18"/>
      <c r="V761" s="18" t="s">
        <v>35</v>
      </c>
      <c r="W761" s="15" t="s">
        <v>5183</v>
      </c>
      <c r="X761" s="15" t="s">
        <v>35</v>
      </c>
      <c r="Y761" s="15" t="s">
        <v>35</v>
      </c>
      <c r="Z761" s="19">
        <v>0</v>
      </c>
      <c r="AA761" s="15">
        <v>0</v>
      </c>
      <c r="AB761" s="15" t="s">
        <v>35</v>
      </c>
    </row>
    <row r="762">
      <c r="A762" s="15">
        <v>758</v>
      </c>
      <c r="B762" s="15" t="s">
        <v>87</v>
      </c>
      <c r="C762" s="15" t="s">
        <v>88</v>
      </c>
      <c r="D762" s="15" t="s">
        <v>35</v>
      </c>
      <c r="E762" s="15" t="s">
        <v>35</v>
      </c>
      <c r="F762" s="15" t="s">
        <v>2667</v>
      </c>
      <c r="G762" s="15" t="s">
        <v>36</v>
      </c>
      <c r="H762" s="15" t="s">
        <v>5184</v>
      </c>
      <c r="I762" s="15" t="s">
        <v>5185</v>
      </c>
      <c r="J762" s="15" t="s">
        <v>5186</v>
      </c>
      <c r="K762" s="15" t="s">
        <v>40</v>
      </c>
      <c r="L762" s="15" t="s">
        <v>41</v>
      </c>
      <c r="M762" s="15" t="s">
        <v>1195</v>
      </c>
      <c r="N762" s="15" t="s">
        <v>1196</v>
      </c>
      <c r="O762" s="15" t="s">
        <v>44</v>
      </c>
      <c r="P762" s="15" t="s">
        <v>5187</v>
      </c>
      <c r="Q762" s="15" t="s">
        <v>5188</v>
      </c>
      <c r="R762" s="16">
        <v>44329</v>
      </c>
      <c r="S762" s="17" t="s">
        <v>2925</v>
      </c>
      <c r="T762" s="20">
        <f>HYPERLINK("https://vnm.spiral.com.vn//uploaded/20210513/052dba76-848f-4f4d-8ad2-7353f2dd8662.JPEG","15:53:09")</f>
      </c>
      <c r="U762" s="18"/>
      <c r="V762" s="18" t="s">
        <v>35</v>
      </c>
      <c r="W762" s="15" t="s">
        <v>5189</v>
      </c>
      <c r="X762" s="15" t="s">
        <v>35</v>
      </c>
      <c r="Y762" s="15" t="s">
        <v>35</v>
      </c>
      <c r="Z762" s="19">
        <v>0</v>
      </c>
      <c r="AA762" s="15">
        <v>0</v>
      </c>
      <c r="AB762" s="15" t="s">
        <v>35</v>
      </c>
    </row>
    <row r="763">
      <c r="A763" s="15">
        <v>759</v>
      </c>
      <c r="B763" s="15" t="s">
        <v>87</v>
      </c>
      <c r="C763" s="15" t="s">
        <v>88</v>
      </c>
      <c r="D763" s="15" t="s">
        <v>35</v>
      </c>
      <c r="E763" s="15" t="s">
        <v>35</v>
      </c>
      <c r="F763" s="15" t="s">
        <v>35</v>
      </c>
      <c r="G763" s="15" t="s">
        <v>36</v>
      </c>
      <c r="H763" s="15" t="s">
        <v>5190</v>
      </c>
      <c r="I763" s="15" t="s">
        <v>5191</v>
      </c>
      <c r="J763" s="15" t="s">
        <v>5192</v>
      </c>
      <c r="K763" s="15" t="s">
        <v>40</v>
      </c>
      <c r="L763" s="15" t="s">
        <v>41</v>
      </c>
      <c r="M763" s="15" t="s">
        <v>289</v>
      </c>
      <c r="N763" s="15" t="s">
        <v>290</v>
      </c>
      <c r="O763" s="15" t="s">
        <v>44</v>
      </c>
      <c r="P763" s="15" t="s">
        <v>5193</v>
      </c>
      <c r="Q763" s="15" t="s">
        <v>5194</v>
      </c>
      <c r="R763" s="16">
        <v>44329</v>
      </c>
      <c r="S763" s="17" t="s">
        <v>2925</v>
      </c>
      <c r="T763" s="20">
        <f>HYPERLINK("https://vnm.spiral.com.vn//uploaded/20210513/0f46d9b5-7c50-4263-93fc-ad0d2bf3c2ff.JPEG","15:53:00")</f>
      </c>
      <c r="U763" s="18"/>
      <c r="V763" s="18" t="s">
        <v>35</v>
      </c>
      <c r="W763" s="15" t="s">
        <v>5195</v>
      </c>
      <c r="X763" s="15" t="s">
        <v>35</v>
      </c>
      <c r="Y763" s="15" t="s">
        <v>35</v>
      </c>
      <c r="Z763" s="19">
        <v>0</v>
      </c>
      <c r="AA763" s="15">
        <v>0</v>
      </c>
      <c r="AB763" s="15" t="s">
        <v>35</v>
      </c>
    </row>
    <row r="764">
      <c r="A764" s="15">
        <v>760</v>
      </c>
      <c r="B764" s="15" t="s">
        <v>87</v>
      </c>
      <c r="C764" s="15" t="s">
        <v>88</v>
      </c>
      <c r="D764" s="15" t="s">
        <v>35</v>
      </c>
      <c r="E764" s="15" t="s">
        <v>35</v>
      </c>
      <c r="F764" s="15" t="s">
        <v>2789</v>
      </c>
      <c r="G764" s="15" t="s">
        <v>36</v>
      </c>
      <c r="H764" s="15" t="s">
        <v>5196</v>
      </c>
      <c r="I764" s="15" t="s">
        <v>5197</v>
      </c>
      <c r="J764" s="15" t="s">
        <v>5198</v>
      </c>
      <c r="K764" s="15" t="s">
        <v>40</v>
      </c>
      <c r="L764" s="15" t="s">
        <v>41</v>
      </c>
      <c r="M764" s="15" t="s">
        <v>289</v>
      </c>
      <c r="N764" s="15" t="s">
        <v>290</v>
      </c>
      <c r="O764" s="15" t="s">
        <v>44</v>
      </c>
      <c r="P764" s="15" t="s">
        <v>5199</v>
      </c>
      <c r="Q764" s="15" t="s">
        <v>5200</v>
      </c>
      <c r="R764" s="16">
        <v>44329</v>
      </c>
      <c r="S764" s="17" t="s">
        <v>2925</v>
      </c>
      <c r="T764" s="20">
        <f>HYPERLINK("https://vnm.spiral.com.vn//uploaded/20210513/bc2a8798-353d-4a95-b4dc-4b2575361b62.JPEG","15:52:53")</f>
      </c>
      <c r="U764" s="18"/>
      <c r="V764" s="18" t="s">
        <v>35</v>
      </c>
      <c r="W764" s="15" t="s">
        <v>5201</v>
      </c>
      <c r="X764" s="15" t="s">
        <v>35</v>
      </c>
      <c r="Y764" s="15" t="s">
        <v>35</v>
      </c>
      <c r="Z764" s="19">
        <v>0</v>
      </c>
      <c r="AA764" s="15">
        <v>0</v>
      </c>
      <c r="AB764" s="15" t="s">
        <v>35</v>
      </c>
    </row>
    <row r="765">
      <c r="A765" s="15">
        <v>761</v>
      </c>
      <c r="B765" s="15" t="s">
        <v>343</v>
      </c>
      <c r="C765" s="15" t="s">
        <v>344</v>
      </c>
      <c r="D765" s="15" t="s">
        <v>1644</v>
      </c>
      <c r="E765" s="15" t="s">
        <v>35</v>
      </c>
      <c r="F765" s="15" t="s">
        <v>35</v>
      </c>
      <c r="G765" s="15" t="s">
        <v>74</v>
      </c>
      <c r="H765" s="15" t="s">
        <v>5202</v>
      </c>
      <c r="I765" s="15" t="s">
        <v>5203</v>
      </c>
      <c r="J765" s="15" t="s">
        <v>5204</v>
      </c>
      <c r="K765" s="15" t="s">
        <v>584</v>
      </c>
      <c r="L765" s="15" t="s">
        <v>585</v>
      </c>
      <c r="M765" s="15" t="s">
        <v>827</v>
      </c>
      <c r="N765" s="15" t="s">
        <v>828</v>
      </c>
      <c r="O765" s="15" t="s">
        <v>82</v>
      </c>
      <c r="P765" s="15" t="s">
        <v>2717</v>
      </c>
      <c r="Q765" s="15" t="s">
        <v>2718</v>
      </c>
      <c r="R765" s="16">
        <v>44329</v>
      </c>
      <c r="S765" s="17" t="s">
        <v>70</v>
      </c>
      <c r="T765" s="20">
        <f>HYPERLINK("https://vnm.spiral.com.vn//uploaded/20210513/8DDB2FC2-402F-4B0B-8A32-D9E9F3A14B5A.jpg","15:36:41")</f>
      </c>
      <c r="U765" s="20">
        <f>HYPERLINK("https://vnm.spiral.com.vn//uploaded/20210513/985DC1B9-E460-47D1-82AF-B6ABEA7470B6.jpg","15:52:53")</f>
      </c>
      <c r="V765" s="18">
        <v>0.01125</v>
      </c>
      <c r="W765" s="15" t="s">
        <v>5205</v>
      </c>
      <c r="X765" s="15" t="s">
        <v>5206</v>
      </c>
      <c r="Y765" s="15" t="s">
        <v>35</v>
      </c>
      <c r="Z765" s="19">
        <v>0</v>
      </c>
      <c r="AA765" s="15">
        <v>0</v>
      </c>
      <c r="AB765" s="15" t="s">
        <v>35</v>
      </c>
    </row>
    <row r="766">
      <c r="A766" s="15">
        <v>762</v>
      </c>
      <c r="B766" s="15" t="s">
        <v>103</v>
      </c>
      <c r="C766" s="15" t="s">
        <v>2116</v>
      </c>
      <c r="D766" s="15" t="s">
        <v>35</v>
      </c>
      <c r="E766" s="15" t="s">
        <v>35</v>
      </c>
      <c r="F766" s="15" t="s">
        <v>35</v>
      </c>
      <c r="G766" s="15" t="s">
        <v>36</v>
      </c>
      <c r="H766" s="15" t="s">
        <v>5207</v>
      </c>
      <c r="I766" s="15" t="s">
        <v>5208</v>
      </c>
      <c r="J766" s="15" t="s">
        <v>5209</v>
      </c>
      <c r="K766" s="15" t="s">
        <v>40</v>
      </c>
      <c r="L766" s="15" t="s">
        <v>41</v>
      </c>
      <c r="M766" s="15" t="s">
        <v>108</v>
      </c>
      <c r="N766" s="15" t="s">
        <v>109</v>
      </c>
      <c r="O766" s="15" t="s">
        <v>44</v>
      </c>
      <c r="P766" s="15" t="s">
        <v>5210</v>
      </c>
      <c r="Q766" s="15" t="s">
        <v>58</v>
      </c>
      <c r="R766" s="16">
        <v>44329</v>
      </c>
      <c r="S766" s="17" t="s">
        <v>2925</v>
      </c>
      <c r="T766" s="20">
        <f>HYPERLINK("https://vnm.spiral.com.vn//uploaded/20210513/d6303615-ec65-42ba-bae5-9f6b947e2317.JPEG","15:52:47")</f>
      </c>
      <c r="U766" s="18"/>
      <c r="V766" s="18" t="s">
        <v>35</v>
      </c>
      <c r="W766" s="15" t="s">
        <v>5211</v>
      </c>
      <c r="X766" s="15" t="s">
        <v>35</v>
      </c>
      <c r="Y766" s="15" t="s">
        <v>35</v>
      </c>
      <c r="Z766" s="19">
        <v>0</v>
      </c>
      <c r="AA766" s="15">
        <v>0</v>
      </c>
      <c r="AB766" s="15" t="s">
        <v>35</v>
      </c>
    </row>
    <row r="767">
      <c r="A767" s="15">
        <v>763</v>
      </c>
      <c r="B767" s="15" t="s">
        <v>61</v>
      </c>
      <c r="C767" s="15" t="s">
        <v>398</v>
      </c>
      <c r="D767" s="15" t="s">
        <v>135</v>
      </c>
      <c r="E767" s="15" t="s">
        <v>116</v>
      </c>
      <c r="F767" s="15" t="s">
        <v>35</v>
      </c>
      <c r="G767" s="15" t="s">
        <v>74</v>
      </c>
      <c r="H767" s="15" t="s">
        <v>5212</v>
      </c>
      <c r="I767" s="15" t="s">
        <v>5213</v>
      </c>
      <c r="J767" s="15" t="s">
        <v>5214</v>
      </c>
      <c r="K767" s="15" t="s">
        <v>1586</v>
      </c>
      <c r="L767" s="15" t="s">
        <v>1587</v>
      </c>
      <c r="M767" s="15" t="s">
        <v>1588</v>
      </c>
      <c r="N767" s="15" t="s">
        <v>1589</v>
      </c>
      <c r="O767" s="15" t="s">
        <v>82</v>
      </c>
      <c r="P767" s="15" t="s">
        <v>5215</v>
      </c>
      <c r="Q767" s="15" t="s">
        <v>5216</v>
      </c>
      <c r="R767" s="16">
        <v>44329</v>
      </c>
      <c r="S767" s="17" t="s">
        <v>70</v>
      </c>
      <c r="T767" s="20">
        <f>HYPERLINK("https://vnm.spiral.com.vn//uploaded/20210513/976e5088-fe0c-4acc-9e8e-4776d828cf44.JPEG","14:50:40")</f>
      </c>
      <c r="U767" s="20">
        <f>HYPERLINK("https://vnm.spiral.com.vn//uploaded/20210513/4e82263d-c242-4067-97d4-2a7f9d925f4e.JPEG","15:52:29")</f>
      </c>
      <c r="V767" s="18">
        <v>0.04292824074074074</v>
      </c>
      <c r="W767" s="15" t="s">
        <v>5217</v>
      </c>
      <c r="X767" s="15" t="s">
        <v>5218</v>
      </c>
      <c r="Y767" s="15" t="s">
        <v>35</v>
      </c>
      <c r="Z767" s="19">
        <v>0</v>
      </c>
      <c r="AA767" s="15">
        <v>0</v>
      </c>
      <c r="AB767" s="15" t="s">
        <v>35</v>
      </c>
    </row>
    <row r="768">
      <c r="A768" s="15">
        <v>764</v>
      </c>
      <c r="B768" s="15" t="s">
        <v>87</v>
      </c>
      <c r="C768" s="15" t="s">
        <v>88</v>
      </c>
      <c r="D768" s="15" t="s">
        <v>35</v>
      </c>
      <c r="E768" s="15" t="s">
        <v>35</v>
      </c>
      <c r="F768" s="15" t="s">
        <v>1191</v>
      </c>
      <c r="G768" s="15" t="s">
        <v>36</v>
      </c>
      <c r="H768" s="15" t="s">
        <v>5219</v>
      </c>
      <c r="I768" s="15" t="s">
        <v>5220</v>
      </c>
      <c r="J768" s="15" t="s">
        <v>5221</v>
      </c>
      <c r="K768" s="15" t="s">
        <v>40</v>
      </c>
      <c r="L768" s="15" t="s">
        <v>41</v>
      </c>
      <c r="M768" s="15" t="s">
        <v>1195</v>
      </c>
      <c r="N768" s="15" t="s">
        <v>1196</v>
      </c>
      <c r="O768" s="15" t="s">
        <v>44</v>
      </c>
      <c r="P768" s="15" t="s">
        <v>5222</v>
      </c>
      <c r="Q768" s="15" t="s">
        <v>5223</v>
      </c>
      <c r="R768" s="16">
        <v>44329</v>
      </c>
      <c r="S768" s="17" t="s">
        <v>2925</v>
      </c>
      <c r="T768" s="20">
        <f>HYPERLINK("https://vnm.spiral.com.vn//uploaded/20210513/979CEE1C-0719-4568-A88A-D37769235009.jpg","15:52:22")</f>
      </c>
      <c r="U768" s="18"/>
      <c r="V768" s="18" t="s">
        <v>35</v>
      </c>
      <c r="W768" s="15" t="s">
        <v>5224</v>
      </c>
      <c r="X768" s="15" t="s">
        <v>35</v>
      </c>
      <c r="Y768" s="15" t="s">
        <v>35</v>
      </c>
      <c r="Z768" s="19">
        <v>0</v>
      </c>
      <c r="AA768" s="15">
        <v>0</v>
      </c>
      <c r="AB768" s="15" t="s">
        <v>35</v>
      </c>
    </row>
    <row r="769">
      <c r="A769" s="15">
        <v>765</v>
      </c>
      <c r="B769" s="15" t="s">
        <v>49</v>
      </c>
      <c r="C769" s="15" t="s">
        <v>369</v>
      </c>
      <c r="D769" s="15" t="s">
        <v>432</v>
      </c>
      <c r="E769" s="15" t="s">
        <v>116</v>
      </c>
      <c r="F769" s="15" t="s">
        <v>35</v>
      </c>
      <c r="G769" s="15" t="s">
        <v>74</v>
      </c>
      <c r="H769" s="15" t="s">
        <v>5225</v>
      </c>
      <c r="I769" s="15" t="s">
        <v>5226</v>
      </c>
      <c r="J769" s="15" t="s">
        <v>5227</v>
      </c>
      <c r="K769" s="15" t="s">
        <v>166</v>
      </c>
      <c r="L769" s="15" t="s">
        <v>167</v>
      </c>
      <c r="M769" s="15" t="s">
        <v>168</v>
      </c>
      <c r="N769" s="15" t="s">
        <v>169</v>
      </c>
      <c r="O769" s="15" t="s">
        <v>82</v>
      </c>
      <c r="P769" s="15" t="s">
        <v>5228</v>
      </c>
      <c r="Q769" s="15" t="s">
        <v>5229</v>
      </c>
      <c r="R769" s="16">
        <v>44329</v>
      </c>
      <c r="S769" s="17" t="s">
        <v>70</v>
      </c>
      <c r="T769" s="20">
        <f>HYPERLINK("https://vnm.spiral.com.vn//uploaded/20210513/4DC67A97-B2C4-45A4-8E5F-D4CBA59456C1.jpg","15:52:08")</f>
      </c>
      <c r="U769" s="18"/>
      <c r="V769" s="18" t="s">
        <v>35</v>
      </c>
      <c r="W769" s="15" t="s">
        <v>5230</v>
      </c>
      <c r="X769" s="15" t="s">
        <v>35</v>
      </c>
      <c r="Y769" s="15" t="s">
        <v>35</v>
      </c>
      <c r="Z769" s="19">
        <v>0</v>
      </c>
      <c r="AA769" s="15">
        <v>0</v>
      </c>
      <c r="AB769" s="15" t="s">
        <v>35</v>
      </c>
    </row>
    <row r="770">
      <c r="A770" s="15">
        <v>766</v>
      </c>
      <c r="B770" s="15" t="s">
        <v>103</v>
      </c>
      <c r="C770" s="15" t="s">
        <v>186</v>
      </c>
      <c r="D770" s="15" t="s">
        <v>432</v>
      </c>
      <c r="E770" s="15" t="s">
        <v>116</v>
      </c>
      <c r="F770" s="15" t="s">
        <v>35</v>
      </c>
      <c r="G770" s="15" t="s">
        <v>74</v>
      </c>
      <c r="H770" s="15" t="s">
        <v>5231</v>
      </c>
      <c r="I770" s="15" t="s">
        <v>5232</v>
      </c>
      <c r="J770" s="15" t="s">
        <v>5233</v>
      </c>
      <c r="K770" s="15" t="s">
        <v>436</v>
      </c>
      <c r="L770" s="15" t="s">
        <v>437</v>
      </c>
      <c r="M770" s="15" t="s">
        <v>438</v>
      </c>
      <c r="N770" s="15" t="s">
        <v>439</v>
      </c>
      <c r="O770" s="15" t="s">
        <v>82</v>
      </c>
      <c r="P770" s="15" t="s">
        <v>2554</v>
      </c>
      <c r="Q770" s="15" t="s">
        <v>2555</v>
      </c>
      <c r="R770" s="16">
        <v>44329</v>
      </c>
      <c r="S770" s="17" t="s">
        <v>70</v>
      </c>
      <c r="T770" s="20">
        <f>HYPERLINK("https://vnm.spiral.com.vn//uploaded/20210513/E2EA20AC-F431-4A7A-8DD6-C01A9CB26697.jpg","15:18:17")</f>
      </c>
      <c r="U770" s="20">
        <f>HYPERLINK("https://vnm.spiral.com.vn//uploaded/20210513/EC175904-E77F-4D93-98BF-003A8B7CAC2A.jpg","15:52:02")</f>
      </c>
      <c r="V770" s="18">
        <v>0.0234375</v>
      </c>
      <c r="W770" s="15" t="s">
        <v>5234</v>
      </c>
      <c r="X770" s="15" t="s">
        <v>5235</v>
      </c>
      <c r="Y770" s="15" t="s">
        <v>35</v>
      </c>
      <c r="Z770" s="19">
        <v>0</v>
      </c>
      <c r="AA770" s="15">
        <v>0</v>
      </c>
      <c r="AB770" s="15" t="s">
        <v>35</v>
      </c>
    </row>
    <row r="771">
      <c r="A771" s="15">
        <v>767</v>
      </c>
      <c r="B771" s="15" t="s">
        <v>343</v>
      </c>
      <c r="C771" s="15" t="s">
        <v>2069</v>
      </c>
      <c r="D771" s="15" t="s">
        <v>148</v>
      </c>
      <c r="E771" s="15" t="s">
        <v>90</v>
      </c>
      <c r="F771" s="15" t="s">
        <v>35</v>
      </c>
      <c r="G771" s="15" t="s">
        <v>74</v>
      </c>
      <c r="H771" s="15" t="s">
        <v>5236</v>
      </c>
      <c r="I771" s="15" t="s">
        <v>5237</v>
      </c>
      <c r="J771" s="15" t="s">
        <v>5238</v>
      </c>
      <c r="K771" s="15" t="s">
        <v>1168</v>
      </c>
      <c r="L771" s="15" t="s">
        <v>1169</v>
      </c>
      <c r="M771" s="15" t="s">
        <v>1170</v>
      </c>
      <c r="N771" s="15" t="s">
        <v>1171</v>
      </c>
      <c r="O771" s="15" t="s">
        <v>156</v>
      </c>
      <c r="P771" s="15" t="s">
        <v>5239</v>
      </c>
      <c r="Q771" s="15" t="s">
        <v>5240</v>
      </c>
      <c r="R771" s="16">
        <v>44329</v>
      </c>
      <c r="S771" s="17" t="s">
        <v>159</v>
      </c>
      <c r="T771" s="20">
        <f>HYPERLINK("https://vnm.spiral.com.vn//uploaded/20210513/DA64A815-F93B-4B15-98F6-190B39D07C7B.jpg","06:53:55")</f>
      </c>
      <c r="U771" s="20">
        <f>HYPERLINK("https://vnm.spiral.com.vn//uploaded/20210513/4C84C93F-2804-42AE-A0A5-4B97DCF64EF7.jpg","15:50:59")</f>
      </c>
      <c r="V771" s="18">
        <v>0.37296296296296294</v>
      </c>
      <c r="W771" s="15" t="s">
        <v>5241</v>
      </c>
      <c r="X771" s="15" t="s">
        <v>5242</v>
      </c>
      <c r="Y771" s="15" t="s">
        <v>35</v>
      </c>
      <c r="Z771" s="19">
        <v>0</v>
      </c>
      <c r="AA771" s="15">
        <v>0</v>
      </c>
      <c r="AB771" s="15" t="s">
        <v>35</v>
      </c>
    </row>
    <row r="772">
      <c r="A772" s="15">
        <v>768</v>
      </c>
      <c r="B772" s="15" t="s">
        <v>33</v>
      </c>
      <c r="C772" s="15" t="s">
        <v>492</v>
      </c>
      <c r="D772" s="15" t="s">
        <v>148</v>
      </c>
      <c r="E772" s="15" t="s">
        <v>35</v>
      </c>
      <c r="F772" s="15" t="s">
        <v>35</v>
      </c>
      <c r="G772" s="15" t="s">
        <v>74</v>
      </c>
      <c r="H772" s="15" t="s">
        <v>5243</v>
      </c>
      <c r="I772" s="15" t="s">
        <v>5244</v>
      </c>
      <c r="J772" s="15" t="s">
        <v>5245</v>
      </c>
      <c r="K772" s="15" t="s">
        <v>540</v>
      </c>
      <c r="L772" s="15" t="s">
        <v>541</v>
      </c>
      <c r="M772" s="15" t="s">
        <v>78</v>
      </c>
      <c r="N772" s="15" t="s">
        <v>79</v>
      </c>
      <c r="O772" s="15" t="s">
        <v>156</v>
      </c>
      <c r="P772" s="15" t="s">
        <v>5246</v>
      </c>
      <c r="Q772" s="15" t="s">
        <v>5247</v>
      </c>
      <c r="R772" s="16">
        <v>44329</v>
      </c>
      <c r="S772" s="17" t="s">
        <v>1696</v>
      </c>
      <c r="T772" s="20">
        <f>HYPERLINK("https://vnm.spiral.com.vn//uploaded/20210513/da20b7a6-8729-4911-b172-a648ea3534d0.JPEG","06:49:40")</f>
      </c>
      <c r="U772" s="20">
        <f>HYPERLINK("https://vnm.spiral.com.vn//uploaded/20210513/72c03709-496f-4d9e-942e-5a661916f1dc.JPEG","15:50:57")</f>
      </c>
      <c r="V772" s="18">
        <v>0.3758912037037037</v>
      </c>
      <c r="W772" s="15" t="s">
        <v>5248</v>
      </c>
      <c r="X772" s="15" t="s">
        <v>5249</v>
      </c>
      <c r="Y772" s="15" t="s">
        <v>35</v>
      </c>
      <c r="Z772" s="19">
        <v>0</v>
      </c>
      <c r="AA772" s="15">
        <v>0</v>
      </c>
      <c r="AB772" s="15" t="s">
        <v>35</v>
      </c>
    </row>
    <row r="773">
      <c r="A773" s="15">
        <v>769</v>
      </c>
      <c r="B773" s="15" t="s">
        <v>61</v>
      </c>
      <c r="C773" s="15" t="s">
        <v>737</v>
      </c>
      <c r="D773" s="15" t="s">
        <v>35</v>
      </c>
      <c r="E773" s="15" t="s">
        <v>35</v>
      </c>
      <c r="F773" s="15" t="s">
        <v>35</v>
      </c>
      <c r="G773" s="15" t="s">
        <v>36</v>
      </c>
      <c r="H773" s="15" t="s">
        <v>5250</v>
      </c>
      <c r="I773" s="15" t="s">
        <v>5251</v>
      </c>
      <c r="J773" s="15" t="s">
        <v>5252</v>
      </c>
      <c r="K773" s="15" t="s">
        <v>40</v>
      </c>
      <c r="L773" s="15" t="s">
        <v>41</v>
      </c>
      <c r="M773" s="15" t="s">
        <v>205</v>
      </c>
      <c r="N773" s="15" t="s">
        <v>206</v>
      </c>
      <c r="O773" s="15" t="s">
        <v>44</v>
      </c>
      <c r="P773" s="15" t="s">
        <v>5253</v>
      </c>
      <c r="Q773" s="15" t="s">
        <v>5254</v>
      </c>
      <c r="R773" s="16">
        <v>44329</v>
      </c>
      <c r="S773" s="17" t="s">
        <v>2925</v>
      </c>
      <c r="T773" s="20">
        <f>HYPERLINK("https://vnm.spiral.com.vn//uploaded/20210513/20A2786C-07DD-4A63-A1EC-19FD7F7C0A44.jpg","15:50:47")</f>
      </c>
      <c r="U773" s="18"/>
      <c r="V773" s="18" t="s">
        <v>35</v>
      </c>
      <c r="W773" s="15" t="s">
        <v>5255</v>
      </c>
      <c r="X773" s="15" t="s">
        <v>35</v>
      </c>
      <c r="Y773" s="15" t="s">
        <v>35</v>
      </c>
      <c r="Z773" s="19">
        <v>0</v>
      </c>
      <c r="AA773" s="15">
        <v>0</v>
      </c>
      <c r="AB773" s="15" t="s">
        <v>35</v>
      </c>
    </row>
    <row r="774">
      <c r="A774" s="15">
        <v>770</v>
      </c>
      <c r="B774" s="15" t="s">
        <v>61</v>
      </c>
      <c r="C774" s="15" t="s">
        <v>320</v>
      </c>
      <c r="D774" s="15" t="s">
        <v>35</v>
      </c>
      <c r="E774" s="15" t="s">
        <v>35</v>
      </c>
      <c r="F774" s="15" t="s">
        <v>35</v>
      </c>
      <c r="G774" s="15" t="s">
        <v>36</v>
      </c>
      <c r="H774" s="15" t="s">
        <v>5256</v>
      </c>
      <c r="I774" s="15" t="s">
        <v>5257</v>
      </c>
      <c r="J774" s="15" t="s">
        <v>5258</v>
      </c>
      <c r="K774" s="15" t="s">
        <v>40</v>
      </c>
      <c r="L774" s="15" t="s">
        <v>41</v>
      </c>
      <c r="M774" s="15" t="s">
        <v>205</v>
      </c>
      <c r="N774" s="15" t="s">
        <v>206</v>
      </c>
      <c r="O774" s="15" t="s">
        <v>44</v>
      </c>
      <c r="P774" s="15" t="s">
        <v>5259</v>
      </c>
      <c r="Q774" s="15" t="s">
        <v>5260</v>
      </c>
      <c r="R774" s="16">
        <v>44329</v>
      </c>
      <c r="S774" s="17" t="s">
        <v>2925</v>
      </c>
      <c r="T774" s="20">
        <f>HYPERLINK("https://vnm.spiral.com.vn//uploaded/20210513/55d8aa46-d11e-42ee-953d-9af99ac7c89d.JPEG","15:50:44")</f>
      </c>
      <c r="U774" s="18"/>
      <c r="V774" s="18" t="s">
        <v>35</v>
      </c>
      <c r="W774" s="15" t="s">
        <v>5261</v>
      </c>
      <c r="X774" s="15" t="s">
        <v>35</v>
      </c>
      <c r="Y774" s="15" t="s">
        <v>35</v>
      </c>
      <c r="Z774" s="19">
        <v>0</v>
      </c>
      <c r="AA774" s="15">
        <v>0</v>
      </c>
      <c r="AB774" s="15" t="s">
        <v>35</v>
      </c>
    </row>
    <row r="775">
      <c r="A775" s="15">
        <v>771</v>
      </c>
      <c r="B775" s="15" t="s">
        <v>343</v>
      </c>
      <c r="C775" s="15" t="s">
        <v>344</v>
      </c>
      <c r="D775" s="15" t="s">
        <v>432</v>
      </c>
      <c r="E775" s="15" t="s">
        <v>116</v>
      </c>
      <c r="F775" s="15" t="s">
        <v>35</v>
      </c>
      <c r="G775" s="15" t="s">
        <v>74</v>
      </c>
      <c r="H775" s="15" t="s">
        <v>5262</v>
      </c>
      <c r="I775" s="15" t="s">
        <v>5263</v>
      </c>
      <c r="J775" s="15" t="s">
        <v>5264</v>
      </c>
      <c r="K775" s="15" t="s">
        <v>512</v>
      </c>
      <c r="L775" s="15" t="s">
        <v>513</v>
      </c>
      <c r="M775" s="15" t="s">
        <v>514</v>
      </c>
      <c r="N775" s="15" t="s">
        <v>515</v>
      </c>
      <c r="O775" s="15" t="s">
        <v>82</v>
      </c>
      <c r="P775" s="15" t="s">
        <v>1047</v>
      </c>
      <c r="Q775" s="15" t="s">
        <v>1048</v>
      </c>
      <c r="R775" s="16">
        <v>44329</v>
      </c>
      <c r="S775" s="17" t="s">
        <v>70</v>
      </c>
      <c r="T775" s="20">
        <f>HYPERLINK("https://vnm.spiral.com.vn//uploaded/20210513/0074092c-d4d7-43a5-a11f-f32fdaf9047f.JPEG","15:08:46")</f>
      </c>
      <c r="U775" s="20">
        <f>HYPERLINK("https://vnm.spiral.com.vn//uploaded/20210513/f3878a5e-2c61-4dae-a179-f506e7fa0efc.JPEG","15:50:40")</f>
      </c>
      <c r="V775" s="18">
        <v>0.029097222222222222</v>
      </c>
      <c r="W775" s="15" t="s">
        <v>5265</v>
      </c>
      <c r="X775" s="15" t="s">
        <v>5266</v>
      </c>
      <c r="Y775" s="15" t="s">
        <v>35</v>
      </c>
      <c r="Z775" s="19">
        <v>0</v>
      </c>
      <c r="AA775" s="15">
        <v>0</v>
      </c>
      <c r="AB775" s="15" t="s">
        <v>35</v>
      </c>
    </row>
    <row r="776">
      <c r="A776" s="15">
        <v>772</v>
      </c>
      <c r="B776" s="15" t="s">
        <v>103</v>
      </c>
      <c r="C776" s="15" t="s">
        <v>104</v>
      </c>
      <c r="D776" s="15" t="s">
        <v>35</v>
      </c>
      <c r="E776" s="15" t="s">
        <v>35</v>
      </c>
      <c r="F776" s="15" t="s">
        <v>35</v>
      </c>
      <c r="G776" s="15" t="s">
        <v>35</v>
      </c>
      <c r="H776" s="15" t="s">
        <v>5267</v>
      </c>
      <c r="I776" s="15" t="s">
        <v>5268</v>
      </c>
      <c r="J776" s="15" t="s">
        <v>5269</v>
      </c>
      <c r="K776" s="15" t="s">
        <v>40</v>
      </c>
      <c r="L776" s="15" t="s">
        <v>41</v>
      </c>
      <c r="M776" s="15" t="s">
        <v>108</v>
      </c>
      <c r="N776" s="15" t="s">
        <v>109</v>
      </c>
      <c r="O776" s="15" t="s">
        <v>44</v>
      </c>
      <c r="P776" s="15" t="s">
        <v>5270</v>
      </c>
      <c r="Q776" s="15" t="s">
        <v>5271</v>
      </c>
      <c r="R776" s="16">
        <v>44329</v>
      </c>
      <c r="S776" s="17" t="s">
        <v>2925</v>
      </c>
      <c r="T776" s="20">
        <f>HYPERLINK("https://vnm.spiral.com.vn//uploaded/20210513/DDB61D5C-98D7-4A45-AD32-D1B439C1F21D.jpg","15:50:29")</f>
      </c>
      <c r="U776" s="18"/>
      <c r="V776" s="18" t="s">
        <v>35</v>
      </c>
      <c r="W776" s="15" t="s">
        <v>5272</v>
      </c>
      <c r="X776" s="15" t="s">
        <v>35</v>
      </c>
      <c r="Y776" s="15" t="s">
        <v>35</v>
      </c>
      <c r="Z776" s="19">
        <v>0</v>
      </c>
      <c r="AA776" s="15">
        <v>0</v>
      </c>
      <c r="AB776" s="15" t="s">
        <v>35</v>
      </c>
    </row>
    <row r="777">
      <c r="A777" s="15">
        <v>773</v>
      </c>
      <c r="B777" s="15" t="s">
        <v>49</v>
      </c>
      <c r="C777" s="15" t="s">
        <v>369</v>
      </c>
      <c r="D777" s="15" t="s">
        <v>432</v>
      </c>
      <c r="E777" s="15" t="s">
        <v>116</v>
      </c>
      <c r="F777" s="15" t="s">
        <v>35</v>
      </c>
      <c r="G777" s="15" t="s">
        <v>74</v>
      </c>
      <c r="H777" s="15" t="s">
        <v>5273</v>
      </c>
      <c r="I777" s="15" t="s">
        <v>5274</v>
      </c>
      <c r="J777" s="15" t="s">
        <v>5275</v>
      </c>
      <c r="K777" s="15" t="s">
        <v>166</v>
      </c>
      <c r="L777" s="15" t="s">
        <v>167</v>
      </c>
      <c r="M777" s="15" t="s">
        <v>168</v>
      </c>
      <c r="N777" s="15" t="s">
        <v>169</v>
      </c>
      <c r="O777" s="15" t="s">
        <v>82</v>
      </c>
      <c r="P777" s="15" t="s">
        <v>5228</v>
      </c>
      <c r="Q777" s="15" t="s">
        <v>5229</v>
      </c>
      <c r="R777" s="16">
        <v>44329</v>
      </c>
      <c r="S777" s="17" t="s">
        <v>70</v>
      </c>
      <c r="T777" s="20">
        <f>HYPERLINK("https://vnm.spiral.com.vn//uploaded/20210513/B13D1A66-96CE-4599-9ED7-83714BA68FD7.jpg","15:35:15")</f>
      </c>
      <c r="U777" s="20">
        <f>HYPERLINK("https://vnm.spiral.com.vn//uploaded/20210513/F23790F6-51D6-4678-81EC-0A9B52F9C432.jpg","15:50:23")</f>
      </c>
      <c r="V777" s="18">
        <v>0.01050925925925926</v>
      </c>
      <c r="W777" s="15" t="s">
        <v>5276</v>
      </c>
      <c r="X777" s="15" t="s">
        <v>5277</v>
      </c>
      <c r="Y777" s="15" t="s">
        <v>35</v>
      </c>
      <c r="Z777" s="19">
        <v>0</v>
      </c>
      <c r="AA777" s="15">
        <v>0</v>
      </c>
      <c r="AB777" s="15" t="s">
        <v>35</v>
      </c>
    </row>
    <row r="778">
      <c r="A778" s="15">
        <v>774</v>
      </c>
      <c r="B778" s="15" t="s">
        <v>87</v>
      </c>
      <c r="C778" s="15" t="s">
        <v>88</v>
      </c>
      <c r="D778" s="15" t="s">
        <v>610</v>
      </c>
      <c r="E778" s="15" t="s">
        <v>90</v>
      </c>
      <c r="F778" s="15" t="s">
        <v>35</v>
      </c>
      <c r="G778" s="15" t="s">
        <v>74</v>
      </c>
      <c r="H778" s="15" t="s">
        <v>5278</v>
      </c>
      <c r="I778" s="15" t="s">
        <v>5279</v>
      </c>
      <c r="J778" s="15" t="s">
        <v>5280</v>
      </c>
      <c r="K778" s="15" t="s">
        <v>94</v>
      </c>
      <c r="L778" s="15" t="s">
        <v>95</v>
      </c>
      <c r="M778" s="15" t="s">
        <v>614</v>
      </c>
      <c r="N778" s="15" t="s">
        <v>615</v>
      </c>
      <c r="O778" s="15" t="s">
        <v>82</v>
      </c>
      <c r="P778" s="15" t="s">
        <v>1341</v>
      </c>
      <c r="Q778" s="15" t="s">
        <v>1342</v>
      </c>
      <c r="R778" s="16">
        <v>44329</v>
      </c>
      <c r="S778" s="17" t="s">
        <v>70</v>
      </c>
      <c r="T778" s="20">
        <f>HYPERLINK("https://vnm.spiral.com.vn//uploaded/20210513/92D65BCB-7670-43B1-8128-A71BA465EEE3.jpg","15:18:09")</f>
      </c>
      <c r="U778" s="20">
        <f>HYPERLINK("https://vnm.spiral.com.vn//uploaded/20210513/0C203F80-8EE2-47B8-B470-E6CA62289BA4.jpg","15:49:38")</f>
      </c>
      <c r="V778" s="18">
        <v>0.021863425925925925</v>
      </c>
      <c r="W778" s="15" t="s">
        <v>5281</v>
      </c>
      <c r="X778" s="15" t="s">
        <v>5282</v>
      </c>
      <c r="Y778" s="15" t="s">
        <v>35</v>
      </c>
      <c r="Z778" s="19">
        <v>0</v>
      </c>
      <c r="AA778" s="15">
        <v>0</v>
      </c>
      <c r="AB778" s="15" t="s">
        <v>35</v>
      </c>
    </row>
    <row r="779">
      <c r="A779" s="15">
        <v>775</v>
      </c>
      <c r="B779" s="15" t="s">
        <v>61</v>
      </c>
      <c r="C779" s="15" t="s">
        <v>1106</v>
      </c>
      <c r="D779" s="15" t="s">
        <v>35</v>
      </c>
      <c r="E779" s="15" t="s">
        <v>35</v>
      </c>
      <c r="F779" s="15" t="s">
        <v>35</v>
      </c>
      <c r="G779" s="15" t="s">
        <v>36</v>
      </c>
      <c r="H779" s="15" t="s">
        <v>5283</v>
      </c>
      <c r="I779" s="15" t="s">
        <v>5284</v>
      </c>
      <c r="J779" s="15" t="s">
        <v>5285</v>
      </c>
      <c r="K779" s="15" t="s">
        <v>40</v>
      </c>
      <c r="L779" s="15" t="s">
        <v>41</v>
      </c>
      <c r="M779" s="15" t="s">
        <v>66</v>
      </c>
      <c r="N779" s="15" t="s">
        <v>67</v>
      </c>
      <c r="O779" s="15" t="s">
        <v>44</v>
      </c>
      <c r="P779" s="15" t="s">
        <v>5286</v>
      </c>
      <c r="Q779" s="15" t="s">
        <v>5287</v>
      </c>
      <c r="R779" s="16">
        <v>44329</v>
      </c>
      <c r="S779" s="17" t="s">
        <v>1696</v>
      </c>
      <c r="T779" s="20">
        <f>HYPERLINK("https://vnm.spiral.com.vn//uploaded/20210513/f04861f8-9227-400b-92ef-fb4387a0e4a1.JPEG","07:09:00")</f>
      </c>
      <c r="U779" s="20">
        <f>HYPERLINK("https://vnm.spiral.com.vn//uploaded/20210513/0d4d11e3-38e5-42e5-a88b-d516b3885ee8.JPEG","15:49:16")</f>
      </c>
      <c r="V779" s="18">
        <v>0.3612962962962963</v>
      </c>
      <c r="W779" s="15" t="s">
        <v>5288</v>
      </c>
      <c r="X779" s="15" t="s">
        <v>5289</v>
      </c>
      <c r="Y779" s="15" t="s">
        <v>35</v>
      </c>
      <c r="Z779" s="19">
        <v>0</v>
      </c>
      <c r="AA779" s="15">
        <v>0</v>
      </c>
      <c r="AB779" s="15" t="s">
        <v>35</v>
      </c>
    </row>
    <row r="780">
      <c r="A780" s="15">
        <v>776</v>
      </c>
      <c r="B780" s="15" t="s">
        <v>87</v>
      </c>
      <c r="C780" s="15" t="s">
        <v>88</v>
      </c>
      <c r="D780" s="15" t="s">
        <v>35</v>
      </c>
      <c r="E780" s="15" t="s">
        <v>35</v>
      </c>
      <c r="F780" s="15" t="s">
        <v>35</v>
      </c>
      <c r="G780" s="15" t="s">
        <v>74</v>
      </c>
      <c r="H780" s="15" t="s">
        <v>5290</v>
      </c>
      <c r="I780" s="15" t="s">
        <v>5291</v>
      </c>
      <c r="J780" s="15" t="s">
        <v>5292</v>
      </c>
      <c r="K780" s="15" t="s">
        <v>190</v>
      </c>
      <c r="L780" s="15" t="s">
        <v>191</v>
      </c>
      <c r="M780" s="15" t="s">
        <v>888</v>
      </c>
      <c r="N780" s="15" t="s">
        <v>889</v>
      </c>
      <c r="O780" s="15" t="s">
        <v>98</v>
      </c>
      <c r="P780" s="15" t="s">
        <v>890</v>
      </c>
      <c r="Q780" s="15" t="s">
        <v>891</v>
      </c>
      <c r="R780" s="16">
        <v>44329</v>
      </c>
      <c r="S780" s="17" t="s">
        <v>35</v>
      </c>
      <c r="T780" s="20">
        <f>HYPERLINK("https://vnm.spiral.com.vn//uploaded/20210513/2B5A7121-613A-47C6-B5E0-B2DF753104CC.jpg","15:24:43")</f>
      </c>
      <c r="U780" s="20">
        <f>HYPERLINK("https://vnm.spiral.com.vn//uploaded/20210513/42180A49-5162-4C22-BEE8-FA7EBF41FF51.jpg","15:49:01")</f>
      </c>
      <c r="V780" s="18">
        <v>0.016875</v>
      </c>
      <c r="W780" s="15" t="s">
        <v>5293</v>
      </c>
      <c r="X780" s="15" t="s">
        <v>5294</v>
      </c>
      <c r="Y780" s="15" t="s">
        <v>35</v>
      </c>
      <c r="Z780" s="19">
        <v>0</v>
      </c>
      <c r="AA780" s="15">
        <v>0</v>
      </c>
      <c r="AB780" s="15" t="s">
        <v>35</v>
      </c>
    </row>
    <row r="781">
      <c r="A781" s="15">
        <v>777</v>
      </c>
      <c r="B781" s="15" t="s">
        <v>343</v>
      </c>
      <c r="C781" s="15" t="s">
        <v>344</v>
      </c>
      <c r="D781" s="15" t="s">
        <v>35</v>
      </c>
      <c r="E781" s="15" t="s">
        <v>35</v>
      </c>
      <c r="F781" s="15" t="s">
        <v>35</v>
      </c>
      <c r="G781" s="15" t="s">
        <v>74</v>
      </c>
      <c r="H781" s="15" t="s">
        <v>5295</v>
      </c>
      <c r="I781" s="15" t="s">
        <v>5296</v>
      </c>
      <c r="J781" s="15" t="s">
        <v>5297</v>
      </c>
      <c r="K781" s="15" t="s">
        <v>897</v>
      </c>
      <c r="L781" s="15" t="s">
        <v>898</v>
      </c>
      <c r="M781" s="15" t="s">
        <v>4558</v>
      </c>
      <c r="N781" s="15" t="s">
        <v>4559</v>
      </c>
      <c r="O781" s="15" t="s">
        <v>156</v>
      </c>
      <c r="P781" s="15" t="s">
        <v>5298</v>
      </c>
      <c r="Q781" s="15" t="s">
        <v>5299</v>
      </c>
      <c r="R781" s="16">
        <v>44329</v>
      </c>
      <c r="S781" s="17" t="s">
        <v>4285</v>
      </c>
      <c r="T781" s="20">
        <f>HYPERLINK("https://vnm.spiral.com.vn//uploaded/20210513/4E6FE20D-9D1D-4846-A6C3-CF0E1A4838FF.jpg","06:36:04")</f>
      </c>
      <c r="U781" s="20">
        <f>HYPERLINK("https://vnm.spiral.com.vn//uploaded/20210513/B10DFD94-5398-46FE-8C21-3E837679295E.jpg","15:48:55")</f>
      </c>
      <c r="V781" s="18">
        <v>0.3839236111111111</v>
      </c>
      <c r="W781" s="15" t="s">
        <v>5300</v>
      </c>
      <c r="X781" s="15" t="s">
        <v>5301</v>
      </c>
      <c r="Y781" s="15" t="s">
        <v>35</v>
      </c>
      <c r="Z781" s="19">
        <v>0</v>
      </c>
      <c r="AA781" s="15">
        <v>0</v>
      </c>
      <c r="AB781" s="15" t="s">
        <v>35</v>
      </c>
    </row>
    <row r="782">
      <c r="A782" s="15">
        <v>778</v>
      </c>
      <c r="B782" s="15" t="s">
        <v>246</v>
      </c>
      <c r="C782" s="15" t="s">
        <v>247</v>
      </c>
      <c r="D782" s="15" t="s">
        <v>35</v>
      </c>
      <c r="E782" s="15" t="s">
        <v>35</v>
      </c>
      <c r="F782" s="15" t="s">
        <v>5302</v>
      </c>
      <c r="G782" s="15" t="s">
        <v>36</v>
      </c>
      <c r="H782" s="15" t="s">
        <v>5303</v>
      </c>
      <c r="I782" s="15" t="s">
        <v>5304</v>
      </c>
      <c r="J782" s="15" t="s">
        <v>5305</v>
      </c>
      <c r="K782" s="15" t="s">
        <v>40</v>
      </c>
      <c r="L782" s="15" t="s">
        <v>41</v>
      </c>
      <c r="M782" s="15" t="s">
        <v>252</v>
      </c>
      <c r="N782" s="15" t="s">
        <v>253</v>
      </c>
      <c r="O782" s="15" t="s">
        <v>44</v>
      </c>
      <c r="P782" s="15" t="s">
        <v>5306</v>
      </c>
      <c r="Q782" s="15" t="s">
        <v>5307</v>
      </c>
      <c r="R782" s="16">
        <v>44329</v>
      </c>
      <c r="S782" s="17" t="s">
        <v>2925</v>
      </c>
      <c r="T782" s="20">
        <f>HYPERLINK("https://vnm.spiral.com.vn//uploaded/20210513/B646405B-A925-4FD8-8B7C-55826EDEE305.jpg","15:48:43")</f>
      </c>
      <c r="U782" s="18"/>
      <c r="V782" s="18" t="s">
        <v>35</v>
      </c>
      <c r="W782" s="15" t="s">
        <v>5308</v>
      </c>
      <c r="X782" s="15" t="s">
        <v>35</v>
      </c>
      <c r="Y782" s="15" t="s">
        <v>35</v>
      </c>
      <c r="Z782" s="19">
        <v>0</v>
      </c>
      <c r="AA782" s="15">
        <v>0</v>
      </c>
      <c r="AB782" s="15" t="s">
        <v>35</v>
      </c>
    </row>
    <row r="783">
      <c r="A783" s="15">
        <v>779</v>
      </c>
      <c r="B783" s="15" t="s">
        <v>49</v>
      </c>
      <c r="C783" s="15" t="s">
        <v>756</v>
      </c>
      <c r="D783" s="15" t="s">
        <v>35</v>
      </c>
      <c r="E783" s="15" t="s">
        <v>35</v>
      </c>
      <c r="F783" s="15" t="s">
        <v>4536</v>
      </c>
      <c r="G783" s="15" t="s">
        <v>36</v>
      </c>
      <c r="H783" s="15" t="s">
        <v>5309</v>
      </c>
      <c r="I783" s="15" t="s">
        <v>5310</v>
      </c>
      <c r="J783" s="15" t="s">
        <v>5311</v>
      </c>
      <c r="K783" s="15" t="s">
        <v>40</v>
      </c>
      <c r="L783" s="15" t="s">
        <v>41</v>
      </c>
      <c r="M783" s="15" t="s">
        <v>55</v>
      </c>
      <c r="N783" s="15" t="s">
        <v>56</v>
      </c>
      <c r="O783" s="15" t="s">
        <v>44</v>
      </c>
      <c r="P783" s="15" t="s">
        <v>5312</v>
      </c>
      <c r="Q783" s="15" t="s">
        <v>5313</v>
      </c>
      <c r="R783" s="16">
        <v>44329</v>
      </c>
      <c r="S783" s="17" t="s">
        <v>2925</v>
      </c>
      <c r="T783" s="20">
        <f>HYPERLINK("https://vnm.spiral.com.vn//uploaded/20210513/5513c791-cb82-4898-bd26-b200c82c4557.JPEG","15:48:39")</f>
      </c>
      <c r="U783" s="18"/>
      <c r="V783" s="18" t="s">
        <v>35</v>
      </c>
      <c r="W783" s="15" t="s">
        <v>5314</v>
      </c>
      <c r="X783" s="15" t="s">
        <v>35</v>
      </c>
      <c r="Y783" s="15" t="s">
        <v>35</v>
      </c>
      <c r="Z783" s="19">
        <v>0</v>
      </c>
      <c r="AA783" s="15">
        <v>0</v>
      </c>
      <c r="AB783" s="15" t="s">
        <v>35</v>
      </c>
    </row>
    <row r="784">
      <c r="A784" s="15">
        <v>780</v>
      </c>
      <c r="B784" s="15" t="s">
        <v>343</v>
      </c>
      <c r="C784" s="15" t="s">
        <v>344</v>
      </c>
      <c r="D784" s="15" t="s">
        <v>432</v>
      </c>
      <c r="E784" s="15" t="s">
        <v>116</v>
      </c>
      <c r="F784" s="15" t="s">
        <v>35</v>
      </c>
      <c r="G784" s="15" t="s">
        <v>74</v>
      </c>
      <c r="H784" s="15" t="s">
        <v>5315</v>
      </c>
      <c r="I784" s="15" t="s">
        <v>5316</v>
      </c>
      <c r="J784" s="15" t="s">
        <v>5317</v>
      </c>
      <c r="K784" s="15" t="s">
        <v>512</v>
      </c>
      <c r="L784" s="15" t="s">
        <v>513</v>
      </c>
      <c r="M784" s="15" t="s">
        <v>514</v>
      </c>
      <c r="N784" s="15" t="s">
        <v>515</v>
      </c>
      <c r="O784" s="15" t="s">
        <v>82</v>
      </c>
      <c r="P784" s="15" t="s">
        <v>2342</v>
      </c>
      <c r="Q784" s="15" t="s">
        <v>2343</v>
      </c>
      <c r="R784" s="16">
        <v>44329</v>
      </c>
      <c r="S784" s="17" t="s">
        <v>70</v>
      </c>
      <c r="T784" s="20">
        <f>HYPERLINK("https://vnm.spiral.com.vn//uploaded/20210513/de7d7fae-2cc3-40a5-bf78-6624822025df.JPEG","15:09:09")</f>
      </c>
      <c r="U784" s="20">
        <f>HYPERLINK("https://vnm.spiral.com.vn//uploaded/20210513/772ae8a5-8d5e-4960-b3ba-b226e7f8080d.JPEG","15:48:11")</f>
      </c>
      <c r="V784" s="18">
        <v>0.02710648148148148</v>
      </c>
      <c r="W784" s="15" t="s">
        <v>5318</v>
      </c>
      <c r="X784" s="15" t="s">
        <v>5319</v>
      </c>
      <c r="Y784" s="15" t="s">
        <v>35</v>
      </c>
      <c r="Z784" s="19">
        <v>0</v>
      </c>
      <c r="AA784" s="15">
        <v>0</v>
      </c>
      <c r="AB784" s="15" t="s">
        <v>35</v>
      </c>
    </row>
    <row r="785">
      <c r="A785" s="15">
        <v>781</v>
      </c>
      <c r="B785" s="15" t="s">
        <v>103</v>
      </c>
      <c r="C785" s="15" t="s">
        <v>1078</v>
      </c>
      <c r="D785" s="15" t="s">
        <v>35</v>
      </c>
      <c r="E785" s="15" t="s">
        <v>35</v>
      </c>
      <c r="F785" s="15" t="s">
        <v>35</v>
      </c>
      <c r="G785" s="15" t="s">
        <v>36</v>
      </c>
      <c r="H785" s="15" t="s">
        <v>5320</v>
      </c>
      <c r="I785" s="15" t="s">
        <v>5321</v>
      </c>
      <c r="J785" s="15" t="s">
        <v>5322</v>
      </c>
      <c r="K785" s="15" t="s">
        <v>40</v>
      </c>
      <c r="L785" s="15" t="s">
        <v>41</v>
      </c>
      <c r="M785" s="15" t="s">
        <v>565</v>
      </c>
      <c r="N785" s="15" t="s">
        <v>566</v>
      </c>
      <c r="O785" s="15" t="s">
        <v>44</v>
      </c>
      <c r="P785" s="15" t="s">
        <v>5323</v>
      </c>
      <c r="Q785" s="15" t="s">
        <v>5324</v>
      </c>
      <c r="R785" s="16">
        <v>44329</v>
      </c>
      <c r="S785" s="17" t="s">
        <v>2925</v>
      </c>
      <c r="T785" s="20">
        <f>HYPERLINK("https://vnm.spiral.com.vn//uploaded/20210513/3403e268-1575-404a-aeba-b6563f13f180.JPEG","15:47:42")</f>
      </c>
      <c r="U785" s="18"/>
      <c r="V785" s="18" t="s">
        <v>35</v>
      </c>
      <c r="W785" s="15" t="s">
        <v>5325</v>
      </c>
      <c r="X785" s="15" t="s">
        <v>35</v>
      </c>
      <c r="Y785" s="15" t="s">
        <v>35</v>
      </c>
      <c r="Z785" s="19">
        <v>0</v>
      </c>
      <c r="AA785" s="15">
        <v>0</v>
      </c>
      <c r="AB785" s="15" t="s">
        <v>35</v>
      </c>
    </row>
    <row r="786">
      <c r="A786" s="15">
        <v>782</v>
      </c>
      <c r="B786" s="15" t="s">
        <v>87</v>
      </c>
      <c r="C786" s="15" t="s">
        <v>88</v>
      </c>
      <c r="D786" s="15" t="s">
        <v>115</v>
      </c>
      <c r="E786" s="15" t="s">
        <v>116</v>
      </c>
      <c r="F786" s="15" t="s">
        <v>35</v>
      </c>
      <c r="G786" s="15" t="s">
        <v>74</v>
      </c>
      <c r="H786" s="15" t="s">
        <v>5326</v>
      </c>
      <c r="I786" s="15" t="s">
        <v>5327</v>
      </c>
      <c r="J786" s="15" t="s">
        <v>5328</v>
      </c>
      <c r="K786" s="15" t="s">
        <v>120</v>
      </c>
      <c r="L786" s="15" t="s">
        <v>121</v>
      </c>
      <c r="M786" s="15" t="s">
        <v>1073</v>
      </c>
      <c r="N786" s="15" t="s">
        <v>1074</v>
      </c>
      <c r="O786" s="15" t="s">
        <v>82</v>
      </c>
      <c r="P786" s="15" t="s">
        <v>4638</v>
      </c>
      <c r="Q786" s="15" t="s">
        <v>4639</v>
      </c>
      <c r="R786" s="16">
        <v>44329</v>
      </c>
      <c r="S786" s="17" t="s">
        <v>70</v>
      </c>
      <c r="T786" s="18"/>
      <c r="U786" s="20">
        <f>HYPERLINK("https://vnm.spiral.com.vn//uploaded/20210513/064a0fa9-2134-4300-9571-8e1c0142a196.jpg","15:47:29")</f>
      </c>
      <c r="V786" s="18" t="s">
        <v>35</v>
      </c>
      <c r="W786" s="15" t="s">
        <v>35</v>
      </c>
      <c r="X786" s="15" t="s">
        <v>5329</v>
      </c>
      <c r="Y786" s="15" t="s">
        <v>35</v>
      </c>
      <c r="Z786" s="19">
        <v>0</v>
      </c>
      <c r="AA786" s="15">
        <v>0</v>
      </c>
      <c r="AB786" s="15" t="s">
        <v>35</v>
      </c>
    </row>
    <row r="787">
      <c r="A787" s="15">
        <v>783</v>
      </c>
      <c r="B787" s="15" t="s">
        <v>61</v>
      </c>
      <c r="C787" s="15" t="s">
        <v>737</v>
      </c>
      <c r="D787" s="15" t="s">
        <v>35</v>
      </c>
      <c r="E787" s="15" t="s">
        <v>35</v>
      </c>
      <c r="F787" s="15" t="s">
        <v>5330</v>
      </c>
      <c r="G787" s="15" t="s">
        <v>36</v>
      </c>
      <c r="H787" s="15" t="s">
        <v>5331</v>
      </c>
      <c r="I787" s="15" t="s">
        <v>5332</v>
      </c>
      <c r="J787" s="15" t="s">
        <v>5333</v>
      </c>
      <c r="K787" s="15" t="s">
        <v>40</v>
      </c>
      <c r="L787" s="15" t="s">
        <v>41</v>
      </c>
      <c r="M787" s="15" t="s">
        <v>205</v>
      </c>
      <c r="N787" s="15" t="s">
        <v>206</v>
      </c>
      <c r="O787" s="15" t="s">
        <v>44</v>
      </c>
      <c r="P787" s="15" t="s">
        <v>5334</v>
      </c>
      <c r="Q787" s="15" t="s">
        <v>5335</v>
      </c>
      <c r="R787" s="16">
        <v>44329</v>
      </c>
      <c r="S787" s="17" t="s">
        <v>1696</v>
      </c>
      <c r="T787" s="20">
        <f>HYPERLINK("https://vnm.spiral.com.vn//uploaded/20210513/008B6CA3-3BC1-406D-91BE-4050C5B36116.jpg","07:07:05")</f>
      </c>
      <c r="U787" s="20">
        <f>HYPERLINK("https://vnm.spiral.com.vn//uploaded/20210513/B30E7E61-1F54-453B-990B-B6EA440C4955.jpg","15:47:27")</f>
      </c>
      <c r="V787" s="18">
        <v>0.36136574074074074</v>
      </c>
      <c r="W787" s="15" t="s">
        <v>5336</v>
      </c>
      <c r="X787" s="15" t="s">
        <v>5337</v>
      </c>
      <c r="Y787" s="15" t="s">
        <v>35</v>
      </c>
      <c r="Z787" s="19">
        <v>0</v>
      </c>
      <c r="AA787" s="15">
        <v>0</v>
      </c>
      <c r="AB787" s="15" t="s">
        <v>35</v>
      </c>
    </row>
    <row r="788">
      <c r="A788" s="15">
        <v>784</v>
      </c>
      <c r="B788" s="15" t="s">
        <v>87</v>
      </c>
      <c r="C788" s="15" t="s">
        <v>88</v>
      </c>
      <c r="D788" s="15" t="s">
        <v>35</v>
      </c>
      <c r="E788" s="15" t="s">
        <v>35</v>
      </c>
      <c r="F788" s="15" t="s">
        <v>2667</v>
      </c>
      <c r="G788" s="15" t="s">
        <v>36</v>
      </c>
      <c r="H788" s="15" t="s">
        <v>5338</v>
      </c>
      <c r="I788" s="15" t="s">
        <v>5339</v>
      </c>
      <c r="J788" s="15" t="s">
        <v>5340</v>
      </c>
      <c r="K788" s="15" t="s">
        <v>40</v>
      </c>
      <c r="L788" s="15" t="s">
        <v>41</v>
      </c>
      <c r="M788" s="15" t="s">
        <v>1195</v>
      </c>
      <c r="N788" s="15" t="s">
        <v>1196</v>
      </c>
      <c r="O788" s="15" t="s">
        <v>44</v>
      </c>
      <c r="P788" s="15" t="s">
        <v>5341</v>
      </c>
      <c r="Q788" s="15" t="s">
        <v>5342</v>
      </c>
      <c r="R788" s="16">
        <v>44329</v>
      </c>
      <c r="S788" s="17" t="s">
        <v>2925</v>
      </c>
      <c r="T788" s="20">
        <f>HYPERLINK("https://vnm.spiral.com.vn//uploaded/20210513/644e6c61-7e2d-45fa-b745-c2a5e7ccb49b.JPEG","15:47:15")</f>
      </c>
      <c r="U788" s="18"/>
      <c r="V788" s="18" t="s">
        <v>35</v>
      </c>
      <c r="W788" s="15" t="s">
        <v>5343</v>
      </c>
      <c r="X788" s="15" t="s">
        <v>35</v>
      </c>
      <c r="Y788" s="15" t="s">
        <v>35</v>
      </c>
      <c r="Z788" s="19">
        <v>0</v>
      </c>
      <c r="AA788" s="15">
        <v>0</v>
      </c>
      <c r="AB788" s="15" t="s">
        <v>35</v>
      </c>
    </row>
    <row r="789">
      <c r="A789" s="15">
        <v>785</v>
      </c>
      <c r="B789" s="15" t="s">
        <v>61</v>
      </c>
      <c r="C789" s="15" t="s">
        <v>1730</v>
      </c>
      <c r="D789" s="15" t="s">
        <v>35</v>
      </c>
      <c r="E789" s="15" t="s">
        <v>35</v>
      </c>
      <c r="F789" s="15" t="s">
        <v>35</v>
      </c>
      <c r="G789" s="15" t="s">
        <v>36</v>
      </c>
      <c r="H789" s="15" t="s">
        <v>5344</v>
      </c>
      <c r="I789" s="15" t="s">
        <v>4124</v>
      </c>
      <c r="J789" s="15" t="s">
        <v>5345</v>
      </c>
      <c r="K789" s="15" t="s">
        <v>40</v>
      </c>
      <c r="L789" s="15" t="s">
        <v>41</v>
      </c>
      <c r="M789" s="15" t="s">
        <v>205</v>
      </c>
      <c r="N789" s="15" t="s">
        <v>206</v>
      </c>
      <c r="O789" s="15" t="s">
        <v>44</v>
      </c>
      <c r="P789" s="15" t="s">
        <v>5346</v>
      </c>
      <c r="Q789" s="15" t="s">
        <v>4810</v>
      </c>
      <c r="R789" s="16">
        <v>44329</v>
      </c>
      <c r="S789" s="17" t="s">
        <v>2925</v>
      </c>
      <c r="T789" s="20">
        <f>HYPERLINK("https://vnm.spiral.com.vn//uploaded/20210513/F1DD9500-51E4-4BBA-99F6-50E5E36CEB61.jpg","15:46:56")</f>
      </c>
      <c r="U789" s="18"/>
      <c r="V789" s="18" t="s">
        <v>35</v>
      </c>
      <c r="W789" s="15" t="s">
        <v>5347</v>
      </c>
      <c r="X789" s="15" t="s">
        <v>35</v>
      </c>
      <c r="Y789" s="15" t="s">
        <v>35</v>
      </c>
      <c r="Z789" s="19">
        <v>0</v>
      </c>
      <c r="AA789" s="15">
        <v>0</v>
      </c>
      <c r="AB789" s="15" t="s">
        <v>35</v>
      </c>
    </row>
    <row r="790">
      <c r="A790" s="15">
        <v>786</v>
      </c>
      <c r="B790" s="15" t="s">
        <v>87</v>
      </c>
      <c r="C790" s="15" t="s">
        <v>88</v>
      </c>
      <c r="D790" s="15" t="s">
        <v>135</v>
      </c>
      <c r="E790" s="15" t="s">
        <v>116</v>
      </c>
      <c r="F790" s="15" t="s">
        <v>35</v>
      </c>
      <c r="G790" s="15" t="s">
        <v>74</v>
      </c>
      <c r="H790" s="15" t="s">
        <v>1738</v>
      </c>
      <c r="I790" s="15" t="s">
        <v>1739</v>
      </c>
      <c r="J790" s="15" t="s">
        <v>1740</v>
      </c>
      <c r="K790" s="15" t="s">
        <v>94</v>
      </c>
      <c r="L790" s="15" t="s">
        <v>95</v>
      </c>
      <c r="M790" s="15" t="s">
        <v>139</v>
      </c>
      <c r="N790" s="15" t="s">
        <v>140</v>
      </c>
      <c r="O790" s="15" t="s">
        <v>98</v>
      </c>
      <c r="P790" s="15" t="s">
        <v>141</v>
      </c>
      <c r="Q790" s="15" t="s">
        <v>142</v>
      </c>
      <c r="R790" s="16">
        <v>44329</v>
      </c>
      <c r="S790" s="17" t="s">
        <v>70</v>
      </c>
      <c r="T790" s="20">
        <f>HYPERLINK("https://vnm.spiral.com.vn//uploaded/20210513/5EC4D6BC-3E01-4669-B475-49446625D7CB.jpg","14:06:13")</f>
      </c>
      <c r="U790" s="20">
        <f>HYPERLINK("https://vnm.spiral.com.vn//uploaded/20210513/FA29FF5C-0B96-4066-ACDE-3B4555557EDC.jpg","15:46:54")</f>
      </c>
      <c r="V790" s="18">
        <v>0.06991898148148148</v>
      </c>
      <c r="W790" s="15" t="s">
        <v>5348</v>
      </c>
      <c r="X790" s="15" t="s">
        <v>5349</v>
      </c>
      <c r="Y790" s="15" t="s">
        <v>35</v>
      </c>
      <c r="Z790" s="19">
        <v>0</v>
      </c>
      <c r="AA790" s="15">
        <v>0</v>
      </c>
      <c r="AB790" s="15" t="s">
        <v>35</v>
      </c>
    </row>
    <row r="791">
      <c r="A791" s="15">
        <v>787</v>
      </c>
      <c r="B791" s="15" t="s">
        <v>103</v>
      </c>
      <c r="C791" s="15" t="s">
        <v>104</v>
      </c>
      <c r="D791" s="15" t="s">
        <v>35</v>
      </c>
      <c r="E791" s="15" t="s">
        <v>35</v>
      </c>
      <c r="F791" s="15" t="s">
        <v>35</v>
      </c>
      <c r="G791" s="15" t="s">
        <v>36</v>
      </c>
      <c r="H791" s="15" t="s">
        <v>5350</v>
      </c>
      <c r="I791" s="15" t="s">
        <v>5351</v>
      </c>
      <c r="J791" s="15" t="s">
        <v>5352</v>
      </c>
      <c r="K791" s="15" t="s">
        <v>40</v>
      </c>
      <c r="L791" s="15" t="s">
        <v>41</v>
      </c>
      <c r="M791" s="15" t="s">
        <v>108</v>
      </c>
      <c r="N791" s="15" t="s">
        <v>109</v>
      </c>
      <c r="O791" s="15" t="s">
        <v>44</v>
      </c>
      <c r="P791" s="15" t="s">
        <v>5353</v>
      </c>
      <c r="Q791" s="15" t="s">
        <v>4704</v>
      </c>
      <c r="R791" s="16">
        <v>44329</v>
      </c>
      <c r="S791" s="17" t="s">
        <v>2925</v>
      </c>
      <c r="T791" s="20">
        <f>HYPERLINK("https://vnm.spiral.com.vn//uploaded/20210513/8f4dfb75-e1ef-462d-a04d-c9d307deac9e.JPEG","15:46:32")</f>
      </c>
      <c r="U791" s="18"/>
      <c r="V791" s="18" t="s">
        <v>35</v>
      </c>
      <c r="W791" s="15" t="s">
        <v>5354</v>
      </c>
      <c r="X791" s="15" t="s">
        <v>35</v>
      </c>
      <c r="Y791" s="15" t="s">
        <v>35</v>
      </c>
      <c r="Z791" s="19">
        <v>0</v>
      </c>
      <c r="AA791" s="15">
        <v>0</v>
      </c>
      <c r="AB791" s="15" t="s">
        <v>35</v>
      </c>
    </row>
    <row r="792">
      <c r="A792" s="15">
        <v>788</v>
      </c>
      <c r="B792" s="15" t="s">
        <v>87</v>
      </c>
      <c r="C792" s="15" t="s">
        <v>88</v>
      </c>
      <c r="D792" s="15" t="s">
        <v>35</v>
      </c>
      <c r="E792" s="15" t="s">
        <v>35</v>
      </c>
      <c r="F792" s="15" t="s">
        <v>2077</v>
      </c>
      <c r="G792" s="15" t="s">
        <v>36</v>
      </c>
      <c r="H792" s="15" t="s">
        <v>5355</v>
      </c>
      <c r="I792" s="15" t="s">
        <v>4117</v>
      </c>
      <c r="J792" s="15" t="s">
        <v>5356</v>
      </c>
      <c r="K792" s="15" t="s">
        <v>40</v>
      </c>
      <c r="L792" s="15" t="s">
        <v>41</v>
      </c>
      <c r="M792" s="15" t="s">
        <v>289</v>
      </c>
      <c r="N792" s="15" t="s">
        <v>290</v>
      </c>
      <c r="O792" s="15" t="s">
        <v>44</v>
      </c>
      <c r="P792" s="15" t="s">
        <v>5357</v>
      </c>
      <c r="Q792" s="15" t="s">
        <v>5358</v>
      </c>
      <c r="R792" s="16">
        <v>44329</v>
      </c>
      <c r="S792" s="17" t="s">
        <v>2925</v>
      </c>
      <c r="T792" s="20">
        <f>HYPERLINK("https://vnm.spiral.com.vn//uploaded/20210513/104edbcc-c6aa-4c8f-b579-1ba7bd0b533d.JPEG","15:45:56")</f>
      </c>
      <c r="U792" s="18"/>
      <c r="V792" s="18" t="s">
        <v>35</v>
      </c>
      <c r="W792" s="15" t="s">
        <v>5359</v>
      </c>
      <c r="X792" s="15" t="s">
        <v>35</v>
      </c>
      <c r="Y792" s="15" t="s">
        <v>35</v>
      </c>
      <c r="Z792" s="19">
        <v>0</v>
      </c>
      <c r="AA792" s="15">
        <v>0</v>
      </c>
      <c r="AB792" s="15" t="s">
        <v>35</v>
      </c>
    </row>
    <row r="793">
      <c r="A793" s="15">
        <v>789</v>
      </c>
      <c r="B793" s="15" t="s">
        <v>87</v>
      </c>
      <c r="C793" s="15" t="s">
        <v>88</v>
      </c>
      <c r="D793" s="15" t="s">
        <v>115</v>
      </c>
      <c r="E793" s="15" t="s">
        <v>116</v>
      </c>
      <c r="F793" s="15" t="s">
        <v>35</v>
      </c>
      <c r="G793" s="15" t="s">
        <v>74</v>
      </c>
      <c r="H793" s="15" t="s">
        <v>5360</v>
      </c>
      <c r="I793" s="15" t="s">
        <v>5361</v>
      </c>
      <c r="J793" s="15" t="s">
        <v>5362</v>
      </c>
      <c r="K793" s="15" t="s">
        <v>94</v>
      </c>
      <c r="L793" s="15" t="s">
        <v>95</v>
      </c>
      <c r="M793" s="15" t="s">
        <v>120</v>
      </c>
      <c r="N793" s="15" t="s">
        <v>121</v>
      </c>
      <c r="O793" s="15" t="s">
        <v>98</v>
      </c>
      <c r="P793" s="15" t="s">
        <v>122</v>
      </c>
      <c r="Q793" s="15" t="s">
        <v>123</v>
      </c>
      <c r="R793" s="16">
        <v>44329</v>
      </c>
      <c r="S793" s="17" t="s">
        <v>70</v>
      </c>
      <c r="T793" s="20">
        <f>HYPERLINK("https://vnm.spiral.com.vn//uploaded/20210513/40738863-6db7-4a7c-a328-2d9ffa378a8c.jpg","14:46:32")</f>
      </c>
      <c r="U793" s="20">
        <f>HYPERLINK("https://vnm.spiral.com.vn//uploaded/20210513/a7bea07d-8178-47b1-a5d8-f06725307e7a.jpg","15:45:03")</f>
      </c>
      <c r="V793" s="18">
        <v>0.040636574074074075</v>
      </c>
      <c r="W793" s="15" t="s">
        <v>5363</v>
      </c>
      <c r="X793" s="15" t="s">
        <v>5364</v>
      </c>
      <c r="Y793" s="15" t="s">
        <v>35</v>
      </c>
      <c r="Z793" s="19">
        <v>0</v>
      </c>
      <c r="AA793" s="15">
        <v>0</v>
      </c>
      <c r="AB793" s="15" t="s">
        <v>35</v>
      </c>
    </row>
    <row r="794">
      <c r="A794" s="15">
        <v>790</v>
      </c>
      <c r="B794" s="15" t="s">
        <v>87</v>
      </c>
      <c r="C794" s="15" t="s">
        <v>88</v>
      </c>
      <c r="D794" s="15" t="s">
        <v>432</v>
      </c>
      <c r="E794" s="15" t="s">
        <v>116</v>
      </c>
      <c r="F794" s="15" t="s">
        <v>35</v>
      </c>
      <c r="G794" s="15" t="s">
        <v>74</v>
      </c>
      <c r="H794" s="15" t="s">
        <v>4362</v>
      </c>
      <c r="I794" s="15" t="s">
        <v>4363</v>
      </c>
      <c r="J794" s="15" t="s">
        <v>4364</v>
      </c>
      <c r="K794" s="15" t="s">
        <v>625</v>
      </c>
      <c r="L794" s="15" t="s">
        <v>626</v>
      </c>
      <c r="M794" s="15" t="s">
        <v>1022</v>
      </c>
      <c r="N794" s="15" t="s">
        <v>1023</v>
      </c>
      <c r="O794" s="15" t="s">
        <v>82</v>
      </c>
      <c r="P794" s="15" t="s">
        <v>2209</v>
      </c>
      <c r="Q794" s="15" t="s">
        <v>2210</v>
      </c>
      <c r="R794" s="16">
        <v>44329</v>
      </c>
      <c r="S794" s="17" t="s">
        <v>70</v>
      </c>
      <c r="T794" s="20">
        <f>HYPERLINK("https://vnm.spiral.com.vn//uploaded/20210513/3285c9ba-1be4-4d20-be9c-78002f7f85c6.jpg","14:53:22")</f>
      </c>
      <c r="U794" s="20">
        <f>HYPERLINK("https://vnm.spiral.com.vn//uploaded/20210513/d1b8abc2-4d76-448e-b533-13d13e615453.jpg","15:45:02")</f>
      </c>
      <c r="V794" s="18">
        <v>0.03587962962962963</v>
      </c>
      <c r="W794" s="15" t="s">
        <v>5365</v>
      </c>
      <c r="X794" s="15" t="s">
        <v>5366</v>
      </c>
      <c r="Y794" s="15" t="s">
        <v>35</v>
      </c>
      <c r="Z794" s="19">
        <v>0</v>
      </c>
      <c r="AA794" s="15">
        <v>0</v>
      </c>
      <c r="AB794" s="15" t="s">
        <v>35</v>
      </c>
    </row>
    <row r="795">
      <c r="A795" s="15">
        <v>791</v>
      </c>
      <c r="B795" s="15" t="s">
        <v>49</v>
      </c>
      <c r="C795" s="15" t="s">
        <v>50</v>
      </c>
      <c r="D795" s="15" t="s">
        <v>35</v>
      </c>
      <c r="E795" s="15" t="s">
        <v>35</v>
      </c>
      <c r="F795" s="15" t="s">
        <v>35</v>
      </c>
      <c r="G795" s="15" t="s">
        <v>36</v>
      </c>
      <c r="H795" s="15" t="s">
        <v>5367</v>
      </c>
      <c r="I795" s="15" t="s">
        <v>5368</v>
      </c>
      <c r="J795" s="15" t="s">
        <v>5369</v>
      </c>
      <c r="K795" s="15" t="s">
        <v>40</v>
      </c>
      <c r="L795" s="15" t="s">
        <v>41</v>
      </c>
      <c r="M795" s="15" t="s">
        <v>55</v>
      </c>
      <c r="N795" s="15" t="s">
        <v>56</v>
      </c>
      <c r="O795" s="15" t="s">
        <v>44</v>
      </c>
      <c r="P795" s="15" t="s">
        <v>5370</v>
      </c>
      <c r="Q795" s="15" t="s">
        <v>5371</v>
      </c>
      <c r="R795" s="16">
        <v>44329</v>
      </c>
      <c r="S795" s="17" t="s">
        <v>2925</v>
      </c>
      <c r="T795" s="20">
        <f>HYPERLINK("https://vnm.spiral.com.vn//uploaded/20210513/3737b067-ae6b-4ac9-a58c-e406c6e69c59.JPEG","15:44:38")</f>
      </c>
      <c r="U795" s="18"/>
      <c r="V795" s="18" t="s">
        <v>35</v>
      </c>
      <c r="W795" s="15" t="s">
        <v>5372</v>
      </c>
      <c r="X795" s="15" t="s">
        <v>35</v>
      </c>
      <c r="Y795" s="15" t="s">
        <v>35</v>
      </c>
      <c r="Z795" s="19">
        <v>0</v>
      </c>
      <c r="AA795" s="15">
        <v>0</v>
      </c>
      <c r="AB795" s="15" t="s">
        <v>35</v>
      </c>
    </row>
    <row r="796">
      <c r="A796" s="15">
        <v>792</v>
      </c>
      <c r="B796" s="15" t="s">
        <v>103</v>
      </c>
      <c r="C796" s="15" t="s">
        <v>104</v>
      </c>
      <c r="D796" s="15" t="s">
        <v>35</v>
      </c>
      <c r="E796" s="15" t="s">
        <v>35</v>
      </c>
      <c r="F796" s="15" t="s">
        <v>35</v>
      </c>
      <c r="G796" s="15" t="s">
        <v>35</v>
      </c>
      <c r="H796" s="15" t="s">
        <v>5373</v>
      </c>
      <c r="I796" s="15" t="s">
        <v>5374</v>
      </c>
      <c r="J796" s="15" t="s">
        <v>5375</v>
      </c>
      <c r="K796" s="15" t="s">
        <v>40</v>
      </c>
      <c r="L796" s="15" t="s">
        <v>41</v>
      </c>
      <c r="M796" s="15" t="s">
        <v>108</v>
      </c>
      <c r="N796" s="15" t="s">
        <v>109</v>
      </c>
      <c r="O796" s="15" t="s">
        <v>44</v>
      </c>
      <c r="P796" s="15" t="s">
        <v>5376</v>
      </c>
      <c r="Q796" s="15" t="s">
        <v>5377</v>
      </c>
      <c r="R796" s="16">
        <v>44329</v>
      </c>
      <c r="S796" s="17" t="s">
        <v>4285</v>
      </c>
      <c r="T796" s="20">
        <f>HYPERLINK("https://vnm.spiral.com.vn//uploaded/20210513/7893225b-02b0-470d-b775-4814a7d510cd.JPEG","06:32:31")</f>
      </c>
      <c r="U796" s="20">
        <f>HYPERLINK("https://vnm.spiral.com.vn//uploaded/20210513/ea4d4214-8343-4037-8e4f-934c3a458ce0.JPEG","15:44:36")</f>
      </c>
      <c r="V796" s="18">
        <v>0.3833912037037037</v>
      </c>
      <c r="W796" s="15" t="s">
        <v>5378</v>
      </c>
      <c r="X796" s="15" t="s">
        <v>5379</v>
      </c>
      <c r="Y796" s="15" t="s">
        <v>35</v>
      </c>
      <c r="Z796" s="19">
        <v>0</v>
      </c>
      <c r="AA796" s="15">
        <v>0</v>
      </c>
      <c r="AB796" s="15" t="s">
        <v>35</v>
      </c>
    </row>
    <row r="797">
      <c r="A797" s="15">
        <v>793</v>
      </c>
      <c r="B797" s="15" t="s">
        <v>87</v>
      </c>
      <c r="C797" s="15" t="s">
        <v>88</v>
      </c>
      <c r="D797" s="15" t="s">
        <v>35</v>
      </c>
      <c r="E797" s="15" t="s">
        <v>35</v>
      </c>
      <c r="F797" s="15" t="s">
        <v>806</v>
      </c>
      <c r="G797" s="15" t="s">
        <v>36</v>
      </c>
      <c r="H797" s="15" t="s">
        <v>5380</v>
      </c>
      <c r="I797" s="15" t="s">
        <v>5381</v>
      </c>
      <c r="J797" s="15" t="s">
        <v>5382</v>
      </c>
      <c r="K797" s="15" t="s">
        <v>40</v>
      </c>
      <c r="L797" s="15" t="s">
        <v>41</v>
      </c>
      <c r="M797" s="15" t="s">
        <v>810</v>
      </c>
      <c r="N797" s="15" t="s">
        <v>811</v>
      </c>
      <c r="O797" s="15" t="s">
        <v>44</v>
      </c>
      <c r="P797" s="15" t="s">
        <v>5383</v>
      </c>
      <c r="Q797" s="15" t="s">
        <v>5384</v>
      </c>
      <c r="R797" s="16">
        <v>44329</v>
      </c>
      <c r="S797" s="17" t="s">
        <v>971</v>
      </c>
      <c r="T797" s="20">
        <f>HYPERLINK("https://vnm.spiral.com.vn//uploaded/20210513/1E8E9A28-3E5C-4A05-82D1-77D4F157D3C1.jpg","07:23:13")</f>
      </c>
      <c r="U797" s="20">
        <f>HYPERLINK("https://vnm.spiral.com.vn//uploaded/20210513/DF38ED55-D2A6-4E31-B2BA-4403F244CD09.jpg","15:44:30")</f>
      </c>
      <c r="V797" s="18">
        <v>0.3481134259259259</v>
      </c>
      <c r="W797" s="15" t="s">
        <v>5385</v>
      </c>
      <c r="X797" s="15" t="s">
        <v>5386</v>
      </c>
      <c r="Y797" s="15" t="s">
        <v>35</v>
      </c>
      <c r="Z797" s="19">
        <v>0</v>
      </c>
      <c r="AA797" s="15">
        <v>0</v>
      </c>
      <c r="AB797" s="15" t="s">
        <v>35</v>
      </c>
    </row>
    <row r="798">
      <c r="A798" s="15">
        <v>794</v>
      </c>
      <c r="B798" s="15" t="s">
        <v>343</v>
      </c>
      <c r="C798" s="15" t="s">
        <v>344</v>
      </c>
      <c r="D798" s="15" t="s">
        <v>878</v>
      </c>
      <c r="E798" s="15" t="s">
        <v>35</v>
      </c>
      <c r="F798" s="15" t="s">
        <v>35</v>
      </c>
      <c r="G798" s="15" t="s">
        <v>74</v>
      </c>
      <c r="H798" s="15" t="s">
        <v>5387</v>
      </c>
      <c r="I798" s="15" t="s">
        <v>5388</v>
      </c>
      <c r="J798" s="15" t="s">
        <v>5389</v>
      </c>
      <c r="K798" s="15" t="s">
        <v>584</v>
      </c>
      <c r="L798" s="15" t="s">
        <v>585</v>
      </c>
      <c r="M798" s="15" t="s">
        <v>586</v>
      </c>
      <c r="N798" s="15" t="s">
        <v>587</v>
      </c>
      <c r="O798" s="15" t="s">
        <v>82</v>
      </c>
      <c r="P798" s="15" t="s">
        <v>1232</v>
      </c>
      <c r="Q798" s="15" t="s">
        <v>1233</v>
      </c>
      <c r="R798" s="16">
        <v>44329</v>
      </c>
      <c r="S798" s="17" t="s">
        <v>70</v>
      </c>
      <c r="T798" s="20">
        <f>HYPERLINK("https://vnm.spiral.com.vn//uploaded/20210513/fb875fee-3bc2-44a4-92ad-fa2185d618d3.JPEG","12:08:55")</f>
      </c>
      <c r="U798" s="20">
        <f>HYPERLINK("https://vnm.spiral.com.vn//uploaded/20210513/6944f916-20ea-4540-928e-d3158117d940.JPEG","15:44:04")</f>
      </c>
      <c r="V798" s="18">
        <v>0.14940972222222224</v>
      </c>
      <c r="W798" s="15" t="s">
        <v>5390</v>
      </c>
      <c r="X798" s="15" t="s">
        <v>5391</v>
      </c>
      <c r="Y798" s="15" t="s">
        <v>35</v>
      </c>
      <c r="Z798" s="19">
        <v>0</v>
      </c>
      <c r="AA798" s="15">
        <v>0</v>
      </c>
      <c r="AB798" s="15" t="s">
        <v>35</v>
      </c>
    </row>
    <row r="799">
      <c r="A799" s="15">
        <v>795</v>
      </c>
      <c r="B799" s="15" t="s">
        <v>343</v>
      </c>
      <c r="C799" s="15" t="s">
        <v>344</v>
      </c>
      <c r="D799" s="15" t="s">
        <v>536</v>
      </c>
      <c r="E799" s="15" t="s">
        <v>116</v>
      </c>
      <c r="F799" s="15" t="s">
        <v>35</v>
      </c>
      <c r="G799" s="15" t="s">
        <v>74</v>
      </c>
      <c r="H799" s="15" t="s">
        <v>5392</v>
      </c>
      <c r="I799" s="15" t="s">
        <v>5393</v>
      </c>
      <c r="J799" s="15" t="s">
        <v>5394</v>
      </c>
      <c r="K799" s="15" t="s">
        <v>997</v>
      </c>
      <c r="L799" s="15" t="s">
        <v>998</v>
      </c>
      <c r="M799" s="15" t="s">
        <v>1325</v>
      </c>
      <c r="N799" s="15" t="s">
        <v>1326</v>
      </c>
      <c r="O799" s="15" t="s">
        <v>82</v>
      </c>
      <c r="P799" s="15" t="s">
        <v>2576</v>
      </c>
      <c r="Q799" s="15" t="s">
        <v>2577</v>
      </c>
      <c r="R799" s="16">
        <v>44329</v>
      </c>
      <c r="S799" s="17" t="s">
        <v>70</v>
      </c>
      <c r="T799" s="20">
        <f>HYPERLINK("https://vnm.spiral.com.vn//uploaded/20210513/849a73f7-81f7-4936-a81f-26a6d2335f4d.JPEG","15:15:52")</f>
      </c>
      <c r="U799" s="20">
        <f>HYPERLINK("https://vnm.spiral.com.vn//uploaded/20210513/fca449ab-79a2-4890-9958-c9724539b10e.JPEG","15:44:01")</f>
      </c>
      <c r="V799" s="18">
        <v>0.01954861111111111</v>
      </c>
      <c r="W799" s="15" t="s">
        <v>5395</v>
      </c>
      <c r="X799" s="15" t="s">
        <v>5396</v>
      </c>
      <c r="Y799" s="15" t="s">
        <v>35</v>
      </c>
      <c r="Z799" s="19">
        <v>0</v>
      </c>
      <c r="AA799" s="15">
        <v>0</v>
      </c>
      <c r="AB799" s="15" t="s">
        <v>35</v>
      </c>
    </row>
    <row r="800">
      <c r="A800" s="15">
        <v>796</v>
      </c>
      <c r="B800" s="15" t="s">
        <v>87</v>
      </c>
      <c r="C800" s="15" t="s">
        <v>88</v>
      </c>
      <c r="D800" s="15" t="s">
        <v>135</v>
      </c>
      <c r="E800" s="15" t="s">
        <v>116</v>
      </c>
      <c r="F800" s="15" t="s">
        <v>35</v>
      </c>
      <c r="G800" s="15" t="s">
        <v>74</v>
      </c>
      <c r="H800" s="15" t="s">
        <v>5397</v>
      </c>
      <c r="I800" s="15" t="s">
        <v>5398</v>
      </c>
      <c r="J800" s="15" t="s">
        <v>5399</v>
      </c>
      <c r="K800" s="15" t="s">
        <v>390</v>
      </c>
      <c r="L800" s="15" t="s">
        <v>391</v>
      </c>
      <c r="M800" s="15" t="s">
        <v>392</v>
      </c>
      <c r="N800" s="15" t="s">
        <v>393</v>
      </c>
      <c r="O800" s="15" t="s">
        <v>82</v>
      </c>
      <c r="P800" s="15" t="s">
        <v>5400</v>
      </c>
      <c r="Q800" s="15" t="s">
        <v>5401</v>
      </c>
      <c r="R800" s="16">
        <v>44329</v>
      </c>
      <c r="S800" s="17" t="s">
        <v>70</v>
      </c>
      <c r="T800" s="20">
        <f>HYPERLINK("https://vnm.spiral.com.vn//uploaded/20210513/D9BC3DBF-CC0F-4421-834D-9E4628392077.jpg","15:43:56")</f>
      </c>
      <c r="U800" s="18"/>
      <c r="V800" s="18" t="s">
        <v>35</v>
      </c>
      <c r="W800" s="15" t="s">
        <v>5402</v>
      </c>
      <c r="X800" s="15" t="s">
        <v>35</v>
      </c>
      <c r="Y800" s="15" t="s">
        <v>35</v>
      </c>
      <c r="Z800" s="19">
        <v>0</v>
      </c>
      <c r="AA800" s="15">
        <v>0</v>
      </c>
      <c r="AB800" s="15" t="s">
        <v>35</v>
      </c>
    </row>
    <row r="801">
      <c r="A801" s="15">
        <v>797</v>
      </c>
      <c r="B801" s="15" t="s">
        <v>61</v>
      </c>
      <c r="C801" s="15" t="s">
        <v>398</v>
      </c>
      <c r="D801" s="15" t="s">
        <v>35</v>
      </c>
      <c r="E801" s="15" t="s">
        <v>35</v>
      </c>
      <c r="F801" s="15" t="s">
        <v>35</v>
      </c>
      <c r="G801" s="15" t="s">
        <v>36</v>
      </c>
      <c r="H801" s="15" t="s">
        <v>5403</v>
      </c>
      <c r="I801" s="15" t="s">
        <v>4380</v>
      </c>
      <c r="J801" s="15" t="s">
        <v>5404</v>
      </c>
      <c r="K801" s="15" t="s">
        <v>40</v>
      </c>
      <c r="L801" s="15" t="s">
        <v>41</v>
      </c>
      <c r="M801" s="15" t="s">
        <v>66</v>
      </c>
      <c r="N801" s="15" t="s">
        <v>67</v>
      </c>
      <c r="O801" s="15" t="s">
        <v>44</v>
      </c>
      <c r="P801" s="15" t="s">
        <v>5405</v>
      </c>
      <c r="Q801" s="15" t="s">
        <v>5406</v>
      </c>
      <c r="R801" s="16">
        <v>44329</v>
      </c>
      <c r="S801" s="17" t="s">
        <v>1696</v>
      </c>
      <c r="T801" s="20">
        <f>HYPERLINK("https://vnm.spiral.com.vn//uploaded/20210513/803C2C47-F7D1-4586-8EF0-694C2C335263.jpg","07:03:48")</f>
      </c>
      <c r="U801" s="20">
        <f>HYPERLINK("https://vnm.spiral.com.vn//uploaded/20210513/EAA3371B-2059-4457-8070-A619E6E36D52.jpg","15:43:27")</f>
      </c>
      <c r="V801" s="18">
        <v>0.36086805555555557</v>
      </c>
      <c r="W801" s="15" t="s">
        <v>5407</v>
      </c>
      <c r="X801" s="15" t="s">
        <v>5408</v>
      </c>
      <c r="Y801" s="15" t="s">
        <v>35</v>
      </c>
      <c r="Z801" s="19">
        <v>0</v>
      </c>
      <c r="AA801" s="15">
        <v>0</v>
      </c>
      <c r="AB801" s="15" t="s">
        <v>35</v>
      </c>
    </row>
    <row r="802">
      <c r="A802" s="15">
        <v>798</v>
      </c>
      <c r="B802" s="15" t="s">
        <v>87</v>
      </c>
      <c r="C802" s="15" t="s">
        <v>88</v>
      </c>
      <c r="D802" s="15" t="s">
        <v>89</v>
      </c>
      <c r="E802" s="15" t="s">
        <v>90</v>
      </c>
      <c r="F802" s="15" t="s">
        <v>35</v>
      </c>
      <c r="G802" s="15" t="s">
        <v>74</v>
      </c>
      <c r="H802" s="15" t="s">
        <v>1933</v>
      </c>
      <c r="I802" s="15" t="s">
        <v>1934</v>
      </c>
      <c r="J802" s="15" t="s">
        <v>1935</v>
      </c>
      <c r="K802" s="15" t="s">
        <v>96</v>
      </c>
      <c r="L802" s="15" t="s">
        <v>97</v>
      </c>
      <c r="M802" s="15" t="s">
        <v>802</v>
      </c>
      <c r="N802" s="15" t="s">
        <v>803</v>
      </c>
      <c r="O802" s="15" t="s">
        <v>156</v>
      </c>
      <c r="P802" s="15" t="s">
        <v>5409</v>
      </c>
      <c r="Q802" s="15" t="s">
        <v>5410</v>
      </c>
      <c r="R802" s="16">
        <v>44329</v>
      </c>
      <c r="S802" s="17" t="s">
        <v>1835</v>
      </c>
      <c r="T802" s="20">
        <f>HYPERLINK("https://vnm.spiral.com.vn//uploaded/20210513/3B3772D6-4C58-45FB-AC03-598663FA06D3.jpg","15:43:09")</f>
      </c>
      <c r="U802" s="18"/>
      <c r="V802" s="18" t="s">
        <v>35</v>
      </c>
      <c r="W802" s="15" t="s">
        <v>5411</v>
      </c>
      <c r="X802" s="15" t="s">
        <v>35</v>
      </c>
      <c r="Y802" s="15" t="s">
        <v>35</v>
      </c>
      <c r="Z802" s="19">
        <v>0</v>
      </c>
      <c r="AA802" s="15">
        <v>0</v>
      </c>
      <c r="AB802" s="15" t="s">
        <v>35</v>
      </c>
    </row>
    <row r="803">
      <c r="A803" s="15">
        <v>799</v>
      </c>
      <c r="B803" s="15" t="s">
        <v>103</v>
      </c>
      <c r="C803" s="15" t="s">
        <v>104</v>
      </c>
      <c r="D803" s="15" t="s">
        <v>35</v>
      </c>
      <c r="E803" s="15" t="s">
        <v>35</v>
      </c>
      <c r="F803" s="15" t="s">
        <v>5412</v>
      </c>
      <c r="G803" s="15" t="s">
        <v>36</v>
      </c>
      <c r="H803" s="15" t="s">
        <v>5413</v>
      </c>
      <c r="I803" s="15" t="s">
        <v>5414</v>
      </c>
      <c r="J803" s="15" t="s">
        <v>5415</v>
      </c>
      <c r="K803" s="15" t="s">
        <v>40</v>
      </c>
      <c r="L803" s="15" t="s">
        <v>41</v>
      </c>
      <c r="M803" s="15" t="s">
        <v>108</v>
      </c>
      <c r="N803" s="15" t="s">
        <v>109</v>
      </c>
      <c r="O803" s="15" t="s">
        <v>44</v>
      </c>
      <c r="P803" s="15" t="s">
        <v>5416</v>
      </c>
      <c r="Q803" s="15" t="s">
        <v>5417</v>
      </c>
      <c r="R803" s="16">
        <v>44329</v>
      </c>
      <c r="S803" s="17" t="s">
        <v>2925</v>
      </c>
      <c r="T803" s="20">
        <f>HYPERLINK("https://vnm.spiral.com.vn//uploaded/20210513/98E8E509-3566-41C8-AB4D-04D92D08C5FC.jpg","15:43:06")</f>
      </c>
      <c r="U803" s="18"/>
      <c r="V803" s="18" t="s">
        <v>35</v>
      </c>
      <c r="W803" s="15" t="s">
        <v>5418</v>
      </c>
      <c r="X803" s="15" t="s">
        <v>35</v>
      </c>
      <c r="Y803" s="15" t="s">
        <v>35</v>
      </c>
      <c r="Z803" s="19">
        <v>0</v>
      </c>
      <c r="AA803" s="15">
        <v>0</v>
      </c>
      <c r="AB803" s="15" t="s">
        <v>35</v>
      </c>
    </row>
    <row r="804">
      <c r="A804" s="15">
        <v>800</v>
      </c>
      <c r="B804" s="15" t="s">
        <v>61</v>
      </c>
      <c r="C804" s="15" t="s">
        <v>201</v>
      </c>
      <c r="D804" s="15" t="s">
        <v>135</v>
      </c>
      <c r="E804" s="15" t="s">
        <v>116</v>
      </c>
      <c r="F804" s="15" t="s">
        <v>35</v>
      </c>
      <c r="G804" s="15" t="s">
        <v>74</v>
      </c>
      <c r="H804" s="15" t="s">
        <v>5419</v>
      </c>
      <c r="I804" s="15" t="s">
        <v>5420</v>
      </c>
      <c r="J804" s="15" t="s">
        <v>5421</v>
      </c>
      <c r="K804" s="15" t="s">
        <v>152</v>
      </c>
      <c r="L804" s="15" t="s">
        <v>153</v>
      </c>
      <c r="M804" s="15" t="s">
        <v>154</v>
      </c>
      <c r="N804" s="15" t="s">
        <v>155</v>
      </c>
      <c r="O804" s="15" t="s">
        <v>82</v>
      </c>
      <c r="P804" s="15" t="s">
        <v>2250</v>
      </c>
      <c r="Q804" s="15" t="s">
        <v>2251</v>
      </c>
      <c r="R804" s="16">
        <v>44329</v>
      </c>
      <c r="S804" s="17" t="s">
        <v>70</v>
      </c>
      <c r="T804" s="20">
        <f>HYPERLINK("https://vnm.spiral.com.vn//uploaded/20210513/e37445fc-e566-44cd-90ef-53cf3f7b2e97.JPEG","15:03:10")</f>
      </c>
      <c r="U804" s="20">
        <f>HYPERLINK("https://vnm.spiral.com.vn//uploaded/20210513/0f4c915a-e937-457b-a792-eb73a15fd556.JPEG","15:43:02")</f>
      </c>
      <c r="V804" s="18">
        <v>0.027685185185185184</v>
      </c>
      <c r="W804" s="15" t="s">
        <v>5422</v>
      </c>
      <c r="X804" s="15" t="s">
        <v>5423</v>
      </c>
      <c r="Y804" s="15" t="s">
        <v>35</v>
      </c>
      <c r="Z804" s="19">
        <v>0</v>
      </c>
      <c r="AA804" s="15">
        <v>0</v>
      </c>
      <c r="AB804" s="15" t="s">
        <v>35</v>
      </c>
    </row>
    <row r="805">
      <c r="A805" s="15">
        <v>801</v>
      </c>
      <c r="B805" s="15" t="s">
        <v>61</v>
      </c>
      <c r="C805" s="15" t="s">
        <v>1730</v>
      </c>
      <c r="D805" s="15" t="s">
        <v>135</v>
      </c>
      <c r="E805" s="15" t="s">
        <v>116</v>
      </c>
      <c r="F805" s="15" t="s">
        <v>35</v>
      </c>
      <c r="G805" s="15" t="s">
        <v>74</v>
      </c>
      <c r="H805" s="15" t="s">
        <v>5424</v>
      </c>
      <c r="I805" s="15" t="s">
        <v>5425</v>
      </c>
      <c r="J805" s="15" t="s">
        <v>5426</v>
      </c>
      <c r="K805" s="15" t="s">
        <v>309</v>
      </c>
      <c r="L805" s="15" t="s">
        <v>310</v>
      </c>
      <c r="M805" s="15" t="s">
        <v>778</v>
      </c>
      <c r="N805" s="15" t="s">
        <v>779</v>
      </c>
      <c r="O805" s="15" t="s">
        <v>82</v>
      </c>
      <c r="P805" s="15" t="s">
        <v>4298</v>
      </c>
      <c r="Q805" s="15" t="s">
        <v>4299</v>
      </c>
      <c r="R805" s="16">
        <v>44329</v>
      </c>
      <c r="S805" s="17" t="s">
        <v>70</v>
      </c>
      <c r="T805" s="20">
        <f>HYPERLINK("https://vnm.spiral.com.vn//uploaded/20210513/f5c845c9-63be-4ff8-b336-a9a9c178d68e.JPEG","13:55:29")</f>
      </c>
      <c r="U805" s="20">
        <f>HYPERLINK("https://vnm.spiral.com.vn//uploaded/20210513/6852f043-7978-4f19-b40b-842fead2e954.JPEG","15:43:00")</f>
      </c>
      <c r="V805" s="18">
        <v>0.07466435185185186</v>
      </c>
      <c r="W805" s="15" t="s">
        <v>5427</v>
      </c>
      <c r="X805" s="15" t="s">
        <v>5428</v>
      </c>
      <c r="Y805" s="15" t="s">
        <v>35</v>
      </c>
      <c r="Z805" s="19">
        <v>0</v>
      </c>
      <c r="AA805" s="15">
        <v>0</v>
      </c>
      <c r="AB805" s="15" t="s">
        <v>35</v>
      </c>
    </row>
    <row r="806">
      <c r="A806" s="15">
        <v>802</v>
      </c>
      <c r="B806" s="15" t="s">
        <v>343</v>
      </c>
      <c r="C806" s="15" t="s">
        <v>344</v>
      </c>
      <c r="D806" s="15" t="s">
        <v>35</v>
      </c>
      <c r="E806" s="15" t="s">
        <v>35</v>
      </c>
      <c r="F806" s="15" t="s">
        <v>35</v>
      </c>
      <c r="G806" s="15" t="s">
        <v>74</v>
      </c>
      <c r="H806" s="15" t="s">
        <v>5295</v>
      </c>
      <c r="I806" s="15" t="s">
        <v>5296</v>
      </c>
      <c r="J806" s="15" t="s">
        <v>5297</v>
      </c>
      <c r="K806" s="15" t="s">
        <v>897</v>
      </c>
      <c r="L806" s="15" t="s">
        <v>898</v>
      </c>
      <c r="M806" s="15" t="s">
        <v>3476</v>
      </c>
      <c r="N806" s="15" t="s">
        <v>3477</v>
      </c>
      <c r="O806" s="15" t="s">
        <v>156</v>
      </c>
      <c r="P806" s="15" t="s">
        <v>5429</v>
      </c>
      <c r="Q806" s="15" t="s">
        <v>5430</v>
      </c>
      <c r="R806" s="16">
        <v>44329</v>
      </c>
      <c r="S806" s="17" t="s">
        <v>4285</v>
      </c>
      <c r="T806" s="20">
        <f>HYPERLINK("https://vnm.spiral.com.vn//uploaded/20210513/72F85EB0-C575-4FCE-AB24-7BDACBCB3ED8.jpg","06:29:30")</f>
      </c>
      <c r="U806" s="20">
        <f>HYPERLINK("https://vnm.spiral.com.vn//uploaded/20210513/C9761E0C-7CEA-4CD8-892B-C79469998317.jpg","15:42:41")</f>
      </c>
      <c r="V806" s="18">
        <v>0.3841550925925926</v>
      </c>
      <c r="W806" s="15" t="s">
        <v>5431</v>
      </c>
      <c r="X806" s="15" t="s">
        <v>5432</v>
      </c>
      <c r="Y806" s="15" t="s">
        <v>35</v>
      </c>
      <c r="Z806" s="19">
        <v>0</v>
      </c>
      <c r="AA806" s="15">
        <v>0</v>
      </c>
      <c r="AB806" s="15" t="s">
        <v>35</v>
      </c>
    </row>
    <row r="807">
      <c r="A807" s="15">
        <v>803</v>
      </c>
      <c r="B807" s="15" t="s">
        <v>87</v>
      </c>
      <c r="C807" s="15" t="s">
        <v>88</v>
      </c>
      <c r="D807" s="15" t="s">
        <v>1910</v>
      </c>
      <c r="E807" s="15" t="s">
        <v>1910</v>
      </c>
      <c r="F807" s="15" t="s">
        <v>35</v>
      </c>
      <c r="G807" s="15" t="s">
        <v>74</v>
      </c>
      <c r="H807" s="15" t="s">
        <v>5433</v>
      </c>
      <c r="I807" s="15" t="s">
        <v>5434</v>
      </c>
      <c r="J807" s="15" t="s">
        <v>5435</v>
      </c>
      <c r="K807" s="15" t="s">
        <v>888</v>
      </c>
      <c r="L807" s="15" t="s">
        <v>889</v>
      </c>
      <c r="M807" s="15" t="s">
        <v>924</v>
      </c>
      <c r="N807" s="15" t="s">
        <v>925</v>
      </c>
      <c r="O807" s="15" t="s">
        <v>82</v>
      </c>
      <c r="P807" s="15" t="s">
        <v>1893</v>
      </c>
      <c r="Q807" s="15" t="s">
        <v>1894</v>
      </c>
      <c r="R807" s="16">
        <v>44329</v>
      </c>
      <c r="S807" s="17" t="s">
        <v>70</v>
      </c>
      <c r="T807" s="20">
        <f>HYPERLINK("https://vnm.spiral.com.vn//uploaded/20210513/17FD53E6-0983-451B-9D7F-5334FB580A54.jpg","15:16:26")</f>
      </c>
      <c r="U807" s="20">
        <f>HYPERLINK("https://vnm.spiral.com.vn//uploaded/20210513/80B2A8B9-7D37-4DA4-B172-B6D532AC681F.jpg","15:42:37")</f>
      </c>
      <c r="V807" s="18">
        <v>0.01818287037037037</v>
      </c>
      <c r="W807" s="15" t="s">
        <v>5436</v>
      </c>
      <c r="X807" s="15" t="s">
        <v>5437</v>
      </c>
      <c r="Y807" s="15" t="s">
        <v>35</v>
      </c>
      <c r="Z807" s="19">
        <v>0</v>
      </c>
      <c r="AA807" s="15">
        <v>0</v>
      </c>
      <c r="AB807" s="15" t="s">
        <v>35</v>
      </c>
    </row>
    <row r="808">
      <c r="A808" s="15">
        <v>804</v>
      </c>
      <c r="B808" s="15" t="s">
        <v>87</v>
      </c>
      <c r="C808" s="15" t="s">
        <v>88</v>
      </c>
      <c r="D808" s="15" t="s">
        <v>432</v>
      </c>
      <c r="E808" s="15" t="s">
        <v>116</v>
      </c>
      <c r="F808" s="15" t="s">
        <v>35</v>
      </c>
      <c r="G808" s="15" t="s">
        <v>74</v>
      </c>
      <c r="H808" s="15" t="s">
        <v>5438</v>
      </c>
      <c r="I808" s="15" t="s">
        <v>5439</v>
      </c>
      <c r="J808" s="15" t="s">
        <v>5440</v>
      </c>
      <c r="K808" s="15" t="s">
        <v>625</v>
      </c>
      <c r="L808" s="15" t="s">
        <v>626</v>
      </c>
      <c r="M808" s="15" t="s">
        <v>1022</v>
      </c>
      <c r="N808" s="15" t="s">
        <v>1023</v>
      </c>
      <c r="O808" s="15" t="s">
        <v>82</v>
      </c>
      <c r="P808" s="15" t="s">
        <v>2241</v>
      </c>
      <c r="Q808" s="15" t="s">
        <v>2242</v>
      </c>
      <c r="R808" s="16">
        <v>44329</v>
      </c>
      <c r="S808" s="17" t="s">
        <v>70</v>
      </c>
      <c r="T808" s="20">
        <f>HYPERLINK("https://vnm.spiral.com.vn//uploaded/20210513/508BF60B-C6C9-4ED8-B820-1663FE73FF94.jpg","15:07:34")</f>
      </c>
      <c r="U808" s="20">
        <f>HYPERLINK("https://vnm.spiral.com.vn//uploaded/20210513/F900E999-4172-4A0F-918E-8E690E22DE9F.jpg","15:42:28")</f>
      </c>
      <c r="V808" s="18">
        <v>0.02423611111111111</v>
      </c>
      <c r="W808" s="15" t="s">
        <v>5441</v>
      </c>
      <c r="X808" s="15" t="s">
        <v>5442</v>
      </c>
      <c r="Y808" s="15" t="s">
        <v>35</v>
      </c>
      <c r="Z808" s="19">
        <v>0</v>
      </c>
      <c r="AA808" s="15">
        <v>0</v>
      </c>
      <c r="AB808" s="15" t="s">
        <v>35</v>
      </c>
    </row>
    <row r="809">
      <c r="A809" s="15">
        <v>805</v>
      </c>
      <c r="B809" s="15" t="s">
        <v>103</v>
      </c>
      <c r="C809" s="15" t="s">
        <v>1078</v>
      </c>
      <c r="D809" s="15" t="s">
        <v>35</v>
      </c>
      <c r="E809" s="15" t="s">
        <v>35</v>
      </c>
      <c r="F809" s="15" t="s">
        <v>35</v>
      </c>
      <c r="G809" s="15" t="s">
        <v>36</v>
      </c>
      <c r="H809" s="15" t="s">
        <v>5443</v>
      </c>
      <c r="I809" s="15" t="s">
        <v>5444</v>
      </c>
      <c r="J809" s="15" t="s">
        <v>5445</v>
      </c>
      <c r="K809" s="15" t="s">
        <v>40</v>
      </c>
      <c r="L809" s="15" t="s">
        <v>41</v>
      </c>
      <c r="M809" s="15" t="s">
        <v>565</v>
      </c>
      <c r="N809" s="15" t="s">
        <v>566</v>
      </c>
      <c r="O809" s="15" t="s">
        <v>44</v>
      </c>
      <c r="P809" s="15" t="s">
        <v>5446</v>
      </c>
      <c r="Q809" s="15" t="s">
        <v>5447</v>
      </c>
      <c r="R809" s="16">
        <v>44329</v>
      </c>
      <c r="S809" s="17" t="s">
        <v>2925</v>
      </c>
      <c r="T809" s="20">
        <f>HYPERLINK("https://vnm.spiral.com.vn//uploaded/20210513/9682B6A0-08F4-43C2-B2CE-7651C15966FD.jpg","15:42:21")</f>
      </c>
      <c r="U809" s="18"/>
      <c r="V809" s="18" t="s">
        <v>35</v>
      </c>
      <c r="W809" s="15" t="s">
        <v>5448</v>
      </c>
      <c r="X809" s="15" t="s">
        <v>35</v>
      </c>
      <c r="Y809" s="15" t="s">
        <v>35</v>
      </c>
      <c r="Z809" s="19">
        <v>0</v>
      </c>
      <c r="AA809" s="15">
        <v>0</v>
      </c>
      <c r="AB809" s="15" t="s">
        <v>35</v>
      </c>
    </row>
    <row r="810">
      <c r="A810" s="15">
        <v>806</v>
      </c>
      <c r="B810" s="15" t="s">
        <v>61</v>
      </c>
      <c r="C810" s="15" t="s">
        <v>62</v>
      </c>
      <c r="D810" s="15" t="s">
        <v>35</v>
      </c>
      <c r="E810" s="15" t="s">
        <v>35</v>
      </c>
      <c r="F810" s="15" t="s">
        <v>35</v>
      </c>
      <c r="G810" s="15" t="s">
        <v>36</v>
      </c>
      <c r="H810" s="15" t="s">
        <v>5449</v>
      </c>
      <c r="I810" s="15" t="s">
        <v>5450</v>
      </c>
      <c r="J810" s="15" t="s">
        <v>5451</v>
      </c>
      <c r="K810" s="15" t="s">
        <v>40</v>
      </c>
      <c r="L810" s="15" t="s">
        <v>41</v>
      </c>
      <c r="M810" s="15" t="s">
        <v>66</v>
      </c>
      <c r="N810" s="15" t="s">
        <v>67</v>
      </c>
      <c r="O810" s="15" t="s">
        <v>44</v>
      </c>
      <c r="P810" s="15" t="s">
        <v>5452</v>
      </c>
      <c r="Q810" s="15" t="s">
        <v>5453</v>
      </c>
      <c r="R810" s="16">
        <v>44329</v>
      </c>
      <c r="S810" s="17" t="s">
        <v>273</v>
      </c>
      <c r="T810" s="20">
        <f>HYPERLINK("https://vnm.spiral.com.vn//uploaded/20210513/51f28556-f224-4036-b276-9a9acbfee7bc.JPEG","07:25:11")</f>
      </c>
      <c r="U810" s="20">
        <f>HYPERLINK("https://vnm.spiral.com.vn//uploaded/20210513/a55f1198-68d9-47a3-b455-a7c63b4072f8.JPEG","15:41:49")</f>
      </c>
      <c r="V810" s="18">
        <v>0.34488425925925925</v>
      </c>
      <c r="W810" s="15" t="s">
        <v>5454</v>
      </c>
      <c r="X810" s="15" t="s">
        <v>5455</v>
      </c>
      <c r="Y810" s="15" t="s">
        <v>35</v>
      </c>
      <c r="Z810" s="19">
        <v>0</v>
      </c>
      <c r="AA810" s="15">
        <v>0</v>
      </c>
      <c r="AB810" s="15" t="s">
        <v>35</v>
      </c>
    </row>
    <row r="811">
      <c r="A811" s="15">
        <v>807</v>
      </c>
      <c r="B811" s="15" t="s">
        <v>343</v>
      </c>
      <c r="C811" s="15" t="s">
        <v>344</v>
      </c>
      <c r="D811" s="15" t="s">
        <v>432</v>
      </c>
      <c r="E811" s="15" t="s">
        <v>116</v>
      </c>
      <c r="F811" s="15" t="s">
        <v>35</v>
      </c>
      <c r="G811" s="15" t="s">
        <v>74</v>
      </c>
      <c r="H811" s="15" t="s">
        <v>5456</v>
      </c>
      <c r="I811" s="15" t="s">
        <v>5457</v>
      </c>
      <c r="J811" s="15" t="s">
        <v>5458</v>
      </c>
      <c r="K811" s="15" t="s">
        <v>512</v>
      </c>
      <c r="L811" s="15" t="s">
        <v>513</v>
      </c>
      <c r="M811" s="15" t="s">
        <v>514</v>
      </c>
      <c r="N811" s="15" t="s">
        <v>515</v>
      </c>
      <c r="O811" s="15" t="s">
        <v>82</v>
      </c>
      <c r="P811" s="15" t="s">
        <v>1334</v>
      </c>
      <c r="Q811" s="15" t="s">
        <v>1335</v>
      </c>
      <c r="R811" s="16">
        <v>44329</v>
      </c>
      <c r="S811" s="17" t="s">
        <v>70</v>
      </c>
      <c r="T811" s="20">
        <f>HYPERLINK("https://vnm.spiral.com.vn//uploaded/20210513/9825C1B4-1F99-47F6-989D-AD9C76DB3DC9.jpg","14:30:06")</f>
      </c>
      <c r="U811" s="20">
        <f>HYPERLINK("https://vnm.spiral.com.vn//uploaded/20210513/953D4B8D-667B-4CB9-B878-80D533960E11.jpg","15:41:25")</f>
      </c>
      <c r="V811" s="18">
        <v>0.049525462962962966</v>
      </c>
      <c r="W811" s="15" t="s">
        <v>5459</v>
      </c>
      <c r="X811" s="15" t="s">
        <v>1336</v>
      </c>
      <c r="Y811" s="15" t="s">
        <v>35</v>
      </c>
      <c r="Z811" s="19">
        <v>0</v>
      </c>
      <c r="AA811" s="15">
        <v>0</v>
      </c>
      <c r="AB811" s="15" t="s">
        <v>35</v>
      </c>
    </row>
    <row r="812">
      <c r="A812" s="15">
        <v>808</v>
      </c>
      <c r="B812" s="15" t="s">
        <v>246</v>
      </c>
      <c r="C812" s="15" t="s">
        <v>259</v>
      </c>
      <c r="D812" s="15" t="s">
        <v>432</v>
      </c>
      <c r="E812" s="15" t="s">
        <v>116</v>
      </c>
      <c r="F812" s="15" t="s">
        <v>35</v>
      </c>
      <c r="G812" s="15" t="s">
        <v>74</v>
      </c>
      <c r="H812" s="15" t="s">
        <v>5460</v>
      </c>
      <c r="I812" s="15" t="s">
        <v>5461</v>
      </c>
      <c r="J812" s="15" t="s">
        <v>5462</v>
      </c>
      <c r="K812" s="15" t="s">
        <v>166</v>
      </c>
      <c r="L812" s="15" t="s">
        <v>167</v>
      </c>
      <c r="M812" s="15" t="s">
        <v>263</v>
      </c>
      <c r="N812" s="15" t="s">
        <v>264</v>
      </c>
      <c r="O812" s="15" t="s">
        <v>82</v>
      </c>
      <c r="P812" s="15" t="s">
        <v>2216</v>
      </c>
      <c r="Q812" s="15" t="s">
        <v>2217</v>
      </c>
      <c r="R812" s="16">
        <v>44329</v>
      </c>
      <c r="S812" s="17" t="s">
        <v>70</v>
      </c>
      <c r="T812" s="20">
        <f>HYPERLINK("https://vnm.spiral.com.vn//uploaded/20210513/fc6189cf-04ac-459d-bdd0-67dad4e9c5b7.JPEG","15:05:07")</f>
      </c>
      <c r="U812" s="20">
        <f>HYPERLINK("https://vnm.spiral.com.vn//uploaded/20210513/7890041b-b3e8-42e0-890b-1da9ccd6d313.JPEG","15:41:25")</f>
      </c>
      <c r="V812" s="18">
        <v>0.025208333333333333</v>
      </c>
      <c r="W812" s="15" t="s">
        <v>5463</v>
      </c>
      <c r="X812" s="15" t="s">
        <v>5464</v>
      </c>
      <c r="Y812" s="15" t="s">
        <v>35</v>
      </c>
      <c r="Z812" s="19">
        <v>0</v>
      </c>
      <c r="AA812" s="15">
        <v>0</v>
      </c>
      <c r="AB812" s="15" t="s">
        <v>35</v>
      </c>
    </row>
    <row r="813">
      <c r="A813" s="15">
        <v>809</v>
      </c>
      <c r="B813" s="15" t="s">
        <v>87</v>
      </c>
      <c r="C813" s="15" t="s">
        <v>88</v>
      </c>
      <c r="D813" s="15" t="s">
        <v>115</v>
      </c>
      <c r="E813" s="15" t="s">
        <v>116</v>
      </c>
      <c r="F813" s="15" t="s">
        <v>35</v>
      </c>
      <c r="G813" s="15" t="s">
        <v>74</v>
      </c>
      <c r="H813" s="15" t="s">
        <v>5465</v>
      </c>
      <c r="I813" s="15" t="s">
        <v>5466</v>
      </c>
      <c r="J813" s="15" t="s">
        <v>5467</v>
      </c>
      <c r="K813" s="15" t="s">
        <v>120</v>
      </c>
      <c r="L813" s="15" t="s">
        <v>121</v>
      </c>
      <c r="M813" s="15" t="s">
        <v>1073</v>
      </c>
      <c r="N813" s="15" t="s">
        <v>1074</v>
      </c>
      <c r="O813" s="15" t="s">
        <v>82</v>
      </c>
      <c r="P813" s="15" t="s">
        <v>2193</v>
      </c>
      <c r="Q813" s="15" t="s">
        <v>2194</v>
      </c>
      <c r="R813" s="16">
        <v>44329</v>
      </c>
      <c r="S813" s="17" t="s">
        <v>70</v>
      </c>
      <c r="T813" s="20">
        <f>HYPERLINK("https://vnm.spiral.com.vn//uploaded/20210513/d0e80dbf-4fe0-4bc4-bc05-463763586b38.JPEG","10:25:33")</f>
      </c>
      <c r="U813" s="20">
        <f>HYPERLINK("https://vnm.spiral.com.vn//uploaded/20210513/00ccad98-3535-4ae7-90de-3e222e6e6055.JPEG","15:41:17")</f>
      </c>
      <c r="V813" s="18">
        <v>0.21925925925925926</v>
      </c>
      <c r="W813" s="15" t="s">
        <v>5468</v>
      </c>
      <c r="X813" s="15" t="s">
        <v>5469</v>
      </c>
      <c r="Y813" s="15" t="s">
        <v>35</v>
      </c>
      <c r="Z813" s="19">
        <v>0</v>
      </c>
      <c r="AA813" s="15">
        <v>0</v>
      </c>
      <c r="AB813" s="15" t="s">
        <v>35</v>
      </c>
    </row>
    <row r="814">
      <c r="A814" s="15">
        <v>810</v>
      </c>
      <c r="B814" s="15" t="s">
        <v>87</v>
      </c>
      <c r="C814" s="15" t="s">
        <v>88</v>
      </c>
      <c r="D814" s="15" t="s">
        <v>35</v>
      </c>
      <c r="E814" s="15" t="s">
        <v>35</v>
      </c>
      <c r="F814" s="15" t="s">
        <v>35</v>
      </c>
      <c r="G814" s="15" t="s">
        <v>74</v>
      </c>
      <c r="H814" s="15" t="s">
        <v>5470</v>
      </c>
      <c r="I814" s="15" t="s">
        <v>5471</v>
      </c>
      <c r="J814" s="15" t="s">
        <v>5472</v>
      </c>
      <c r="K814" s="15" t="s">
        <v>120</v>
      </c>
      <c r="L814" s="15" t="s">
        <v>121</v>
      </c>
      <c r="M814" s="15" t="s">
        <v>1073</v>
      </c>
      <c r="N814" s="15" t="s">
        <v>1074</v>
      </c>
      <c r="O814" s="15" t="s">
        <v>82</v>
      </c>
      <c r="P814" s="15" t="s">
        <v>1075</v>
      </c>
      <c r="Q814" s="15" t="s">
        <v>1076</v>
      </c>
      <c r="R814" s="16">
        <v>44329</v>
      </c>
      <c r="S814" s="17" t="s">
        <v>70</v>
      </c>
      <c r="T814" s="20">
        <f>HYPERLINK("https://vnm.spiral.com.vn//uploaded/20210513/eb153da2-5b39-4478-9b72-d1c268436dff.jpg","12:27:23")</f>
      </c>
      <c r="U814" s="20">
        <f>HYPERLINK("https://vnm.spiral.com.vn//uploaded/20210513/74ff7d2e-7e1d-4503-89bc-d1a27a830827.jpg","15:41:09")</f>
      </c>
      <c r="V814" s="18">
        <v>0.13456018518518517</v>
      </c>
      <c r="W814" s="15" t="s">
        <v>5473</v>
      </c>
      <c r="X814" s="15" t="s">
        <v>5474</v>
      </c>
      <c r="Y814" s="15" t="s">
        <v>35</v>
      </c>
      <c r="Z814" s="19">
        <v>0</v>
      </c>
      <c r="AA814" s="15">
        <v>0</v>
      </c>
      <c r="AB814" s="15" t="s">
        <v>35</v>
      </c>
    </row>
    <row r="815">
      <c r="A815" s="15">
        <v>811</v>
      </c>
      <c r="B815" s="15" t="s">
        <v>87</v>
      </c>
      <c r="C815" s="15" t="s">
        <v>88</v>
      </c>
      <c r="D815" s="15" t="s">
        <v>35</v>
      </c>
      <c r="E815" s="15" t="s">
        <v>35</v>
      </c>
      <c r="F815" s="15" t="s">
        <v>35</v>
      </c>
      <c r="G815" s="15" t="s">
        <v>74</v>
      </c>
      <c r="H815" s="15" t="s">
        <v>5475</v>
      </c>
      <c r="I815" s="15" t="s">
        <v>5476</v>
      </c>
      <c r="J815" s="15" t="s">
        <v>5477</v>
      </c>
      <c r="K815" s="15" t="s">
        <v>888</v>
      </c>
      <c r="L815" s="15" t="s">
        <v>889</v>
      </c>
      <c r="M815" s="15" t="s">
        <v>924</v>
      </c>
      <c r="N815" s="15" t="s">
        <v>925</v>
      </c>
      <c r="O815" s="15" t="s">
        <v>82</v>
      </c>
      <c r="P815" s="15" t="s">
        <v>5478</v>
      </c>
      <c r="Q815" s="15" t="s">
        <v>5479</v>
      </c>
      <c r="R815" s="16">
        <v>44329</v>
      </c>
      <c r="S815" s="17" t="s">
        <v>70</v>
      </c>
      <c r="T815" s="20">
        <f>HYPERLINK("https://vnm.spiral.com.vn//uploaded/20210513/c4bf0e26-e8da-46e0-8573-ba7e98b4fa67.JPEG","09:56:40")</f>
      </c>
      <c r="U815" s="20">
        <f>HYPERLINK("https://vnm.spiral.com.vn//uploaded/20210513/14bf9f2c-f2c9-4970-8bd1-4a9e0aa6ec80.JPEG","15:40:59")</f>
      </c>
      <c r="V815" s="18">
        <v>0.2391087962962963</v>
      </c>
      <c r="W815" s="15" t="s">
        <v>5480</v>
      </c>
      <c r="X815" s="15" t="s">
        <v>5481</v>
      </c>
      <c r="Y815" s="15" t="s">
        <v>35</v>
      </c>
      <c r="Z815" s="19">
        <v>0</v>
      </c>
      <c r="AA815" s="15">
        <v>0</v>
      </c>
      <c r="AB815" s="15" t="s">
        <v>35</v>
      </c>
    </row>
    <row r="816">
      <c r="A816" s="15">
        <v>812</v>
      </c>
      <c r="B816" s="15" t="s">
        <v>87</v>
      </c>
      <c r="C816" s="15" t="s">
        <v>88</v>
      </c>
      <c r="D816" s="15" t="s">
        <v>135</v>
      </c>
      <c r="E816" s="15" t="s">
        <v>116</v>
      </c>
      <c r="F816" s="15" t="s">
        <v>35</v>
      </c>
      <c r="G816" s="15" t="s">
        <v>74</v>
      </c>
      <c r="H816" s="15" t="s">
        <v>5482</v>
      </c>
      <c r="I816" s="15" t="s">
        <v>5483</v>
      </c>
      <c r="J816" s="15" t="s">
        <v>5484</v>
      </c>
      <c r="K816" s="15" t="s">
        <v>139</v>
      </c>
      <c r="L816" s="15" t="s">
        <v>140</v>
      </c>
      <c r="M816" s="15" t="s">
        <v>530</v>
      </c>
      <c r="N816" s="15" t="s">
        <v>531</v>
      </c>
      <c r="O816" s="15" t="s">
        <v>82</v>
      </c>
      <c r="P816" s="15" t="s">
        <v>532</v>
      </c>
      <c r="Q816" s="15" t="s">
        <v>533</v>
      </c>
      <c r="R816" s="16">
        <v>44329</v>
      </c>
      <c r="S816" s="17" t="s">
        <v>70</v>
      </c>
      <c r="T816" s="20">
        <f>HYPERLINK("https://vnm.spiral.com.vn//uploaded/20210513/82e8600d-ebe3-4972-bf66-876595c969f6.JPEG","14:56:59")</f>
      </c>
      <c r="U816" s="20">
        <f>HYPERLINK("https://vnm.spiral.com.vn//uploaded/20210513/a25ea33d-be6f-49f0-baa7-d3f93f71ca44.JPEG","15:40:46")</f>
      </c>
      <c r="V816" s="18">
        <v>0.03040509259259259</v>
      </c>
      <c r="W816" s="15" t="s">
        <v>5485</v>
      </c>
      <c r="X816" s="15" t="s">
        <v>5486</v>
      </c>
      <c r="Y816" s="15" t="s">
        <v>35</v>
      </c>
      <c r="Z816" s="19">
        <v>0</v>
      </c>
      <c r="AA816" s="15">
        <v>0</v>
      </c>
      <c r="AB816" s="15" t="s">
        <v>35</v>
      </c>
    </row>
    <row r="817">
      <c r="A817" s="15">
        <v>813</v>
      </c>
      <c r="B817" s="15" t="s">
        <v>61</v>
      </c>
      <c r="C817" s="15" t="s">
        <v>737</v>
      </c>
      <c r="D817" s="15" t="s">
        <v>89</v>
      </c>
      <c r="E817" s="15" t="s">
        <v>90</v>
      </c>
      <c r="F817" s="15" t="s">
        <v>35</v>
      </c>
      <c r="G817" s="15" t="s">
        <v>74</v>
      </c>
      <c r="H817" s="15" t="s">
        <v>5487</v>
      </c>
      <c r="I817" s="15" t="s">
        <v>5488</v>
      </c>
      <c r="J817" s="15" t="s">
        <v>5489</v>
      </c>
      <c r="K817" s="15" t="s">
        <v>309</v>
      </c>
      <c r="L817" s="15" t="s">
        <v>310</v>
      </c>
      <c r="M817" s="15" t="s">
        <v>778</v>
      </c>
      <c r="N817" s="15" t="s">
        <v>779</v>
      </c>
      <c r="O817" s="15" t="s">
        <v>156</v>
      </c>
      <c r="P817" s="15" t="s">
        <v>5490</v>
      </c>
      <c r="Q817" s="15" t="s">
        <v>5491</v>
      </c>
      <c r="R817" s="16">
        <v>44329</v>
      </c>
      <c r="S817" s="17" t="s">
        <v>1696</v>
      </c>
      <c r="T817" s="20">
        <f>HYPERLINK("https://vnm.spiral.com.vn//uploaded/20210513/e7f9edd9-1b28-4ee8-902b-7a91c36f94e7.JPEG","06:56:27")</f>
      </c>
      <c r="U817" s="20">
        <f>HYPERLINK("https://vnm.spiral.com.vn//uploaded/20210513/4c815021-acb6-4525-9f2a-6a4b9fc2cfb5.JPEG","15:40:27")</f>
      </c>
      <c r="V817" s="18">
        <v>0.3638888888888889</v>
      </c>
      <c r="W817" s="15" t="s">
        <v>5492</v>
      </c>
      <c r="X817" s="15" t="s">
        <v>5493</v>
      </c>
      <c r="Y817" s="15" t="s">
        <v>35</v>
      </c>
      <c r="Z817" s="19">
        <v>0</v>
      </c>
      <c r="AA817" s="15">
        <v>0</v>
      </c>
      <c r="AB817" s="15" t="s">
        <v>35</v>
      </c>
    </row>
    <row r="818">
      <c r="A818" s="15">
        <v>814</v>
      </c>
      <c r="B818" s="15" t="s">
        <v>103</v>
      </c>
      <c r="C818" s="15" t="s">
        <v>104</v>
      </c>
      <c r="D818" s="15" t="s">
        <v>135</v>
      </c>
      <c r="E818" s="15" t="s">
        <v>116</v>
      </c>
      <c r="F818" s="15" t="s">
        <v>35</v>
      </c>
      <c r="G818" s="15" t="s">
        <v>74</v>
      </c>
      <c r="H818" s="15" t="s">
        <v>5494</v>
      </c>
      <c r="I818" s="15" t="s">
        <v>5495</v>
      </c>
      <c r="J818" s="15" t="s">
        <v>5496</v>
      </c>
      <c r="K818" s="15" t="s">
        <v>460</v>
      </c>
      <c r="L818" s="15" t="s">
        <v>461</v>
      </c>
      <c r="M818" s="15" t="s">
        <v>462</v>
      </c>
      <c r="N818" s="15" t="s">
        <v>463</v>
      </c>
      <c r="O818" s="15" t="s">
        <v>82</v>
      </c>
      <c r="P818" s="15" t="s">
        <v>2930</v>
      </c>
      <c r="Q818" s="15" t="s">
        <v>2931</v>
      </c>
      <c r="R818" s="16">
        <v>44329</v>
      </c>
      <c r="S818" s="17" t="s">
        <v>70</v>
      </c>
      <c r="T818" s="20">
        <f>HYPERLINK("https://vnm.spiral.com.vn//uploaded/20210513/ff43ec73-3cb4-4785-a470-96aeb84311ad.JPEG","14:23:56")</f>
      </c>
      <c r="U818" s="20">
        <f>HYPERLINK("https://vnm.spiral.com.vn//uploaded/20210513/6c713159-967e-484b-92bc-7cfde36f3a3d.JPEG","15:39:58")</f>
      </c>
      <c r="V818" s="18">
        <v>0.052800925925925925</v>
      </c>
      <c r="W818" s="15" t="s">
        <v>5497</v>
      </c>
      <c r="X818" s="15" t="s">
        <v>5498</v>
      </c>
      <c r="Y818" s="15" t="s">
        <v>35</v>
      </c>
      <c r="Z818" s="19">
        <v>0</v>
      </c>
      <c r="AA818" s="15">
        <v>0</v>
      </c>
      <c r="AB818" s="15" t="s">
        <v>35</v>
      </c>
    </row>
    <row r="819">
      <c r="A819" s="15">
        <v>815</v>
      </c>
      <c r="B819" s="15" t="s">
        <v>87</v>
      </c>
      <c r="C819" s="15" t="s">
        <v>88</v>
      </c>
      <c r="D819" s="15" t="s">
        <v>135</v>
      </c>
      <c r="E819" s="15" t="s">
        <v>116</v>
      </c>
      <c r="F819" s="15" t="s">
        <v>35</v>
      </c>
      <c r="G819" s="15" t="s">
        <v>74</v>
      </c>
      <c r="H819" s="15" t="s">
        <v>5499</v>
      </c>
      <c r="I819" s="15" t="s">
        <v>5500</v>
      </c>
      <c r="J819" s="15" t="s">
        <v>5501</v>
      </c>
      <c r="K819" s="15" t="s">
        <v>139</v>
      </c>
      <c r="L819" s="15" t="s">
        <v>140</v>
      </c>
      <c r="M819" s="15" t="s">
        <v>530</v>
      </c>
      <c r="N819" s="15" t="s">
        <v>531</v>
      </c>
      <c r="O819" s="15" t="s">
        <v>82</v>
      </c>
      <c r="P819" s="15" t="s">
        <v>2158</v>
      </c>
      <c r="Q819" s="15" t="s">
        <v>2159</v>
      </c>
      <c r="R819" s="16">
        <v>44329</v>
      </c>
      <c r="S819" s="17" t="s">
        <v>70</v>
      </c>
      <c r="T819" s="20">
        <f>HYPERLINK("https://vnm.spiral.com.vn//uploaded/20210513/f85d28ed-671c-44ce-9042-65e28531c5e7.JPEG","13:48:14")</f>
      </c>
      <c r="U819" s="20">
        <f>HYPERLINK("https://vnm.spiral.com.vn//uploaded/20210513/e05cc115-70a4-41d1-a937-6c523691de57.JPEG","15:39:48")</f>
      </c>
      <c r="V819" s="18">
        <v>0.07747685185185185</v>
      </c>
      <c r="W819" s="15" t="s">
        <v>5502</v>
      </c>
      <c r="X819" s="15" t="s">
        <v>5503</v>
      </c>
      <c r="Y819" s="15" t="s">
        <v>35</v>
      </c>
      <c r="Z819" s="19">
        <v>0</v>
      </c>
      <c r="AA819" s="15">
        <v>0</v>
      </c>
      <c r="AB819" s="15" t="s">
        <v>35</v>
      </c>
    </row>
    <row r="820">
      <c r="A820" s="15">
        <v>816</v>
      </c>
      <c r="B820" s="15" t="s">
        <v>103</v>
      </c>
      <c r="C820" s="15" t="s">
        <v>1078</v>
      </c>
      <c r="D820" s="15" t="s">
        <v>432</v>
      </c>
      <c r="E820" s="15" t="s">
        <v>116</v>
      </c>
      <c r="F820" s="15" t="s">
        <v>35</v>
      </c>
      <c r="G820" s="15" t="s">
        <v>74</v>
      </c>
      <c r="H820" s="15" t="s">
        <v>5504</v>
      </c>
      <c r="I820" s="15" t="s">
        <v>5505</v>
      </c>
      <c r="J820" s="15" t="s">
        <v>5506</v>
      </c>
      <c r="K820" s="15" t="s">
        <v>436</v>
      </c>
      <c r="L820" s="15" t="s">
        <v>437</v>
      </c>
      <c r="M820" s="15" t="s">
        <v>438</v>
      </c>
      <c r="N820" s="15" t="s">
        <v>439</v>
      </c>
      <c r="O820" s="15" t="s">
        <v>82</v>
      </c>
      <c r="P820" s="15" t="s">
        <v>1082</v>
      </c>
      <c r="Q820" s="15" t="s">
        <v>1083</v>
      </c>
      <c r="R820" s="16">
        <v>44329</v>
      </c>
      <c r="S820" s="17" t="s">
        <v>70</v>
      </c>
      <c r="T820" s="20">
        <f>HYPERLINK("https://vnm.spiral.com.vn//uploaded/20210513/A39CB59A-9498-4734-B706-C4E890A2F378.jpg","15:04:07")</f>
      </c>
      <c r="U820" s="20">
        <f>HYPERLINK("https://vnm.spiral.com.vn//uploaded/20210513/3B240966-EEF9-4195-9B2A-074C0820261F.jpg","15:39:30")</f>
      </c>
      <c r="V820" s="18">
        <v>0.02457175925925926</v>
      </c>
      <c r="W820" s="15" t="s">
        <v>5507</v>
      </c>
      <c r="X820" s="15" t="s">
        <v>5508</v>
      </c>
      <c r="Y820" s="15" t="s">
        <v>35</v>
      </c>
      <c r="Z820" s="19">
        <v>0</v>
      </c>
      <c r="AA820" s="15">
        <v>0</v>
      </c>
      <c r="AB820" s="15" t="s">
        <v>35</v>
      </c>
    </row>
    <row r="821">
      <c r="A821" s="15">
        <v>817</v>
      </c>
      <c r="B821" s="15" t="s">
        <v>103</v>
      </c>
      <c r="C821" s="15" t="s">
        <v>104</v>
      </c>
      <c r="D821" s="15" t="s">
        <v>135</v>
      </c>
      <c r="E821" s="15" t="s">
        <v>116</v>
      </c>
      <c r="F821" s="15" t="s">
        <v>35</v>
      </c>
      <c r="G821" s="15" t="s">
        <v>74</v>
      </c>
      <c r="H821" s="15" t="s">
        <v>5494</v>
      </c>
      <c r="I821" s="15" t="s">
        <v>5495</v>
      </c>
      <c r="J821" s="15" t="s">
        <v>5496</v>
      </c>
      <c r="K821" s="15" t="s">
        <v>190</v>
      </c>
      <c r="L821" s="15" t="s">
        <v>191</v>
      </c>
      <c r="M821" s="15" t="s">
        <v>460</v>
      </c>
      <c r="N821" s="15" t="s">
        <v>461</v>
      </c>
      <c r="O821" s="15" t="s">
        <v>98</v>
      </c>
      <c r="P821" s="15" t="s">
        <v>462</v>
      </c>
      <c r="Q821" s="15" t="s">
        <v>463</v>
      </c>
      <c r="R821" s="16">
        <v>44329</v>
      </c>
      <c r="S821" s="17" t="s">
        <v>35</v>
      </c>
      <c r="T821" s="20">
        <f>HYPERLINK("https://vnm.spiral.com.vn//uploaded/20210513/7AF2D8A2-279E-4FCF-9333-A3976E0662B2.jpg","14:23:12")</f>
      </c>
      <c r="U821" s="20">
        <f>HYPERLINK("https://vnm.spiral.com.vn//uploaded/20210513/222A7D60-E213-4A9D-868C-3D135E760545.jpg","15:39:27")</f>
      </c>
      <c r="V821" s="18">
        <v>0.05295138888888889</v>
      </c>
      <c r="W821" s="15" t="s">
        <v>5509</v>
      </c>
      <c r="X821" s="15" t="s">
        <v>5510</v>
      </c>
      <c r="Y821" s="15" t="s">
        <v>35</v>
      </c>
      <c r="Z821" s="19">
        <v>0</v>
      </c>
      <c r="AA821" s="15">
        <v>0</v>
      </c>
      <c r="AB821" s="15" t="s">
        <v>35</v>
      </c>
    </row>
    <row r="822">
      <c r="A822" s="15">
        <v>818</v>
      </c>
      <c r="B822" s="15" t="s">
        <v>246</v>
      </c>
      <c r="C822" s="15" t="s">
        <v>259</v>
      </c>
      <c r="D822" s="15" t="s">
        <v>35</v>
      </c>
      <c r="E822" s="15" t="s">
        <v>35</v>
      </c>
      <c r="F822" s="15" t="s">
        <v>1352</v>
      </c>
      <c r="G822" s="15" t="s">
        <v>36</v>
      </c>
      <c r="H822" s="15" t="s">
        <v>5511</v>
      </c>
      <c r="I822" s="15" t="s">
        <v>5512</v>
      </c>
      <c r="J822" s="15" t="s">
        <v>5513</v>
      </c>
      <c r="K822" s="15" t="s">
        <v>40</v>
      </c>
      <c r="L822" s="15" t="s">
        <v>41</v>
      </c>
      <c r="M822" s="15" t="s">
        <v>252</v>
      </c>
      <c r="N822" s="15" t="s">
        <v>253</v>
      </c>
      <c r="O822" s="15" t="s">
        <v>44</v>
      </c>
      <c r="P822" s="15" t="s">
        <v>5514</v>
      </c>
      <c r="Q822" s="15" t="s">
        <v>5515</v>
      </c>
      <c r="R822" s="16">
        <v>44329</v>
      </c>
      <c r="S822" s="17" t="s">
        <v>4912</v>
      </c>
      <c r="T822" s="20">
        <f>HYPERLINK("https://vnm.spiral.com.vn//uploaded/20210513/f4f79a69-de6a-44e3-a530-ca633a8bc65c.JPEG","15:39:25")</f>
      </c>
      <c r="U822" s="18"/>
      <c r="V822" s="18" t="s">
        <v>35</v>
      </c>
      <c r="W822" s="15" t="s">
        <v>5516</v>
      </c>
      <c r="X822" s="15" t="s">
        <v>35</v>
      </c>
      <c r="Y822" s="15" t="s">
        <v>35</v>
      </c>
      <c r="Z822" s="19">
        <v>0</v>
      </c>
      <c r="AA822" s="15">
        <v>0</v>
      </c>
      <c r="AB822" s="15" t="s">
        <v>35</v>
      </c>
    </row>
    <row r="823">
      <c r="A823" s="15">
        <v>819</v>
      </c>
      <c r="B823" s="15" t="s">
        <v>87</v>
      </c>
      <c r="C823" s="15" t="s">
        <v>88</v>
      </c>
      <c r="D823" s="15" t="s">
        <v>357</v>
      </c>
      <c r="E823" s="15" t="s">
        <v>90</v>
      </c>
      <c r="F823" s="15" t="s">
        <v>35</v>
      </c>
      <c r="G823" s="15" t="s">
        <v>74</v>
      </c>
      <c r="H823" s="15" t="s">
        <v>5517</v>
      </c>
      <c r="I823" s="15" t="s">
        <v>5518</v>
      </c>
      <c r="J823" s="15" t="s">
        <v>5519</v>
      </c>
      <c r="K823" s="15" t="s">
        <v>1570</v>
      </c>
      <c r="L823" s="15" t="s">
        <v>1571</v>
      </c>
      <c r="M823" s="15" t="s">
        <v>2024</v>
      </c>
      <c r="N823" s="15" t="s">
        <v>2025</v>
      </c>
      <c r="O823" s="15" t="s">
        <v>82</v>
      </c>
      <c r="P823" s="15" t="s">
        <v>2172</v>
      </c>
      <c r="Q823" s="15" t="s">
        <v>2173</v>
      </c>
      <c r="R823" s="16">
        <v>44329</v>
      </c>
      <c r="S823" s="17" t="s">
        <v>70</v>
      </c>
      <c r="T823" s="20">
        <f>HYPERLINK("https://vnm.spiral.com.vn//uploaded/20210513/9b19c8e5-c8e4-4728-9244-5f5c01cfdbba.JPEG","15:13:16")</f>
      </c>
      <c r="U823" s="20">
        <f>HYPERLINK("https://vnm.spiral.com.vn//uploaded/20210513/f588c056-717f-4be3-b1e5-f8f52519c264.JPEG","15:39:17")</f>
      </c>
      <c r="V823" s="18">
        <v>0.01806712962962963</v>
      </c>
      <c r="W823" s="15" t="s">
        <v>5520</v>
      </c>
      <c r="X823" s="15" t="s">
        <v>5521</v>
      </c>
      <c r="Y823" s="15" t="s">
        <v>35</v>
      </c>
      <c r="Z823" s="19">
        <v>0</v>
      </c>
      <c r="AA823" s="15">
        <v>0</v>
      </c>
      <c r="AB823" s="15" t="s">
        <v>35</v>
      </c>
    </row>
    <row r="824">
      <c r="A824" s="15">
        <v>820</v>
      </c>
      <c r="B824" s="15" t="s">
        <v>343</v>
      </c>
      <c r="C824" s="15" t="s">
        <v>344</v>
      </c>
      <c r="D824" s="15" t="s">
        <v>35</v>
      </c>
      <c r="E824" s="15" t="s">
        <v>35</v>
      </c>
      <c r="F824" s="15" t="s">
        <v>35</v>
      </c>
      <c r="G824" s="15" t="s">
        <v>74</v>
      </c>
      <c r="H824" s="15" t="s">
        <v>5522</v>
      </c>
      <c r="I824" s="15" t="s">
        <v>5523</v>
      </c>
      <c r="J824" s="15" t="s">
        <v>5524</v>
      </c>
      <c r="K824" s="15" t="s">
        <v>584</v>
      </c>
      <c r="L824" s="15" t="s">
        <v>585</v>
      </c>
      <c r="M824" s="15" t="s">
        <v>827</v>
      </c>
      <c r="N824" s="15" t="s">
        <v>828</v>
      </c>
      <c r="O824" s="15" t="s">
        <v>82</v>
      </c>
      <c r="P824" s="15" t="s">
        <v>829</v>
      </c>
      <c r="Q824" s="15" t="s">
        <v>830</v>
      </c>
      <c r="R824" s="16">
        <v>44329</v>
      </c>
      <c r="S824" s="17" t="s">
        <v>70</v>
      </c>
      <c r="T824" s="20">
        <f>HYPERLINK("https://vnm.spiral.com.vn//uploaded/20210513/c76c5cb7-7ff5-4717-b8e3-3bf5e8490dd1.JPEG","15:22:56")</f>
      </c>
      <c r="U824" s="20">
        <f>HYPERLINK("https://vnm.spiral.com.vn//uploaded/20210513/cab57e20-f507-4f58-9653-b0123afdf44c.JPEG","15:39:10")</f>
      </c>
      <c r="V824" s="18">
        <v>0.011273148148148148</v>
      </c>
      <c r="W824" s="15" t="s">
        <v>5525</v>
      </c>
      <c r="X824" s="15" t="s">
        <v>5526</v>
      </c>
      <c r="Y824" s="15" t="s">
        <v>35</v>
      </c>
      <c r="Z824" s="19">
        <v>0</v>
      </c>
      <c r="AA824" s="15">
        <v>0</v>
      </c>
      <c r="AB824" s="15" t="s">
        <v>35</v>
      </c>
    </row>
    <row r="825">
      <c r="A825" s="15">
        <v>821</v>
      </c>
      <c r="B825" s="15" t="s">
        <v>103</v>
      </c>
      <c r="C825" s="15" t="s">
        <v>186</v>
      </c>
      <c r="D825" s="15" t="s">
        <v>432</v>
      </c>
      <c r="E825" s="15" t="s">
        <v>116</v>
      </c>
      <c r="F825" s="15" t="s">
        <v>35</v>
      </c>
      <c r="G825" s="15" t="s">
        <v>74</v>
      </c>
      <c r="H825" s="15" t="s">
        <v>5527</v>
      </c>
      <c r="I825" s="15" t="s">
        <v>5528</v>
      </c>
      <c r="J825" s="15" t="s">
        <v>5529</v>
      </c>
      <c r="K825" s="15" t="s">
        <v>436</v>
      </c>
      <c r="L825" s="15" t="s">
        <v>437</v>
      </c>
      <c r="M825" s="15" t="s">
        <v>438</v>
      </c>
      <c r="N825" s="15" t="s">
        <v>439</v>
      </c>
      <c r="O825" s="15" t="s">
        <v>82</v>
      </c>
      <c r="P825" s="15" t="s">
        <v>1886</v>
      </c>
      <c r="Q825" s="15" t="s">
        <v>1887</v>
      </c>
      <c r="R825" s="16">
        <v>44329</v>
      </c>
      <c r="S825" s="17" t="s">
        <v>70</v>
      </c>
      <c r="T825" s="20">
        <f>HYPERLINK("https://vnm.spiral.com.vn//uploaded/20210513/51ff014a-d3e3-4a6f-9855-79ff590a5649.JPEG","15:09:44")</f>
      </c>
      <c r="U825" s="20">
        <f>HYPERLINK("https://vnm.spiral.com.vn//uploaded/20210513/57bd5ef7-f73b-436f-b586-652929f3137d.JPEG","15:38:56")</f>
      </c>
      <c r="V825" s="18">
        <v>0.020277777777777777</v>
      </c>
      <c r="W825" s="15" t="s">
        <v>5530</v>
      </c>
      <c r="X825" s="15" t="s">
        <v>5531</v>
      </c>
      <c r="Y825" s="15" t="s">
        <v>35</v>
      </c>
      <c r="Z825" s="19">
        <v>0</v>
      </c>
      <c r="AA825" s="15">
        <v>0</v>
      </c>
      <c r="AB825" s="15" t="s">
        <v>35</v>
      </c>
    </row>
    <row r="826">
      <c r="A826" s="15">
        <v>822</v>
      </c>
      <c r="B826" s="15" t="s">
        <v>246</v>
      </c>
      <c r="C826" s="15" t="s">
        <v>5532</v>
      </c>
      <c r="D826" s="15" t="s">
        <v>89</v>
      </c>
      <c r="E826" s="15" t="s">
        <v>90</v>
      </c>
      <c r="F826" s="15" t="s">
        <v>35</v>
      </c>
      <c r="G826" s="15" t="s">
        <v>74</v>
      </c>
      <c r="H826" s="15" t="s">
        <v>5533</v>
      </c>
      <c r="I826" s="15" t="s">
        <v>5534</v>
      </c>
      <c r="J826" s="15" t="s">
        <v>5535</v>
      </c>
      <c r="K826" s="15" t="s">
        <v>263</v>
      </c>
      <c r="L826" s="15" t="s">
        <v>264</v>
      </c>
      <c r="M826" s="15" t="s">
        <v>868</v>
      </c>
      <c r="N826" s="15" t="s">
        <v>869</v>
      </c>
      <c r="O826" s="15" t="s">
        <v>156</v>
      </c>
      <c r="P826" s="15" t="s">
        <v>5536</v>
      </c>
      <c r="Q826" s="15" t="s">
        <v>5537</v>
      </c>
      <c r="R826" s="16">
        <v>44329</v>
      </c>
      <c r="S826" s="17" t="s">
        <v>971</v>
      </c>
      <c r="T826" s="20">
        <f>HYPERLINK("https://vnm.spiral.com.vn//uploaded/20210513/94755E97-3476-4F5E-93E8-2A246A44A783.jpg","06:55:24")</f>
      </c>
      <c r="U826" s="20">
        <f>HYPERLINK("https://vnm.spiral.com.vn//uploaded/20210513/36006763-3C65-4ED9-8486-F83D0D6EF64F.jpg","15:38:42")</f>
      </c>
      <c r="V826" s="18">
        <v>0.3634027777777778</v>
      </c>
      <c r="W826" s="15" t="s">
        <v>5538</v>
      </c>
      <c r="X826" s="15" t="s">
        <v>5539</v>
      </c>
      <c r="Y826" s="15" t="s">
        <v>35</v>
      </c>
      <c r="Z826" s="19">
        <v>0</v>
      </c>
      <c r="AA826" s="15">
        <v>0</v>
      </c>
      <c r="AB826" s="15" t="s">
        <v>35</v>
      </c>
    </row>
    <row r="827">
      <c r="A827" s="15">
        <v>823</v>
      </c>
      <c r="B827" s="15" t="s">
        <v>87</v>
      </c>
      <c r="C827" s="15" t="s">
        <v>88</v>
      </c>
      <c r="D827" s="15" t="s">
        <v>35</v>
      </c>
      <c r="E827" s="15" t="s">
        <v>35</v>
      </c>
      <c r="F827" s="15" t="s">
        <v>1091</v>
      </c>
      <c r="G827" s="15" t="s">
        <v>36</v>
      </c>
      <c r="H827" s="15" t="s">
        <v>5540</v>
      </c>
      <c r="I827" s="15" t="s">
        <v>5541</v>
      </c>
      <c r="J827" s="15" t="s">
        <v>5542</v>
      </c>
      <c r="K827" s="15" t="s">
        <v>40</v>
      </c>
      <c r="L827" s="15" t="s">
        <v>41</v>
      </c>
      <c r="M827" s="15" t="s">
        <v>810</v>
      </c>
      <c r="N827" s="15" t="s">
        <v>811</v>
      </c>
      <c r="O827" s="15" t="s">
        <v>44</v>
      </c>
      <c r="P827" s="15" t="s">
        <v>5543</v>
      </c>
      <c r="Q827" s="15" t="s">
        <v>5544</v>
      </c>
      <c r="R827" s="16">
        <v>44329</v>
      </c>
      <c r="S827" s="17" t="s">
        <v>2925</v>
      </c>
      <c r="T827" s="20">
        <f>HYPERLINK("https://vnm.spiral.com.vn//uploaded/20210513/6c387980-293c-4ffd-ae8d-69080fa9c105.JPEG","15:38:25")</f>
      </c>
      <c r="U827" s="18"/>
      <c r="V827" s="18" t="s">
        <v>35</v>
      </c>
      <c r="W827" s="15" t="s">
        <v>5545</v>
      </c>
      <c r="X827" s="15" t="s">
        <v>35</v>
      </c>
      <c r="Y827" s="15" t="s">
        <v>35</v>
      </c>
      <c r="Z827" s="19">
        <v>0</v>
      </c>
      <c r="AA827" s="15">
        <v>0</v>
      </c>
      <c r="AB827" s="15" t="s">
        <v>35</v>
      </c>
    </row>
    <row r="828">
      <c r="A828" s="15">
        <v>824</v>
      </c>
      <c r="B828" s="15" t="s">
        <v>49</v>
      </c>
      <c r="C828" s="15" t="s">
        <v>369</v>
      </c>
      <c r="D828" s="15" t="s">
        <v>135</v>
      </c>
      <c r="E828" s="15" t="s">
        <v>116</v>
      </c>
      <c r="F828" s="15" t="s">
        <v>35</v>
      </c>
      <c r="G828" s="15" t="s">
        <v>74</v>
      </c>
      <c r="H828" s="15" t="s">
        <v>5546</v>
      </c>
      <c r="I828" s="15" t="s">
        <v>5547</v>
      </c>
      <c r="J828" s="15" t="s">
        <v>5548</v>
      </c>
      <c r="K828" s="15" t="s">
        <v>166</v>
      </c>
      <c r="L828" s="15" t="s">
        <v>167</v>
      </c>
      <c r="M828" s="15" t="s">
        <v>168</v>
      </c>
      <c r="N828" s="15" t="s">
        <v>169</v>
      </c>
      <c r="O828" s="15" t="s">
        <v>82</v>
      </c>
      <c r="P828" s="15" t="s">
        <v>1655</v>
      </c>
      <c r="Q828" s="15" t="s">
        <v>1656</v>
      </c>
      <c r="R828" s="16">
        <v>44329</v>
      </c>
      <c r="S828" s="17" t="s">
        <v>70</v>
      </c>
      <c r="T828" s="20">
        <f>HYPERLINK("https://vnm.spiral.com.vn//uploaded/20210513/B6B0D52F-B881-4C4F-89D4-47F344D516C9.jpg","14:45:26")</f>
      </c>
      <c r="U828" s="20">
        <f>HYPERLINK("https://vnm.spiral.com.vn//uploaded/20210513/BC9009D8-3B33-44FA-BBE2-952860C4BE79.jpg","15:38:12")</f>
      </c>
      <c r="V828" s="18">
        <v>0.03664351851851852</v>
      </c>
      <c r="W828" s="15" t="s">
        <v>5549</v>
      </c>
      <c r="X828" s="15" t="s">
        <v>5550</v>
      </c>
      <c r="Y828" s="15" t="s">
        <v>35</v>
      </c>
      <c r="Z828" s="19">
        <v>0</v>
      </c>
      <c r="AA828" s="15">
        <v>0</v>
      </c>
      <c r="AB828" s="15" t="s">
        <v>35</v>
      </c>
    </row>
    <row r="829">
      <c r="A829" s="15">
        <v>825</v>
      </c>
      <c r="B829" s="15" t="s">
        <v>61</v>
      </c>
      <c r="C829" s="15" t="s">
        <v>1730</v>
      </c>
      <c r="D829" s="15" t="s">
        <v>35</v>
      </c>
      <c r="E829" s="15" t="s">
        <v>35</v>
      </c>
      <c r="F829" s="15" t="s">
        <v>35</v>
      </c>
      <c r="G829" s="15" t="s">
        <v>36</v>
      </c>
      <c r="H829" s="15" t="s">
        <v>5551</v>
      </c>
      <c r="I829" s="15" t="s">
        <v>5552</v>
      </c>
      <c r="J829" s="15" t="s">
        <v>5553</v>
      </c>
      <c r="K829" s="15" t="s">
        <v>40</v>
      </c>
      <c r="L829" s="15" t="s">
        <v>41</v>
      </c>
      <c r="M829" s="15" t="s">
        <v>205</v>
      </c>
      <c r="N829" s="15" t="s">
        <v>206</v>
      </c>
      <c r="O829" s="15" t="s">
        <v>44</v>
      </c>
      <c r="P829" s="15" t="s">
        <v>5554</v>
      </c>
      <c r="Q829" s="15" t="s">
        <v>5555</v>
      </c>
      <c r="R829" s="16">
        <v>44329</v>
      </c>
      <c r="S829" s="17" t="s">
        <v>1696</v>
      </c>
      <c r="T829" s="20">
        <f>HYPERLINK("https://vnm.spiral.com.vn//uploaded/20210513/9047a11b-0b29-40df-8326-02ce580e96b1.JPEG","07:03:12")</f>
      </c>
      <c r="U829" s="20">
        <f>HYPERLINK("https://vnm.spiral.com.vn//uploaded/20210513/e2cca6b4-3727-4ab6-a945-0becf912ffc6.JPEG","15:38:11")</f>
      </c>
      <c r="V829" s="18">
        <v>0.3576273148148148</v>
      </c>
      <c r="W829" s="15" t="s">
        <v>5556</v>
      </c>
      <c r="X829" s="15" t="s">
        <v>5557</v>
      </c>
      <c r="Y829" s="15" t="s">
        <v>35</v>
      </c>
      <c r="Z829" s="19">
        <v>0</v>
      </c>
      <c r="AA829" s="15">
        <v>0</v>
      </c>
      <c r="AB829" s="15" t="s">
        <v>35</v>
      </c>
    </row>
    <row r="830">
      <c r="A830" s="15">
        <v>826</v>
      </c>
      <c r="B830" s="15" t="s">
        <v>343</v>
      </c>
      <c r="C830" s="15" t="s">
        <v>344</v>
      </c>
      <c r="D830" s="15" t="s">
        <v>35</v>
      </c>
      <c r="E830" s="15" t="s">
        <v>35</v>
      </c>
      <c r="F830" s="15" t="s">
        <v>35</v>
      </c>
      <c r="G830" s="15" t="s">
        <v>36</v>
      </c>
      <c r="H830" s="15" t="s">
        <v>5558</v>
      </c>
      <c r="I830" s="15" t="s">
        <v>5559</v>
      </c>
      <c r="J830" s="15" t="s">
        <v>5560</v>
      </c>
      <c r="K830" s="15" t="s">
        <v>40</v>
      </c>
      <c r="L830" s="15" t="s">
        <v>41</v>
      </c>
      <c r="M830" s="15" t="s">
        <v>595</v>
      </c>
      <c r="N830" s="15" t="s">
        <v>596</v>
      </c>
      <c r="O830" s="15" t="s">
        <v>44</v>
      </c>
      <c r="P830" s="15" t="s">
        <v>5561</v>
      </c>
      <c r="Q830" s="15" t="s">
        <v>898</v>
      </c>
      <c r="R830" s="16">
        <v>44329</v>
      </c>
      <c r="S830" s="17" t="s">
        <v>293</v>
      </c>
      <c r="T830" s="20">
        <f>HYPERLINK("https://vnm.spiral.com.vn//uploaded/20210513/C3175DF0-9373-4CDF-BFCB-87BF050669D0.jpg","07:27:56")</f>
      </c>
      <c r="U830" s="20">
        <f>HYPERLINK("https://vnm.spiral.com.vn//uploaded/20210513/530440C5-3DF7-4D1C-BF3B-59099B7AD544.jpg","15:37:37")</f>
      </c>
      <c r="V830" s="18">
        <v>0.3400578703703704</v>
      </c>
      <c r="W830" s="15" t="s">
        <v>5562</v>
      </c>
      <c r="X830" s="15" t="s">
        <v>5563</v>
      </c>
      <c r="Y830" s="15" t="s">
        <v>35</v>
      </c>
      <c r="Z830" s="19">
        <v>0</v>
      </c>
      <c r="AA830" s="15">
        <v>0</v>
      </c>
      <c r="AB830" s="15" t="s">
        <v>35</v>
      </c>
    </row>
    <row r="831">
      <c r="A831" s="15">
        <v>827</v>
      </c>
      <c r="B831" s="15" t="s">
        <v>103</v>
      </c>
      <c r="C831" s="15" t="s">
        <v>186</v>
      </c>
      <c r="D831" s="15" t="s">
        <v>35</v>
      </c>
      <c r="E831" s="15" t="s">
        <v>35</v>
      </c>
      <c r="F831" s="15" t="s">
        <v>5564</v>
      </c>
      <c r="G831" s="15" t="s">
        <v>36</v>
      </c>
      <c r="H831" s="15" t="s">
        <v>5565</v>
      </c>
      <c r="I831" s="15" t="s">
        <v>5566</v>
      </c>
      <c r="J831" s="15" t="s">
        <v>5567</v>
      </c>
      <c r="K831" s="15" t="s">
        <v>40</v>
      </c>
      <c r="L831" s="15" t="s">
        <v>41</v>
      </c>
      <c r="M831" s="15" t="s">
        <v>565</v>
      </c>
      <c r="N831" s="15" t="s">
        <v>566</v>
      </c>
      <c r="O831" s="15" t="s">
        <v>44</v>
      </c>
      <c r="P831" s="15" t="s">
        <v>5568</v>
      </c>
      <c r="Q831" s="15" t="s">
        <v>5569</v>
      </c>
      <c r="R831" s="16">
        <v>44329</v>
      </c>
      <c r="S831" s="17" t="s">
        <v>4912</v>
      </c>
      <c r="T831" s="20">
        <f>HYPERLINK("https://vnm.spiral.com.vn//uploaded/20210513/D8EB9E88-2CFE-4DA2-9939-B679F47A9AFA.jpg","15:37:32")</f>
      </c>
      <c r="U831" s="18"/>
      <c r="V831" s="18" t="s">
        <v>35</v>
      </c>
      <c r="W831" s="15" t="s">
        <v>5570</v>
      </c>
      <c r="X831" s="15" t="s">
        <v>35</v>
      </c>
      <c r="Y831" s="15" t="s">
        <v>35</v>
      </c>
      <c r="Z831" s="19">
        <v>0</v>
      </c>
      <c r="AA831" s="15">
        <v>0</v>
      </c>
      <c r="AB831" s="15" t="s">
        <v>35</v>
      </c>
    </row>
    <row r="832">
      <c r="A832" s="15">
        <v>828</v>
      </c>
      <c r="B832" s="15" t="s">
        <v>87</v>
      </c>
      <c r="C832" s="15" t="s">
        <v>88</v>
      </c>
      <c r="D832" s="15" t="s">
        <v>135</v>
      </c>
      <c r="E832" s="15" t="s">
        <v>116</v>
      </c>
      <c r="F832" s="15" t="s">
        <v>35</v>
      </c>
      <c r="G832" s="15" t="s">
        <v>74</v>
      </c>
      <c r="H832" s="15" t="s">
        <v>5571</v>
      </c>
      <c r="I832" s="15" t="s">
        <v>5572</v>
      </c>
      <c r="J832" s="15" t="s">
        <v>5573</v>
      </c>
      <c r="K832" s="15" t="s">
        <v>390</v>
      </c>
      <c r="L832" s="15" t="s">
        <v>391</v>
      </c>
      <c r="M832" s="15" t="s">
        <v>392</v>
      </c>
      <c r="N832" s="15" t="s">
        <v>393</v>
      </c>
      <c r="O832" s="15" t="s">
        <v>82</v>
      </c>
      <c r="P832" s="15" t="s">
        <v>5125</v>
      </c>
      <c r="Q832" s="15" t="s">
        <v>5126</v>
      </c>
      <c r="R832" s="16">
        <v>44329</v>
      </c>
      <c r="S832" s="17" t="s">
        <v>70</v>
      </c>
      <c r="T832" s="20">
        <f>HYPERLINK("https://vnm.spiral.com.vn//uploaded/20210513/6ec541e4-db1a-44e9-af99-54cbeb3ac5ef.JPEG","14:02:54")</f>
      </c>
      <c r="U832" s="20">
        <f>HYPERLINK("https://vnm.spiral.com.vn//uploaded/20210513/a1bf8971-130e-4ba0-9894-33b263701c43.JPEG","15:37:05")</f>
      </c>
      <c r="V832" s="18">
        <v>0.0654050925925926</v>
      </c>
      <c r="W832" s="15" t="s">
        <v>5574</v>
      </c>
      <c r="X832" s="15" t="s">
        <v>5575</v>
      </c>
      <c r="Y832" s="15" t="s">
        <v>35</v>
      </c>
      <c r="Z832" s="19">
        <v>0</v>
      </c>
      <c r="AA832" s="15">
        <v>0</v>
      </c>
      <c r="AB832" s="15" t="s">
        <v>35</v>
      </c>
    </row>
    <row r="833">
      <c r="A833" s="15">
        <v>829</v>
      </c>
      <c r="B833" s="15" t="s">
        <v>87</v>
      </c>
      <c r="C833" s="15" t="s">
        <v>88</v>
      </c>
      <c r="D833" s="15" t="s">
        <v>115</v>
      </c>
      <c r="E833" s="15" t="s">
        <v>116</v>
      </c>
      <c r="F833" s="15" t="s">
        <v>35</v>
      </c>
      <c r="G833" s="15" t="s">
        <v>74</v>
      </c>
      <c r="H833" s="15" t="s">
        <v>5576</v>
      </c>
      <c r="I833" s="15" t="s">
        <v>5577</v>
      </c>
      <c r="J833" s="15" t="s">
        <v>5578</v>
      </c>
      <c r="K833" s="15" t="s">
        <v>120</v>
      </c>
      <c r="L833" s="15" t="s">
        <v>121</v>
      </c>
      <c r="M833" s="15" t="s">
        <v>1073</v>
      </c>
      <c r="N833" s="15" t="s">
        <v>1074</v>
      </c>
      <c r="O833" s="15" t="s">
        <v>82</v>
      </c>
      <c r="P833" s="15" t="s">
        <v>3951</v>
      </c>
      <c r="Q833" s="15" t="s">
        <v>3952</v>
      </c>
      <c r="R833" s="16">
        <v>44329</v>
      </c>
      <c r="S833" s="17" t="s">
        <v>70</v>
      </c>
      <c r="T833" s="20">
        <f>HYPERLINK("https://vnm.spiral.com.vn//uploaded/20210513/077539c4-7b8f-4457-b808-1f4c13193f4f.JPEG","13:00:45")</f>
      </c>
      <c r="U833" s="20">
        <f>HYPERLINK("https://vnm.spiral.com.vn//uploaded/20210513/5ac8d225-7c27-4fc0-ae6c-be92febd857b.JPEG","15:37:04")</f>
      </c>
      <c r="V833" s="18">
        <v>0.10855324074074074</v>
      </c>
      <c r="W833" s="15" t="s">
        <v>5579</v>
      </c>
      <c r="X833" s="15" t="s">
        <v>5580</v>
      </c>
      <c r="Y833" s="15" t="s">
        <v>35</v>
      </c>
      <c r="Z833" s="19">
        <v>0</v>
      </c>
      <c r="AA833" s="15">
        <v>0</v>
      </c>
      <c r="AB833" s="15" t="s">
        <v>35</v>
      </c>
    </row>
    <row r="834">
      <c r="A834" s="15">
        <v>830</v>
      </c>
      <c r="B834" s="15" t="s">
        <v>87</v>
      </c>
      <c r="C834" s="15" t="s">
        <v>88</v>
      </c>
      <c r="D834" s="15" t="s">
        <v>135</v>
      </c>
      <c r="E834" s="15" t="s">
        <v>116</v>
      </c>
      <c r="F834" s="15" t="s">
        <v>35</v>
      </c>
      <c r="G834" s="15" t="s">
        <v>74</v>
      </c>
      <c r="H834" s="15" t="s">
        <v>5581</v>
      </c>
      <c r="I834" s="15" t="s">
        <v>5582</v>
      </c>
      <c r="J834" s="15" t="s">
        <v>5583</v>
      </c>
      <c r="K834" s="15" t="s">
        <v>139</v>
      </c>
      <c r="L834" s="15" t="s">
        <v>140</v>
      </c>
      <c r="M834" s="15" t="s">
        <v>141</v>
      </c>
      <c r="N834" s="15" t="s">
        <v>142</v>
      </c>
      <c r="O834" s="15" t="s">
        <v>82</v>
      </c>
      <c r="P834" s="15" t="s">
        <v>1400</v>
      </c>
      <c r="Q834" s="15" t="s">
        <v>1401</v>
      </c>
      <c r="R834" s="16">
        <v>44329</v>
      </c>
      <c r="S834" s="17" t="s">
        <v>70</v>
      </c>
      <c r="T834" s="20">
        <f>HYPERLINK("https://vnm.spiral.com.vn//uploaded/20210513/1E02513B-3858-4290-877F-FBEDCB9E9FAF.jpg","14:51:04")</f>
      </c>
      <c r="U834" s="20">
        <f>HYPERLINK("https://vnm.spiral.com.vn//uploaded/20210513/B7FDF26E-F7CA-4081-8E96-3F75DABB56A9.jpg","15:37:02")</f>
      </c>
      <c r="V834" s="18">
        <v>0.031921296296296295</v>
      </c>
      <c r="W834" s="15" t="s">
        <v>5584</v>
      </c>
      <c r="X834" s="15" t="s">
        <v>5585</v>
      </c>
      <c r="Y834" s="15" t="s">
        <v>35</v>
      </c>
      <c r="Z834" s="19">
        <v>0</v>
      </c>
      <c r="AA834" s="15">
        <v>0</v>
      </c>
      <c r="AB834" s="15" t="s">
        <v>35</v>
      </c>
    </row>
    <row r="835">
      <c r="A835" s="15">
        <v>831</v>
      </c>
      <c r="B835" s="15" t="s">
        <v>49</v>
      </c>
      <c r="C835" s="15" t="s">
        <v>369</v>
      </c>
      <c r="D835" s="15" t="s">
        <v>35</v>
      </c>
      <c r="E835" s="15" t="s">
        <v>35</v>
      </c>
      <c r="F835" s="15" t="s">
        <v>370</v>
      </c>
      <c r="G835" s="15" t="s">
        <v>36</v>
      </c>
      <c r="H835" s="15" t="s">
        <v>5586</v>
      </c>
      <c r="I835" s="15" t="s">
        <v>5587</v>
      </c>
      <c r="J835" s="15" t="s">
        <v>5588</v>
      </c>
      <c r="K835" s="15" t="s">
        <v>40</v>
      </c>
      <c r="L835" s="15" t="s">
        <v>41</v>
      </c>
      <c r="M835" s="15" t="s">
        <v>55</v>
      </c>
      <c r="N835" s="15" t="s">
        <v>56</v>
      </c>
      <c r="O835" s="15" t="s">
        <v>44</v>
      </c>
      <c r="P835" s="15" t="s">
        <v>5589</v>
      </c>
      <c r="Q835" s="15" t="s">
        <v>5590</v>
      </c>
      <c r="R835" s="16">
        <v>44329</v>
      </c>
      <c r="S835" s="17" t="s">
        <v>4912</v>
      </c>
      <c r="T835" s="20">
        <f>HYPERLINK("https://vnm.spiral.com.vn//uploaded/20210513/FB892FFB-2AA6-471B-B16C-527864990F7A.jpg","15:37:01")</f>
      </c>
      <c r="U835" s="18"/>
      <c r="V835" s="18" t="s">
        <v>35</v>
      </c>
      <c r="W835" s="15" t="s">
        <v>5591</v>
      </c>
      <c r="X835" s="15" t="s">
        <v>35</v>
      </c>
      <c r="Y835" s="15" t="s">
        <v>35</v>
      </c>
      <c r="Z835" s="19">
        <v>0</v>
      </c>
      <c r="AA835" s="15">
        <v>0</v>
      </c>
      <c r="AB835" s="15" t="s">
        <v>35</v>
      </c>
    </row>
    <row r="836">
      <c r="A836" s="15">
        <v>832</v>
      </c>
      <c r="B836" s="15" t="s">
        <v>343</v>
      </c>
      <c r="C836" s="15" t="s">
        <v>344</v>
      </c>
      <c r="D836" s="15" t="s">
        <v>35</v>
      </c>
      <c r="E836" s="15" t="s">
        <v>35</v>
      </c>
      <c r="F836" s="15" t="s">
        <v>35</v>
      </c>
      <c r="G836" s="15" t="s">
        <v>74</v>
      </c>
      <c r="H836" s="15" t="s">
        <v>5295</v>
      </c>
      <c r="I836" s="15" t="s">
        <v>5296</v>
      </c>
      <c r="J836" s="15" t="s">
        <v>5297</v>
      </c>
      <c r="K836" s="15" t="s">
        <v>897</v>
      </c>
      <c r="L836" s="15" t="s">
        <v>898</v>
      </c>
      <c r="M836" s="15" t="s">
        <v>4558</v>
      </c>
      <c r="N836" s="15" t="s">
        <v>4559</v>
      </c>
      <c r="O836" s="15" t="s">
        <v>156</v>
      </c>
      <c r="P836" s="15" t="s">
        <v>5592</v>
      </c>
      <c r="Q836" s="15" t="s">
        <v>5593</v>
      </c>
      <c r="R836" s="16">
        <v>44329</v>
      </c>
      <c r="S836" s="17" t="s">
        <v>4285</v>
      </c>
      <c r="T836" s="20">
        <f>HYPERLINK("https://vnm.spiral.com.vn//uploaded/20210513/18629493-0319-42f5-94f5-6e4e349ab716.JPEG","06:01:38")</f>
      </c>
      <c r="U836" s="20">
        <f>HYPERLINK("https://vnm.spiral.com.vn//uploaded/20210513/af917bc1-f985-436d-b844-f65d567e0945.JPEG","15:37:01")</f>
      </c>
      <c r="V836" s="18">
        <v>0.39957175925925925</v>
      </c>
      <c r="W836" s="15" t="s">
        <v>5594</v>
      </c>
      <c r="X836" s="15" t="s">
        <v>5595</v>
      </c>
      <c r="Y836" s="15" t="s">
        <v>35</v>
      </c>
      <c r="Z836" s="19">
        <v>0</v>
      </c>
      <c r="AA836" s="15">
        <v>0</v>
      </c>
      <c r="AB836" s="15" t="s">
        <v>35</v>
      </c>
    </row>
    <row r="837">
      <c r="A837" s="15">
        <v>833</v>
      </c>
      <c r="B837" s="15" t="s">
        <v>87</v>
      </c>
      <c r="C837" s="15" t="s">
        <v>88</v>
      </c>
      <c r="D837" s="15" t="s">
        <v>35</v>
      </c>
      <c r="E837" s="15" t="s">
        <v>35</v>
      </c>
      <c r="F837" s="15" t="s">
        <v>35</v>
      </c>
      <c r="G837" s="15" t="s">
        <v>74</v>
      </c>
      <c r="H837" s="15" t="s">
        <v>5596</v>
      </c>
      <c r="I837" s="15" t="s">
        <v>5597</v>
      </c>
      <c r="J837" s="15" t="s">
        <v>5598</v>
      </c>
      <c r="K837" s="15" t="s">
        <v>888</v>
      </c>
      <c r="L837" s="15" t="s">
        <v>889</v>
      </c>
      <c r="M837" s="15" t="s">
        <v>924</v>
      </c>
      <c r="N837" s="15" t="s">
        <v>925</v>
      </c>
      <c r="O837" s="15" t="s">
        <v>82</v>
      </c>
      <c r="P837" s="15" t="s">
        <v>1987</v>
      </c>
      <c r="Q837" s="15" t="s">
        <v>1988</v>
      </c>
      <c r="R837" s="16">
        <v>44329</v>
      </c>
      <c r="S837" s="17" t="s">
        <v>70</v>
      </c>
      <c r="T837" s="20">
        <f>HYPERLINK("https://vnm.spiral.com.vn//uploaded/20210513/254b8f9b-b1fd-4e6b-a0e8-2d7d207823ac.JPEG","14:52:59")</f>
      </c>
      <c r="U837" s="20">
        <f>HYPERLINK("https://vnm.spiral.com.vn//uploaded/20210513/0bab4f0d-8a5a-4969-b30d-9be0161367ed.JPEG","15:36:49")</f>
      </c>
      <c r="V837" s="18">
        <v>0.030439814814814815</v>
      </c>
      <c r="W837" s="15" t="s">
        <v>5599</v>
      </c>
      <c r="X837" s="15" t="s">
        <v>5600</v>
      </c>
      <c r="Y837" s="15" t="s">
        <v>35</v>
      </c>
      <c r="Z837" s="19">
        <v>0</v>
      </c>
      <c r="AA837" s="15">
        <v>0</v>
      </c>
      <c r="AB837" s="15" t="s">
        <v>35</v>
      </c>
    </row>
    <row r="838">
      <c r="A838" s="15">
        <v>834</v>
      </c>
      <c r="B838" s="15" t="s">
        <v>87</v>
      </c>
      <c r="C838" s="15" t="s">
        <v>88</v>
      </c>
      <c r="D838" s="15" t="s">
        <v>35</v>
      </c>
      <c r="E838" s="15" t="s">
        <v>35</v>
      </c>
      <c r="F838" s="15" t="s">
        <v>2721</v>
      </c>
      <c r="G838" s="15" t="s">
        <v>36</v>
      </c>
      <c r="H838" s="15" t="s">
        <v>5601</v>
      </c>
      <c r="I838" s="15" t="s">
        <v>5602</v>
      </c>
      <c r="J838" s="15" t="s">
        <v>5603</v>
      </c>
      <c r="K838" s="15" t="s">
        <v>40</v>
      </c>
      <c r="L838" s="15" t="s">
        <v>41</v>
      </c>
      <c r="M838" s="15" t="s">
        <v>1195</v>
      </c>
      <c r="N838" s="15" t="s">
        <v>1196</v>
      </c>
      <c r="O838" s="15" t="s">
        <v>44</v>
      </c>
      <c r="P838" s="15" t="s">
        <v>5604</v>
      </c>
      <c r="Q838" s="15" t="s">
        <v>5605</v>
      </c>
      <c r="R838" s="16">
        <v>44329</v>
      </c>
      <c r="S838" s="17" t="s">
        <v>1199</v>
      </c>
      <c r="T838" s="20">
        <f>HYPERLINK("https://vnm.spiral.com.vn//uploaded/20210513/D4C39926-29D2-407E-A8CA-02E501819F0F.jpg","15:36:48")</f>
      </c>
      <c r="U838" s="18"/>
      <c r="V838" s="18" t="s">
        <v>35</v>
      </c>
      <c r="W838" s="15" t="s">
        <v>5606</v>
      </c>
      <c r="X838" s="15" t="s">
        <v>35</v>
      </c>
      <c r="Y838" s="15" t="s">
        <v>35</v>
      </c>
      <c r="Z838" s="19">
        <v>0</v>
      </c>
      <c r="AA838" s="15">
        <v>0</v>
      </c>
      <c r="AB838" s="15" t="s">
        <v>35</v>
      </c>
    </row>
    <row r="839">
      <c r="A839" s="15">
        <v>835</v>
      </c>
      <c r="B839" s="15" t="s">
        <v>343</v>
      </c>
      <c r="C839" s="15" t="s">
        <v>344</v>
      </c>
      <c r="D839" s="15" t="s">
        <v>432</v>
      </c>
      <c r="E839" s="15" t="s">
        <v>116</v>
      </c>
      <c r="F839" s="15" t="s">
        <v>35</v>
      </c>
      <c r="G839" s="15" t="s">
        <v>74</v>
      </c>
      <c r="H839" s="15" t="s">
        <v>5607</v>
      </c>
      <c r="I839" s="15" t="s">
        <v>5608</v>
      </c>
      <c r="J839" s="15" t="s">
        <v>5609</v>
      </c>
      <c r="K839" s="15" t="s">
        <v>512</v>
      </c>
      <c r="L839" s="15" t="s">
        <v>513</v>
      </c>
      <c r="M839" s="15" t="s">
        <v>514</v>
      </c>
      <c r="N839" s="15" t="s">
        <v>515</v>
      </c>
      <c r="O839" s="15" t="s">
        <v>82</v>
      </c>
      <c r="P839" s="15" t="s">
        <v>523</v>
      </c>
      <c r="Q839" s="15" t="s">
        <v>524</v>
      </c>
      <c r="R839" s="16">
        <v>44329</v>
      </c>
      <c r="S839" s="17" t="s">
        <v>70</v>
      </c>
      <c r="T839" s="20">
        <f>HYPERLINK("https://vnm.spiral.com.vn//uploaded/20210513/320A79B1-11A1-44FB-AE16-99FF87C6E113.jpg","15:00:13")</f>
      </c>
      <c r="U839" s="20">
        <f>HYPERLINK("https://vnm.spiral.com.vn//uploaded/20210513/1DF7688A-50B6-4B76-A6C7-04867EE855AE.jpg","15:36:44")</f>
      </c>
      <c r="V839" s="18">
        <v>0.025358796296296296</v>
      </c>
      <c r="W839" s="15" t="s">
        <v>5610</v>
      </c>
      <c r="X839" s="15" t="s">
        <v>5611</v>
      </c>
      <c r="Y839" s="15" t="s">
        <v>35</v>
      </c>
      <c r="Z839" s="19">
        <v>0</v>
      </c>
      <c r="AA839" s="15">
        <v>0</v>
      </c>
      <c r="AB839" s="15" t="s">
        <v>35</v>
      </c>
    </row>
    <row r="840">
      <c r="A840" s="15">
        <v>836</v>
      </c>
      <c r="B840" s="15" t="s">
        <v>103</v>
      </c>
      <c r="C840" s="15" t="s">
        <v>104</v>
      </c>
      <c r="D840" s="15" t="s">
        <v>135</v>
      </c>
      <c r="E840" s="15" t="s">
        <v>116</v>
      </c>
      <c r="F840" s="15" t="s">
        <v>35</v>
      </c>
      <c r="G840" s="15" t="s">
        <v>74</v>
      </c>
      <c r="H840" s="15" t="s">
        <v>5612</v>
      </c>
      <c r="I840" s="15" t="s">
        <v>5613</v>
      </c>
      <c r="J840" s="15" t="s">
        <v>5614</v>
      </c>
      <c r="K840" s="15" t="s">
        <v>460</v>
      </c>
      <c r="L840" s="15" t="s">
        <v>461</v>
      </c>
      <c r="M840" s="15" t="s">
        <v>462</v>
      </c>
      <c r="N840" s="15" t="s">
        <v>463</v>
      </c>
      <c r="O840" s="15" t="s">
        <v>82</v>
      </c>
      <c r="P840" s="15" t="s">
        <v>464</v>
      </c>
      <c r="Q840" s="15" t="s">
        <v>465</v>
      </c>
      <c r="R840" s="16">
        <v>44329</v>
      </c>
      <c r="S840" s="17" t="s">
        <v>70</v>
      </c>
      <c r="T840" s="20">
        <f>HYPERLINK("https://vnm.spiral.com.vn//uploaded/20210513/3745efd6-632f-44aa-9ea8-ee7f060cdff9.JPEG","14:13:26")</f>
      </c>
      <c r="U840" s="20">
        <f>HYPERLINK("https://vnm.spiral.com.vn//uploaded/20210513/912216c9-fa72-41b5-8111-687aa3bc4d06.JPEG","15:36:43")</f>
      </c>
      <c r="V840" s="18">
        <v>0.05783564814814815</v>
      </c>
      <c r="W840" s="15" t="s">
        <v>5615</v>
      </c>
      <c r="X840" s="15" t="s">
        <v>5616</v>
      </c>
      <c r="Y840" s="15" t="s">
        <v>35</v>
      </c>
      <c r="Z840" s="19">
        <v>0</v>
      </c>
      <c r="AA840" s="15">
        <v>0</v>
      </c>
      <c r="AB840" s="15" t="s">
        <v>35</v>
      </c>
    </row>
    <row r="841">
      <c r="A841" s="15">
        <v>837</v>
      </c>
      <c r="B841" s="15" t="s">
        <v>87</v>
      </c>
      <c r="C841" s="15" t="s">
        <v>88</v>
      </c>
      <c r="D841" s="15" t="s">
        <v>357</v>
      </c>
      <c r="E841" s="15" t="s">
        <v>90</v>
      </c>
      <c r="F841" s="15" t="s">
        <v>35</v>
      </c>
      <c r="G841" s="15" t="s">
        <v>74</v>
      </c>
      <c r="H841" s="15" t="s">
        <v>5617</v>
      </c>
      <c r="I841" s="15" t="s">
        <v>5618</v>
      </c>
      <c r="J841" s="15" t="s">
        <v>5619</v>
      </c>
      <c r="K841" s="15" t="s">
        <v>94</v>
      </c>
      <c r="L841" s="15" t="s">
        <v>95</v>
      </c>
      <c r="M841" s="15" t="s">
        <v>1570</v>
      </c>
      <c r="N841" s="15" t="s">
        <v>1571</v>
      </c>
      <c r="O841" s="15" t="s">
        <v>98</v>
      </c>
      <c r="P841" s="15" t="s">
        <v>2024</v>
      </c>
      <c r="Q841" s="15" t="s">
        <v>2025</v>
      </c>
      <c r="R841" s="16">
        <v>44329</v>
      </c>
      <c r="S841" s="17" t="s">
        <v>70</v>
      </c>
      <c r="T841" s="20">
        <f>HYPERLINK("https://vnm.spiral.com.vn//uploaded/20210513/8dbd4cb4-f02d-458e-a83d-f4f569fc075c.JPEG","15:12:54")</f>
      </c>
      <c r="U841" s="20">
        <f>HYPERLINK("https://vnm.spiral.com.vn//uploaded/20210513/12091610-61dd-41b0-a0a4-ea8fb7b5ec1f.JPEG","15:36:26")</f>
      </c>
      <c r="V841" s="18">
        <v>0.016342592592592593</v>
      </c>
      <c r="W841" s="15" t="s">
        <v>5620</v>
      </c>
      <c r="X841" s="15" t="s">
        <v>5621</v>
      </c>
      <c r="Y841" s="15" t="s">
        <v>35</v>
      </c>
      <c r="Z841" s="19">
        <v>0</v>
      </c>
      <c r="AA841" s="15">
        <v>0</v>
      </c>
      <c r="AB841" s="15" t="s">
        <v>35</v>
      </c>
    </row>
    <row r="842">
      <c r="A842" s="15">
        <v>838</v>
      </c>
      <c r="B842" s="15" t="s">
        <v>246</v>
      </c>
      <c r="C842" s="15" t="s">
        <v>782</v>
      </c>
      <c r="D842" s="15" t="s">
        <v>432</v>
      </c>
      <c r="E842" s="15" t="s">
        <v>116</v>
      </c>
      <c r="F842" s="15" t="s">
        <v>35</v>
      </c>
      <c r="G842" s="15" t="s">
        <v>74</v>
      </c>
      <c r="H842" s="15" t="s">
        <v>5622</v>
      </c>
      <c r="I842" s="15" t="s">
        <v>5623</v>
      </c>
      <c r="J842" s="15" t="s">
        <v>5624</v>
      </c>
      <c r="K842" s="15" t="s">
        <v>263</v>
      </c>
      <c r="L842" s="15" t="s">
        <v>264</v>
      </c>
      <c r="M842" s="15" t="s">
        <v>280</v>
      </c>
      <c r="N842" s="15" t="s">
        <v>281</v>
      </c>
      <c r="O842" s="15" t="s">
        <v>156</v>
      </c>
      <c r="P842" s="15" t="s">
        <v>5056</v>
      </c>
      <c r="Q842" s="15" t="s">
        <v>5057</v>
      </c>
      <c r="R842" s="16">
        <v>44329</v>
      </c>
      <c r="S842" s="17" t="s">
        <v>5058</v>
      </c>
      <c r="T842" s="20">
        <f>HYPERLINK("https://vnm.spiral.com.vn//uploaded/20210513/EA816BD9-3540-48D5-82AF-722880D45420.jpg","15:07:15")</f>
      </c>
      <c r="U842" s="20">
        <f>HYPERLINK("https://vnm.spiral.com.vn//uploaded/20210513/7F31D370-5766-4F2F-A042-2E5CB3936A77.jpg","15:35:55")</f>
      </c>
      <c r="V842" s="18">
        <v>0.01990740740740741</v>
      </c>
      <c r="W842" s="15" t="s">
        <v>5625</v>
      </c>
      <c r="X842" s="15" t="s">
        <v>5626</v>
      </c>
      <c r="Y842" s="15" t="s">
        <v>35</v>
      </c>
      <c r="Z842" s="19">
        <v>0</v>
      </c>
      <c r="AA842" s="15">
        <v>0</v>
      </c>
      <c r="AB842" s="15" t="s">
        <v>35</v>
      </c>
    </row>
    <row r="843">
      <c r="A843" s="15">
        <v>839</v>
      </c>
      <c r="B843" s="15" t="s">
        <v>33</v>
      </c>
      <c r="C843" s="15" t="s">
        <v>2999</v>
      </c>
      <c r="D843" s="15" t="s">
        <v>35</v>
      </c>
      <c r="E843" s="15" t="s">
        <v>35</v>
      </c>
      <c r="F843" s="15" t="s">
        <v>35</v>
      </c>
      <c r="G843" s="15" t="s">
        <v>74</v>
      </c>
      <c r="H843" s="15" t="s">
        <v>5627</v>
      </c>
      <c r="I843" s="15" t="s">
        <v>5628</v>
      </c>
      <c r="J843" s="15" t="s">
        <v>5629</v>
      </c>
      <c r="K843" s="15" t="s">
        <v>2887</v>
      </c>
      <c r="L843" s="15" t="s">
        <v>2888</v>
      </c>
      <c r="M843" s="15" t="s">
        <v>2889</v>
      </c>
      <c r="N843" s="15" t="s">
        <v>2890</v>
      </c>
      <c r="O843" s="15" t="s">
        <v>82</v>
      </c>
      <c r="P843" s="15" t="s">
        <v>3003</v>
      </c>
      <c r="Q843" s="15" t="s">
        <v>1155</v>
      </c>
      <c r="R843" s="16">
        <v>44329</v>
      </c>
      <c r="S843" s="17" t="s">
        <v>70</v>
      </c>
      <c r="T843" s="20">
        <f>HYPERLINK("https://vnm.spiral.com.vn//uploaded/20210513/d2a8b169-60de-4827-a680-97775ba0f2cc.JPEG","14:12:48")</f>
      </c>
      <c r="U843" s="20">
        <f>HYPERLINK("https://vnm.spiral.com.vn//uploaded/20210513/be2d3dc8-cfce-4f85-8a30-f049df2df66a.JPEG","15:35:30")</f>
      </c>
      <c r="V843" s="18">
        <v>0.057430555555555554</v>
      </c>
      <c r="W843" s="15" t="s">
        <v>5630</v>
      </c>
      <c r="X843" s="15" t="s">
        <v>5631</v>
      </c>
      <c r="Y843" s="15" t="s">
        <v>35</v>
      </c>
      <c r="Z843" s="19">
        <v>0</v>
      </c>
      <c r="AA843" s="15">
        <v>0</v>
      </c>
      <c r="AB843" s="15" t="s">
        <v>35</v>
      </c>
    </row>
    <row r="844">
      <c r="A844" s="15">
        <v>840</v>
      </c>
      <c r="B844" s="15" t="s">
        <v>343</v>
      </c>
      <c r="C844" s="15" t="s">
        <v>344</v>
      </c>
      <c r="D844" s="15" t="s">
        <v>1644</v>
      </c>
      <c r="E844" s="15" t="s">
        <v>35</v>
      </c>
      <c r="F844" s="15" t="s">
        <v>35</v>
      </c>
      <c r="G844" s="15" t="s">
        <v>74</v>
      </c>
      <c r="H844" s="15" t="s">
        <v>5632</v>
      </c>
      <c r="I844" s="15" t="s">
        <v>5633</v>
      </c>
      <c r="J844" s="15" t="s">
        <v>5634</v>
      </c>
      <c r="K844" s="15" t="s">
        <v>584</v>
      </c>
      <c r="L844" s="15" t="s">
        <v>585</v>
      </c>
      <c r="M844" s="15" t="s">
        <v>827</v>
      </c>
      <c r="N844" s="15" t="s">
        <v>828</v>
      </c>
      <c r="O844" s="15" t="s">
        <v>82</v>
      </c>
      <c r="P844" s="15" t="s">
        <v>2717</v>
      </c>
      <c r="Q844" s="15" t="s">
        <v>2718</v>
      </c>
      <c r="R844" s="16">
        <v>44329</v>
      </c>
      <c r="S844" s="17" t="s">
        <v>70</v>
      </c>
      <c r="T844" s="20">
        <f>HYPERLINK("https://vnm.spiral.com.vn//uploaded/20210513/AA8F0FC4-FD1C-4E94-9A52-67924A2E04F8.jpg","15:19:14")</f>
      </c>
      <c r="U844" s="20">
        <f>HYPERLINK("https://vnm.spiral.com.vn//uploaded/20210513/6800BD37-6F73-47A1-AD54-E8FFD0B07FD6.jpg","15:35:16")</f>
      </c>
      <c r="V844" s="18">
        <v>0.011134259259259259</v>
      </c>
      <c r="W844" s="15" t="s">
        <v>5635</v>
      </c>
      <c r="X844" s="15" t="s">
        <v>5636</v>
      </c>
      <c r="Y844" s="15" t="s">
        <v>35</v>
      </c>
      <c r="Z844" s="19">
        <v>0</v>
      </c>
      <c r="AA844" s="15">
        <v>0</v>
      </c>
      <c r="AB844" s="15" t="s">
        <v>35</v>
      </c>
    </row>
    <row r="845">
      <c r="A845" s="15">
        <v>841</v>
      </c>
      <c r="B845" s="15" t="s">
        <v>87</v>
      </c>
      <c r="C845" s="15" t="s">
        <v>88</v>
      </c>
      <c r="D845" s="15" t="s">
        <v>135</v>
      </c>
      <c r="E845" s="15" t="s">
        <v>116</v>
      </c>
      <c r="F845" s="15" t="s">
        <v>35</v>
      </c>
      <c r="G845" s="15" t="s">
        <v>74</v>
      </c>
      <c r="H845" s="15" t="s">
        <v>5637</v>
      </c>
      <c r="I845" s="15" t="s">
        <v>5638</v>
      </c>
      <c r="J845" s="15" t="s">
        <v>5639</v>
      </c>
      <c r="K845" s="15" t="s">
        <v>139</v>
      </c>
      <c r="L845" s="15" t="s">
        <v>140</v>
      </c>
      <c r="M845" s="15" t="s">
        <v>530</v>
      </c>
      <c r="N845" s="15" t="s">
        <v>531</v>
      </c>
      <c r="O845" s="15" t="s">
        <v>82</v>
      </c>
      <c r="P845" s="15" t="s">
        <v>2108</v>
      </c>
      <c r="Q845" s="15" t="s">
        <v>2109</v>
      </c>
      <c r="R845" s="16">
        <v>44329</v>
      </c>
      <c r="S845" s="17" t="s">
        <v>70</v>
      </c>
      <c r="T845" s="20">
        <f>HYPERLINK("https://vnm.spiral.com.vn//uploaded/20210513/759d936b-f1de-4036-950e-12bfaf6e9d0b.JPEG","14:49:29")</f>
      </c>
      <c r="U845" s="20">
        <f>HYPERLINK("https://vnm.spiral.com.vn//uploaded/20210513/0980e477-1573-4051-b665-841623d5269e.JPEG","15:35:15")</f>
      </c>
      <c r="V845" s="18">
        <v>0.031782407407407405</v>
      </c>
      <c r="W845" s="15" t="s">
        <v>5640</v>
      </c>
      <c r="X845" s="15" t="s">
        <v>5641</v>
      </c>
      <c r="Y845" s="15" t="s">
        <v>35</v>
      </c>
      <c r="Z845" s="19">
        <v>0</v>
      </c>
      <c r="AA845" s="15">
        <v>0</v>
      </c>
      <c r="AB845" s="15" t="s">
        <v>35</v>
      </c>
    </row>
    <row r="846">
      <c r="A846" s="15">
        <v>842</v>
      </c>
      <c r="B846" s="15" t="s">
        <v>49</v>
      </c>
      <c r="C846" s="15" t="s">
        <v>162</v>
      </c>
      <c r="D846" s="15" t="s">
        <v>135</v>
      </c>
      <c r="E846" s="15" t="s">
        <v>116</v>
      </c>
      <c r="F846" s="15" t="s">
        <v>35</v>
      </c>
      <c r="G846" s="15" t="s">
        <v>74</v>
      </c>
      <c r="H846" s="15" t="s">
        <v>5642</v>
      </c>
      <c r="I846" s="15" t="s">
        <v>5643</v>
      </c>
      <c r="J846" s="15" t="s">
        <v>5644</v>
      </c>
      <c r="K846" s="15" t="s">
        <v>166</v>
      </c>
      <c r="L846" s="15" t="s">
        <v>167</v>
      </c>
      <c r="M846" s="15" t="s">
        <v>168</v>
      </c>
      <c r="N846" s="15" t="s">
        <v>169</v>
      </c>
      <c r="O846" s="15" t="s">
        <v>82</v>
      </c>
      <c r="P846" s="15" t="s">
        <v>3365</v>
      </c>
      <c r="Q846" s="15" t="s">
        <v>3366</v>
      </c>
      <c r="R846" s="16">
        <v>44329</v>
      </c>
      <c r="S846" s="17" t="s">
        <v>70</v>
      </c>
      <c r="T846" s="20">
        <f>HYPERLINK("https://vnm.spiral.com.vn//uploaded/20210513/ee97a90a-ca2e-4e0c-bc45-71b3a9a78d9c.JPEG","15:11:05")</f>
      </c>
      <c r="U846" s="20">
        <f>HYPERLINK("https://vnm.spiral.com.vn//uploaded/20210513/ac340849-03e5-46ea-bb0f-152e27d05dbb.JPEG","15:35:05")</f>
      </c>
      <c r="V846" s="18">
        <v>0.016666666666666666</v>
      </c>
      <c r="W846" s="15" t="s">
        <v>5645</v>
      </c>
      <c r="X846" s="15" t="s">
        <v>5646</v>
      </c>
      <c r="Y846" s="15" t="s">
        <v>35</v>
      </c>
      <c r="Z846" s="19">
        <v>0</v>
      </c>
      <c r="AA846" s="15">
        <v>0</v>
      </c>
      <c r="AB846" s="15" t="s">
        <v>35</v>
      </c>
    </row>
    <row r="847">
      <c r="A847" s="15">
        <v>843</v>
      </c>
      <c r="B847" s="15" t="s">
        <v>61</v>
      </c>
      <c r="C847" s="15" t="s">
        <v>201</v>
      </c>
      <c r="D847" s="15" t="s">
        <v>35</v>
      </c>
      <c r="E847" s="15" t="s">
        <v>35</v>
      </c>
      <c r="F847" s="15" t="s">
        <v>35</v>
      </c>
      <c r="G847" s="15" t="s">
        <v>36</v>
      </c>
      <c r="H847" s="15" t="s">
        <v>5647</v>
      </c>
      <c r="I847" s="15" t="s">
        <v>3174</v>
      </c>
      <c r="J847" s="15" t="s">
        <v>5648</v>
      </c>
      <c r="K847" s="15" t="s">
        <v>40</v>
      </c>
      <c r="L847" s="15" t="s">
        <v>41</v>
      </c>
      <c r="M847" s="15" t="s">
        <v>205</v>
      </c>
      <c r="N847" s="15" t="s">
        <v>206</v>
      </c>
      <c r="O847" s="15" t="s">
        <v>44</v>
      </c>
      <c r="P847" s="15" t="s">
        <v>5649</v>
      </c>
      <c r="Q847" s="15" t="s">
        <v>5650</v>
      </c>
      <c r="R847" s="16">
        <v>44329</v>
      </c>
      <c r="S847" s="17" t="s">
        <v>2703</v>
      </c>
      <c r="T847" s="20">
        <f>HYPERLINK("https://vnm.spiral.com.vn//uploaded/20210513/eae172e7-82c9-4b66-a9f7-2e9c8fcfddd0.JPEG","15:35:00")</f>
      </c>
      <c r="U847" s="18"/>
      <c r="V847" s="18" t="s">
        <v>35</v>
      </c>
      <c r="W847" s="15" t="s">
        <v>5651</v>
      </c>
      <c r="X847" s="15" t="s">
        <v>35</v>
      </c>
      <c r="Y847" s="15" t="s">
        <v>35</v>
      </c>
      <c r="Z847" s="19">
        <v>0</v>
      </c>
      <c r="AA847" s="15">
        <v>0</v>
      </c>
      <c r="AB847" s="15" t="s">
        <v>35</v>
      </c>
    </row>
    <row r="848">
      <c r="A848" s="15">
        <v>844</v>
      </c>
      <c r="B848" s="15" t="s">
        <v>246</v>
      </c>
      <c r="C848" s="15" t="s">
        <v>259</v>
      </c>
      <c r="D848" s="15" t="s">
        <v>35</v>
      </c>
      <c r="E848" s="15" t="s">
        <v>35</v>
      </c>
      <c r="F848" s="15" t="s">
        <v>4355</v>
      </c>
      <c r="G848" s="15" t="s">
        <v>36</v>
      </c>
      <c r="H848" s="15" t="s">
        <v>5652</v>
      </c>
      <c r="I848" s="15" t="s">
        <v>5559</v>
      </c>
      <c r="J848" s="15" t="s">
        <v>5653</v>
      </c>
      <c r="K848" s="15" t="s">
        <v>40</v>
      </c>
      <c r="L848" s="15" t="s">
        <v>41</v>
      </c>
      <c r="M848" s="15" t="s">
        <v>252</v>
      </c>
      <c r="N848" s="15" t="s">
        <v>253</v>
      </c>
      <c r="O848" s="15" t="s">
        <v>44</v>
      </c>
      <c r="P848" s="15" t="s">
        <v>5654</v>
      </c>
      <c r="Q848" s="15" t="s">
        <v>5655</v>
      </c>
      <c r="R848" s="16">
        <v>44329</v>
      </c>
      <c r="S848" s="17" t="s">
        <v>4912</v>
      </c>
      <c r="T848" s="20">
        <f>HYPERLINK("https://vnm.spiral.com.vn//uploaded/20210513/FEDE4270-D1F1-471F-968C-A00793D1CFC3.jpg","15:34:43")</f>
      </c>
      <c r="U848" s="18"/>
      <c r="V848" s="18" t="s">
        <v>35</v>
      </c>
      <c r="W848" s="15" t="s">
        <v>5656</v>
      </c>
      <c r="X848" s="15" t="s">
        <v>35</v>
      </c>
      <c r="Y848" s="15" t="s">
        <v>35</v>
      </c>
      <c r="Z848" s="19">
        <v>0</v>
      </c>
      <c r="AA848" s="15">
        <v>0</v>
      </c>
      <c r="AB848" s="15" t="s">
        <v>35</v>
      </c>
    </row>
    <row r="849">
      <c r="A849" s="15">
        <v>845</v>
      </c>
      <c r="B849" s="15" t="s">
        <v>61</v>
      </c>
      <c r="C849" s="15" t="s">
        <v>442</v>
      </c>
      <c r="D849" s="15" t="s">
        <v>89</v>
      </c>
      <c r="E849" s="15" t="s">
        <v>90</v>
      </c>
      <c r="F849" s="15" t="s">
        <v>35</v>
      </c>
      <c r="G849" s="15" t="s">
        <v>74</v>
      </c>
      <c r="H849" s="15" t="s">
        <v>5657</v>
      </c>
      <c r="I849" s="15" t="s">
        <v>5658</v>
      </c>
      <c r="J849" s="15" t="s">
        <v>5659</v>
      </c>
      <c r="K849" s="15" t="s">
        <v>232</v>
      </c>
      <c r="L849" s="15" t="s">
        <v>233</v>
      </c>
      <c r="M849" s="15" t="s">
        <v>453</v>
      </c>
      <c r="N849" s="15" t="s">
        <v>454</v>
      </c>
      <c r="O849" s="15" t="s">
        <v>156</v>
      </c>
      <c r="P849" s="15" t="s">
        <v>5660</v>
      </c>
      <c r="Q849" s="15" t="s">
        <v>5661</v>
      </c>
      <c r="R849" s="16">
        <v>44329</v>
      </c>
      <c r="S849" s="17" t="s">
        <v>1696</v>
      </c>
      <c r="T849" s="20">
        <f>HYPERLINK("https://vnm.spiral.com.vn//uploaded/20210513/e2533ca4-90c9-47c6-9289-c1f5ffba9a86.JPEG","06:47:02")</f>
      </c>
      <c r="U849" s="20">
        <f>HYPERLINK("https://vnm.spiral.com.vn//uploaded/20210513/dfb044ad-a3f1-46f2-a913-9c940728e7a2.JPEG","15:34:41")</f>
      </c>
      <c r="V849" s="18">
        <v>0.3664236111111111</v>
      </c>
      <c r="W849" s="15" t="s">
        <v>5662</v>
      </c>
      <c r="X849" s="15" t="s">
        <v>5663</v>
      </c>
      <c r="Y849" s="15" t="s">
        <v>35</v>
      </c>
      <c r="Z849" s="19">
        <v>0</v>
      </c>
      <c r="AA849" s="15">
        <v>0</v>
      </c>
      <c r="AB849" s="15" t="s">
        <v>35</v>
      </c>
    </row>
    <row r="850">
      <c r="A850" s="15">
        <v>846</v>
      </c>
      <c r="B850" s="15" t="s">
        <v>87</v>
      </c>
      <c r="C850" s="15" t="s">
        <v>88</v>
      </c>
      <c r="D850" s="15" t="s">
        <v>357</v>
      </c>
      <c r="E850" s="15" t="s">
        <v>90</v>
      </c>
      <c r="F850" s="15" t="s">
        <v>35</v>
      </c>
      <c r="G850" s="15" t="s">
        <v>74</v>
      </c>
      <c r="H850" s="15" t="s">
        <v>5664</v>
      </c>
      <c r="I850" s="15" t="s">
        <v>5665</v>
      </c>
      <c r="J850" s="15" t="s">
        <v>5666</v>
      </c>
      <c r="K850" s="15" t="s">
        <v>94</v>
      </c>
      <c r="L850" s="15" t="s">
        <v>95</v>
      </c>
      <c r="M850" s="15" t="s">
        <v>1570</v>
      </c>
      <c r="N850" s="15" t="s">
        <v>1571</v>
      </c>
      <c r="O850" s="15" t="s">
        <v>98</v>
      </c>
      <c r="P850" s="15" t="s">
        <v>1572</v>
      </c>
      <c r="Q850" s="15" t="s">
        <v>1573</v>
      </c>
      <c r="R850" s="16">
        <v>44329</v>
      </c>
      <c r="S850" s="17" t="s">
        <v>70</v>
      </c>
      <c r="T850" s="20">
        <f>HYPERLINK("https://vnm.spiral.com.vn//uploaded/20210513/b1481fa6-4e7a-4da2-b48c-ad6e202dad2f.JPEG","15:19:52")</f>
      </c>
      <c r="U850" s="20">
        <f>HYPERLINK("https://vnm.spiral.com.vn//uploaded/20210513/51e8c232-a202-417e-9f49-99968dc2d9a5.JPEG","15:34:31")</f>
      </c>
      <c r="V850" s="18">
        <v>0.01017361111111111</v>
      </c>
      <c r="W850" s="15" t="s">
        <v>5667</v>
      </c>
      <c r="X850" s="15" t="s">
        <v>5668</v>
      </c>
      <c r="Y850" s="15" t="s">
        <v>35</v>
      </c>
      <c r="Z850" s="19">
        <v>0</v>
      </c>
      <c r="AA850" s="15">
        <v>0</v>
      </c>
      <c r="AB850" s="15" t="s">
        <v>35</v>
      </c>
    </row>
    <row r="851">
      <c r="A851" s="15">
        <v>847</v>
      </c>
      <c r="B851" s="15" t="s">
        <v>87</v>
      </c>
      <c r="C851" s="15" t="s">
        <v>88</v>
      </c>
      <c r="D851" s="15" t="s">
        <v>35</v>
      </c>
      <c r="E851" s="15" t="s">
        <v>35</v>
      </c>
      <c r="F851" s="15" t="s">
        <v>2667</v>
      </c>
      <c r="G851" s="15" t="s">
        <v>36</v>
      </c>
      <c r="H851" s="15" t="s">
        <v>5669</v>
      </c>
      <c r="I851" s="15" t="s">
        <v>5670</v>
      </c>
      <c r="J851" s="15" t="s">
        <v>5671</v>
      </c>
      <c r="K851" s="15" t="s">
        <v>40</v>
      </c>
      <c r="L851" s="15" t="s">
        <v>41</v>
      </c>
      <c r="M851" s="15" t="s">
        <v>1195</v>
      </c>
      <c r="N851" s="15" t="s">
        <v>1196</v>
      </c>
      <c r="O851" s="15" t="s">
        <v>44</v>
      </c>
      <c r="P851" s="15" t="s">
        <v>5672</v>
      </c>
      <c r="Q851" s="15" t="s">
        <v>5673</v>
      </c>
      <c r="R851" s="16">
        <v>44329</v>
      </c>
      <c r="S851" s="17" t="s">
        <v>4912</v>
      </c>
      <c r="T851" s="20">
        <f>HYPERLINK("https://vnm.spiral.com.vn//uploaded/20210513/194482bd-67c6-4ab7-b046-1f2a832b3aec.JPEG","15:34:04")</f>
      </c>
      <c r="U851" s="18"/>
      <c r="V851" s="18" t="s">
        <v>35</v>
      </c>
      <c r="W851" s="15" t="s">
        <v>5674</v>
      </c>
      <c r="X851" s="15" t="s">
        <v>35</v>
      </c>
      <c r="Y851" s="15" t="s">
        <v>35</v>
      </c>
      <c r="Z851" s="19">
        <v>0</v>
      </c>
      <c r="AA851" s="15">
        <v>0</v>
      </c>
      <c r="AB851" s="15" t="s">
        <v>35</v>
      </c>
    </row>
    <row r="852">
      <c r="A852" s="15">
        <v>848</v>
      </c>
      <c r="B852" s="15" t="s">
        <v>103</v>
      </c>
      <c r="C852" s="15" t="s">
        <v>186</v>
      </c>
      <c r="D852" s="15" t="s">
        <v>35</v>
      </c>
      <c r="E852" s="15" t="s">
        <v>35</v>
      </c>
      <c r="F852" s="15" t="s">
        <v>35</v>
      </c>
      <c r="G852" s="15" t="s">
        <v>36</v>
      </c>
      <c r="H852" s="15" t="s">
        <v>5675</v>
      </c>
      <c r="I852" s="15" t="s">
        <v>5676</v>
      </c>
      <c r="J852" s="15" t="s">
        <v>5677</v>
      </c>
      <c r="K852" s="15" t="s">
        <v>40</v>
      </c>
      <c r="L852" s="15" t="s">
        <v>41</v>
      </c>
      <c r="M852" s="15" t="s">
        <v>565</v>
      </c>
      <c r="N852" s="15" t="s">
        <v>566</v>
      </c>
      <c r="O852" s="15" t="s">
        <v>44</v>
      </c>
      <c r="P852" s="15" t="s">
        <v>5678</v>
      </c>
      <c r="Q852" s="15" t="s">
        <v>5679</v>
      </c>
      <c r="R852" s="16">
        <v>44329</v>
      </c>
      <c r="S852" s="17" t="s">
        <v>686</v>
      </c>
      <c r="T852" s="20">
        <f>HYPERLINK("https://vnm.spiral.com.vn//uploaded/20210513/32E52918-3670-4AA5-B816-7E63575A1835.jpg","15:34:01")</f>
      </c>
      <c r="U852" s="18"/>
      <c r="V852" s="18" t="s">
        <v>35</v>
      </c>
      <c r="W852" s="15" t="s">
        <v>5680</v>
      </c>
      <c r="X852" s="15" t="s">
        <v>35</v>
      </c>
      <c r="Y852" s="15" t="s">
        <v>35</v>
      </c>
      <c r="Z852" s="19">
        <v>0</v>
      </c>
      <c r="AA852" s="15">
        <v>0</v>
      </c>
      <c r="AB852" s="15" t="s">
        <v>35</v>
      </c>
    </row>
    <row r="853">
      <c r="A853" s="15">
        <v>849</v>
      </c>
      <c r="B853" s="15" t="s">
        <v>246</v>
      </c>
      <c r="C853" s="15" t="s">
        <v>259</v>
      </c>
      <c r="D853" s="15" t="s">
        <v>35</v>
      </c>
      <c r="E853" s="15" t="s">
        <v>35</v>
      </c>
      <c r="F853" s="15" t="s">
        <v>4355</v>
      </c>
      <c r="G853" s="15" t="s">
        <v>36</v>
      </c>
      <c r="H853" s="15" t="s">
        <v>5681</v>
      </c>
      <c r="I853" s="15" t="s">
        <v>5682</v>
      </c>
      <c r="J853" s="15" t="s">
        <v>5683</v>
      </c>
      <c r="K853" s="15" t="s">
        <v>40</v>
      </c>
      <c r="L853" s="15" t="s">
        <v>41</v>
      </c>
      <c r="M853" s="15" t="s">
        <v>252</v>
      </c>
      <c r="N853" s="15" t="s">
        <v>253</v>
      </c>
      <c r="O853" s="15" t="s">
        <v>44</v>
      </c>
      <c r="P853" s="15" t="s">
        <v>5684</v>
      </c>
      <c r="Q853" s="15" t="s">
        <v>5685</v>
      </c>
      <c r="R853" s="16">
        <v>44329</v>
      </c>
      <c r="S853" s="17" t="s">
        <v>4912</v>
      </c>
      <c r="T853" s="20">
        <f>HYPERLINK("https://vnm.spiral.com.vn//uploaded/20210513/4C387FFE-7776-452D-B076-9AD8838194D5.jpg","15:34:00")</f>
      </c>
      <c r="U853" s="18"/>
      <c r="V853" s="18" t="s">
        <v>35</v>
      </c>
      <c r="W853" s="15" t="s">
        <v>5686</v>
      </c>
      <c r="X853" s="15" t="s">
        <v>35</v>
      </c>
      <c r="Y853" s="15" t="s">
        <v>35</v>
      </c>
      <c r="Z853" s="19">
        <v>0</v>
      </c>
      <c r="AA853" s="15">
        <v>0</v>
      </c>
      <c r="AB853" s="15" t="s">
        <v>35</v>
      </c>
    </row>
    <row r="854">
      <c r="A854" s="15">
        <v>850</v>
      </c>
      <c r="B854" s="15" t="s">
        <v>103</v>
      </c>
      <c r="C854" s="15" t="s">
        <v>104</v>
      </c>
      <c r="D854" s="15" t="s">
        <v>35</v>
      </c>
      <c r="E854" s="15" t="s">
        <v>35</v>
      </c>
      <c r="F854" s="15" t="s">
        <v>35</v>
      </c>
      <c r="G854" s="15" t="s">
        <v>36</v>
      </c>
      <c r="H854" s="15" t="s">
        <v>5687</v>
      </c>
      <c r="I854" s="15" t="s">
        <v>5688</v>
      </c>
      <c r="J854" s="15" t="s">
        <v>5689</v>
      </c>
      <c r="K854" s="15" t="s">
        <v>40</v>
      </c>
      <c r="L854" s="15" t="s">
        <v>41</v>
      </c>
      <c r="M854" s="15" t="s">
        <v>108</v>
      </c>
      <c r="N854" s="15" t="s">
        <v>109</v>
      </c>
      <c r="O854" s="15" t="s">
        <v>44</v>
      </c>
      <c r="P854" s="15" t="s">
        <v>5690</v>
      </c>
      <c r="Q854" s="15" t="s">
        <v>5691</v>
      </c>
      <c r="R854" s="16">
        <v>44329</v>
      </c>
      <c r="S854" s="17" t="s">
        <v>5692</v>
      </c>
      <c r="T854" s="20">
        <f>HYPERLINK("https://vnm.spiral.com.vn//uploaded/20210513/28649dd9-0e31-4a2c-ae61-a130e7ca26c3.JPEG","15:33:53")</f>
      </c>
      <c r="U854" s="18"/>
      <c r="V854" s="18" t="s">
        <v>35</v>
      </c>
      <c r="W854" s="15" t="s">
        <v>5693</v>
      </c>
      <c r="X854" s="15" t="s">
        <v>35</v>
      </c>
      <c r="Y854" s="15" t="s">
        <v>35</v>
      </c>
      <c r="Z854" s="19">
        <v>0</v>
      </c>
      <c r="AA854" s="15">
        <v>0</v>
      </c>
      <c r="AB854" s="15" t="s">
        <v>35</v>
      </c>
    </row>
    <row r="855">
      <c r="A855" s="15">
        <v>851</v>
      </c>
      <c r="B855" s="15" t="s">
        <v>61</v>
      </c>
      <c r="C855" s="15" t="s">
        <v>303</v>
      </c>
      <c r="D855" s="15" t="s">
        <v>135</v>
      </c>
      <c r="E855" s="15" t="s">
        <v>116</v>
      </c>
      <c r="F855" s="15" t="s">
        <v>35</v>
      </c>
      <c r="G855" s="15" t="s">
        <v>74</v>
      </c>
      <c r="H855" s="15" t="s">
        <v>5694</v>
      </c>
      <c r="I855" s="15" t="s">
        <v>5695</v>
      </c>
      <c r="J855" s="15" t="s">
        <v>5696</v>
      </c>
      <c r="K855" s="15" t="s">
        <v>152</v>
      </c>
      <c r="L855" s="15" t="s">
        <v>153</v>
      </c>
      <c r="M855" s="15" t="s">
        <v>232</v>
      </c>
      <c r="N855" s="15" t="s">
        <v>233</v>
      </c>
      <c r="O855" s="15" t="s">
        <v>98</v>
      </c>
      <c r="P855" s="15" t="s">
        <v>503</v>
      </c>
      <c r="Q855" s="15" t="s">
        <v>504</v>
      </c>
      <c r="R855" s="16">
        <v>44329</v>
      </c>
      <c r="S855" s="17" t="s">
        <v>35</v>
      </c>
      <c r="T855" s="20">
        <f>HYPERLINK("https://vnm.spiral.com.vn//uploaded/20210513/ffa9079e-3f78-4582-9e0c-310212d9af81.JPEG","15:33:25")</f>
      </c>
      <c r="U855" s="18"/>
      <c r="V855" s="18" t="s">
        <v>35</v>
      </c>
      <c r="W855" s="15" t="s">
        <v>5697</v>
      </c>
      <c r="X855" s="15" t="s">
        <v>35</v>
      </c>
      <c r="Y855" s="15" t="s">
        <v>35</v>
      </c>
      <c r="Z855" s="19">
        <v>0</v>
      </c>
      <c r="AA855" s="15">
        <v>0</v>
      </c>
      <c r="AB855" s="15" t="s">
        <v>35</v>
      </c>
    </row>
    <row r="856">
      <c r="A856" s="15">
        <v>852</v>
      </c>
      <c r="B856" s="15" t="s">
        <v>61</v>
      </c>
      <c r="C856" s="15" t="s">
        <v>303</v>
      </c>
      <c r="D856" s="15" t="s">
        <v>35</v>
      </c>
      <c r="E856" s="15" t="s">
        <v>35</v>
      </c>
      <c r="F856" s="15" t="s">
        <v>35</v>
      </c>
      <c r="G856" s="15" t="s">
        <v>36</v>
      </c>
      <c r="H856" s="15" t="s">
        <v>5698</v>
      </c>
      <c r="I856" s="15" t="s">
        <v>5699</v>
      </c>
      <c r="J856" s="15" t="s">
        <v>5700</v>
      </c>
      <c r="K856" s="15" t="s">
        <v>40</v>
      </c>
      <c r="L856" s="15" t="s">
        <v>41</v>
      </c>
      <c r="M856" s="15" t="s">
        <v>205</v>
      </c>
      <c r="N856" s="15" t="s">
        <v>206</v>
      </c>
      <c r="O856" s="15" t="s">
        <v>44</v>
      </c>
      <c r="P856" s="15" t="s">
        <v>5701</v>
      </c>
      <c r="Q856" s="15" t="s">
        <v>5702</v>
      </c>
      <c r="R856" s="16">
        <v>44329</v>
      </c>
      <c r="S856" s="17" t="s">
        <v>293</v>
      </c>
      <c r="T856" s="20">
        <f>HYPERLINK("https://vnm.spiral.com.vn//uploaded/20210513/B981127D-5BEE-46C1-AC46-0EBF87EBB5E9.jpg","07:20:41")</f>
      </c>
      <c r="U856" s="20">
        <f>HYPERLINK("https://vnm.spiral.com.vn//uploaded/20210513/DA565897-0E16-42A9-A7A0-A5D52AAF5EDC.jpg","15:33:07")</f>
      </c>
      <c r="V856" s="18">
        <v>0.3419675925925926</v>
      </c>
      <c r="W856" s="15" t="s">
        <v>5703</v>
      </c>
      <c r="X856" s="15" t="s">
        <v>5704</v>
      </c>
      <c r="Y856" s="15" t="s">
        <v>35</v>
      </c>
      <c r="Z856" s="19">
        <v>0</v>
      </c>
      <c r="AA856" s="15">
        <v>0</v>
      </c>
      <c r="AB856" s="15" t="s">
        <v>35</v>
      </c>
    </row>
    <row r="857">
      <c r="A857" s="15">
        <v>853</v>
      </c>
      <c r="B857" s="15" t="s">
        <v>103</v>
      </c>
      <c r="C857" s="15" t="s">
        <v>186</v>
      </c>
      <c r="D857" s="15" t="s">
        <v>35</v>
      </c>
      <c r="E857" s="15" t="s">
        <v>35</v>
      </c>
      <c r="F857" s="15" t="s">
        <v>35</v>
      </c>
      <c r="G857" s="15" t="s">
        <v>36</v>
      </c>
      <c r="H857" s="15" t="s">
        <v>5705</v>
      </c>
      <c r="I857" s="15" t="s">
        <v>5706</v>
      </c>
      <c r="J857" s="15" t="s">
        <v>5707</v>
      </c>
      <c r="K857" s="15" t="s">
        <v>40</v>
      </c>
      <c r="L857" s="15" t="s">
        <v>41</v>
      </c>
      <c r="M857" s="15" t="s">
        <v>565</v>
      </c>
      <c r="N857" s="15" t="s">
        <v>566</v>
      </c>
      <c r="O857" s="15" t="s">
        <v>44</v>
      </c>
      <c r="P857" s="15" t="s">
        <v>5708</v>
      </c>
      <c r="Q857" s="15" t="s">
        <v>5709</v>
      </c>
      <c r="R857" s="16">
        <v>44329</v>
      </c>
      <c r="S857" s="17" t="s">
        <v>4912</v>
      </c>
      <c r="T857" s="20">
        <f>HYPERLINK("https://vnm.spiral.com.vn//uploaded/20210513/3F9B2F9F-56AC-4FBA-B8F8-DC66B9B6F4ED.jpg","15:32:56")</f>
      </c>
      <c r="U857" s="18"/>
      <c r="V857" s="18" t="s">
        <v>35</v>
      </c>
      <c r="W857" s="15" t="s">
        <v>5710</v>
      </c>
      <c r="X857" s="15" t="s">
        <v>35</v>
      </c>
      <c r="Y857" s="15" t="s">
        <v>35</v>
      </c>
      <c r="Z857" s="19">
        <v>0</v>
      </c>
      <c r="AA857" s="15">
        <v>0</v>
      </c>
      <c r="AB857" s="15" t="s">
        <v>35</v>
      </c>
    </row>
    <row r="858">
      <c r="A858" s="15">
        <v>854</v>
      </c>
      <c r="B858" s="15" t="s">
        <v>33</v>
      </c>
      <c r="C858" s="15" t="s">
        <v>492</v>
      </c>
      <c r="D858" s="15" t="s">
        <v>5711</v>
      </c>
      <c r="E858" s="15" t="s">
        <v>35</v>
      </c>
      <c r="F858" s="15" t="s">
        <v>35</v>
      </c>
      <c r="G858" s="15" t="s">
        <v>74</v>
      </c>
      <c r="H858" s="15" t="s">
        <v>5712</v>
      </c>
      <c r="I858" s="15" t="s">
        <v>5713</v>
      </c>
      <c r="J858" s="15" t="s">
        <v>5714</v>
      </c>
      <c r="K858" s="15" t="s">
        <v>540</v>
      </c>
      <c r="L858" s="15" t="s">
        <v>541</v>
      </c>
      <c r="M858" s="15" t="s">
        <v>78</v>
      </c>
      <c r="N858" s="15" t="s">
        <v>79</v>
      </c>
      <c r="O858" s="15" t="s">
        <v>156</v>
      </c>
      <c r="P858" s="15" t="s">
        <v>5715</v>
      </c>
      <c r="Q858" s="15" t="s">
        <v>859</v>
      </c>
      <c r="R858" s="16">
        <v>44329</v>
      </c>
      <c r="S858" s="17" t="s">
        <v>1696</v>
      </c>
      <c r="T858" s="20">
        <f>HYPERLINK("https://vnm.spiral.com.vn//uploaded/20210513/d8c02924-1136-418a-8379-e3c86ea96711.JPEG","06:52:19")</f>
      </c>
      <c r="U858" s="20">
        <f>HYPERLINK("https://vnm.spiral.com.vn//uploaded/20210513/3400cbf5-f4d9-4f11-9a03-b592a072a98c.JPEG","15:32:52")</f>
      </c>
      <c r="V858" s="18">
        <v>0.36149305555555555</v>
      </c>
      <c r="W858" s="15" t="s">
        <v>5716</v>
      </c>
      <c r="X858" s="15" t="s">
        <v>5717</v>
      </c>
      <c r="Y858" s="15" t="s">
        <v>35</v>
      </c>
      <c r="Z858" s="19">
        <v>0</v>
      </c>
      <c r="AA858" s="15">
        <v>0</v>
      </c>
      <c r="AB858" s="15" t="s">
        <v>35</v>
      </c>
    </row>
    <row r="859">
      <c r="A859" s="15">
        <v>855</v>
      </c>
      <c r="B859" s="15" t="s">
        <v>87</v>
      </c>
      <c r="C859" s="15" t="s">
        <v>88</v>
      </c>
      <c r="D859" s="15" t="s">
        <v>610</v>
      </c>
      <c r="E859" s="15" t="s">
        <v>90</v>
      </c>
      <c r="F859" s="15" t="s">
        <v>35</v>
      </c>
      <c r="G859" s="15" t="s">
        <v>74</v>
      </c>
      <c r="H859" s="15" t="s">
        <v>5718</v>
      </c>
      <c r="I859" s="15" t="s">
        <v>5719</v>
      </c>
      <c r="J859" s="15" t="s">
        <v>5720</v>
      </c>
      <c r="K859" s="15" t="s">
        <v>614</v>
      </c>
      <c r="L859" s="15" t="s">
        <v>615</v>
      </c>
      <c r="M859" s="15" t="s">
        <v>616</v>
      </c>
      <c r="N859" s="15" t="s">
        <v>617</v>
      </c>
      <c r="O859" s="15" t="s">
        <v>82</v>
      </c>
      <c r="P859" s="15" t="s">
        <v>1846</v>
      </c>
      <c r="Q859" s="15" t="s">
        <v>1847</v>
      </c>
      <c r="R859" s="16">
        <v>44329</v>
      </c>
      <c r="S859" s="17" t="s">
        <v>70</v>
      </c>
      <c r="T859" s="20">
        <f>HYPERLINK("https://vnm.spiral.com.vn//uploaded/20210513/62c9f95b-eb7c-42c2-998d-82d7532f452b.JPEG","14:36:47")</f>
      </c>
      <c r="U859" s="20">
        <f>HYPERLINK("https://vnm.spiral.com.vn//uploaded/20210513/703c824a-43f8-48e9-a683-57e72bb50888.JPEG","15:32:45")</f>
      </c>
      <c r="V859" s="18">
        <v>0.03886574074074074</v>
      </c>
      <c r="W859" s="15" t="s">
        <v>5721</v>
      </c>
      <c r="X859" s="15" t="s">
        <v>5722</v>
      </c>
      <c r="Y859" s="15" t="s">
        <v>35</v>
      </c>
      <c r="Z859" s="19">
        <v>0</v>
      </c>
      <c r="AA859" s="15">
        <v>0</v>
      </c>
      <c r="AB859" s="15" t="s">
        <v>35</v>
      </c>
    </row>
    <row r="860">
      <c r="A860" s="15">
        <v>856</v>
      </c>
      <c r="B860" s="15" t="s">
        <v>61</v>
      </c>
      <c r="C860" s="15" t="s">
        <v>320</v>
      </c>
      <c r="D860" s="15" t="s">
        <v>432</v>
      </c>
      <c r="E860" s="15" t="s">
        <v>116</v>
      </c>
      <c r="F860" s="15" t="s">
        <v>35</v>
      </c>
      <c r="G860" s="15" t="s">
        <v>74</v>
      </c>
      <c r="H860" s="15" t="s">
        <v>5723</v>
      </c>
      <c r="I860" s="15" t="s">
        <v>5724</v>
      </c>
      <c r="J860" s="15" t="s">
        <v>5725</v>
      </c>
      <c r="K860" s="15" t="s">
        <v>154</v>
      </c>
      <c r="L860" s="15" t="s">
        <v>155</v>
      </c>
      <c r="M860" s="15" t="s">
        <v>2458</v>
      </c>
      <c r="N860" s="15" t="s">
        <v>2459</v>
      </c>
      <c r="O860" s="15" t="s">
        <v>156</v>
      </c>
      <c r="P860" s="15" t="s">
        <v>2803</v>
      </c>
      <c r="Q860" s="15" t="s">
        <v>2804</v>
      </c>
      <c r="R860" s="16">
        <v>44329</v>
      </c>
      <c r="S860" s="17" t="s">
        <v>70</v>
      </c>
      <c r="T860" s="20">
        <f>HYPERLINK("https://vnm.spiral.com.vn//uploaded/20210513/90917761-9bc9-43f0-938c-3e2e72b2e382.JPEG","14:30:37")</f>
      </c>
      <c r="U860" s="20">
        <f>HYPERLINK("https://vnm.spiral.com.vn//uploaded/20210513/37c63bdf-adb9-4384-abc6-090d2b9f0539.JPEG","15:32:11")</f>
      </c>
      <c r="V860" s="18">
        <v>0.04275462962962963</v>
      </c>
      <c r="W860" s="15" t="s">
        <v>5726</v>
      </c>
      <c r="X860" s="15" t="s">
        <v>5727</v>
      </c>
      <c r="Y860" s="15" t="s">
        <v>35</v>
      </c>
      <c r="Z860" s="19">
        <v>0</v>
      </c>
      <c r="AA860" s="15">
        <v>0</v>
      </c>
      <c r="AB860" s="15" t="s">
        <v>35</v>
      </c>
    </row>
    <row r="861">
      <c r="A861" s="15">
        <v>857</v>
      </c>
      <c r="B861" s="15" t="s">
        <v>87</v>
      </c>
      <c r="C861" s="15" t="s">
        <v>88</v>
      </c>
      <c r="D861" s="15" t="s">
        <v>35</v>
      </c>
      <c r="E861" s="15" t="s">
        <v>35</v>
      </c>
      <c r="F861" s="15" t="s">
        <v>35</v>
      </c>
      <c r="G861" s="15" t="s">
        <v>74</v>
      </c>
      <c r="H861" s="15" t="s">
        <v>5728</v>
      </c>
      <c r="I861" s="15" t="s">
        <v>5729</v>
      </c>
      <c r="J861" s="15" t="s">
        <v>5730</v>
      </c>
      <c r="K861" s="15" t="s">
        <v>888</v>
      </c>
      <c r="L861" s="15" t="s">
        <v>889</v>
      </c>
      <c r="M861" s="15" t="s">
        <v>924</v>
      </c>
      <c r="N861" s="15" t="s">
        <v>925</v>
      </c>
      <c r="O861" s="15" t="s">
        <v>82</v>
      </c>
      <c r="P861" s="15" t="s">
        <v>1906</v>
      </c>
      <c r="Q861" s="15" t="s">
        <v>1907</v>
      </c>
      <c r="R861" s="16">
        <v>44329</v>
      </c>
      <c r="S861" s="17" t="s">
        <v>70</v>
      </c>
      <c r="T861" s="20">
        <f>HYPERLINK("https://vnm.spiral.com.vn//uploaded/20210513/b3447c43-0608-43b5-873d-70b46d196af7.JPEG","15:04:47")</f>
      </c>
      <c r="U861" s="20">
        <f>HYPERLINK("https://vnm.spiral.com.vn//uploaded/20210513/24d12d58-56fe-40b5-bf51-56d0f9085235.JPEG","15:31:53")</f>
      </c>
      <c r="V861" s="18">
        <v>0.018819444444444444</v>
      </c>
      <c r="W861" s="15" t="s">
        <v>5731</v>
      </c>
      <c r="X861" s="15" t="s">
        <v>5732</v>
      </c>
      <c r="Y861" s="15" t="s">
        <v>35</v>
      </c>
      <c r="Z861" s="19">
        <v>0</v>
      </c>
      <c r="AA861" s="15">
        <v>0</v>
      </c>
      <c r="AB861" s="15" t="s">
        <v>35</v>
      </c>
    </row>
    <row r="862">
      <c r="A862" s="15">
        <v>858</v>
      </c>
      <c r="B862" s="15" t="s">
        <v>61</v>
      </c>
      <c r="C862" s="15" t="s">
        <v>201</v>
      </c>
      <c r="D862" s="15" t="s">
        <v>35</v>
      </c>
      <c r="E862" s="15" t="s">
        <v>35</v>
      </c>
      <c r="F862" s="15" t="s">
        <v>2302</v>
      </c>
      <c r="G862" s="15" t="s">
        <v>36</v>
      </c>
      <c r="H862" s="15" t="s">
        <v>5733</v>
      </c>
      <c r="I862" s="15" t="s">
        <v>5734</v>
      </c>
      <c r="J862" s="15" t="s">
        <v>5735</v>
      </c>
      <c r="K862" s="15" t="s">
        <v>40</v>
      </c>
      <c r="L862" s="15" t="s">
        <v>41</v>
      </c>
      <c r="M862" s="15" t="s">
        <v>205</v>
      </c>
      <c r="N862" s="15" t="s">
        <v>206</v>
      </c>
      <c r="O862" s="15" t="s">
        <v>44</v>
      </c>
      <c r="P862" s="15" t="s">
        <v>5736</v>
      </c>
      <c r="Q862" s="15" t="s">
        <v>5737</v>
      </c>
      <c r="R862" s="16">
        <v>44329</v>
      </c>
      <c r="S862" s="17" t="s">
        <v>1696</v>
      </c>
      <c r="T862" s="20">
        <f>HYPERLINK("https://vnm.spiral.com.vn//uploaded/20210513/046E909A-C8E0-43CA-AC83-50359F9B41EF.jpg","06:57:35")</f>
      </c>
      <c r="U862" s="20">
        <f>HYPERLINK("https://vnm.spiral.com.vn//uploaded/20210513/DA9A7297-F91A-4920-999A-EFD6D7C6BDBC.jpg","15:31:35")</f>
      </c>
      <c r="V862" s="18">
        <v>0.35694444444444445</v>
      </c>
      <c r="W862" s="15" t="s">
        <v>5738</v>
      </c>
      <c r="X862" s="15" t="s">
        <v>5739</v>
      </c>
      <c r="Y862" s="15" t="s">
        <v>35</v>
      </c>
      <c r="Z862" s="19">
        <v>0</v>
      </c>
      <c r="AA862" s="15">
        <v>0</v>
      </c>
      <c r="AB862" s="15" t="s">
        <v>35</v>
      </c>
    </row>
    <row r="863">
      <c r="A863" s="15">
        <v>859</v>
      </c>
      <c r="B863" s="15" t="s">
        <v>343</v>
      </c>
      <c r="C863" s="15" t="s">
        <v>344</v>
      </c>
      <c r="D863" s="15" t="s">
        <v>35</v>
      </c>
      <c r="E863" s="15" t="s">
        <v>35</v>
      </c>
      <c r="F863" s="15" t="s">
        <v>35</v>
      </c>
      <c r="G863" s="15" t="s">
        <v>36</v>
      </c>
      <c r="H863" s="15" t="s">
        <v>5740</v>
      </c>
      <c r="I863" s="15" t="s">
        <v>5741</v>
      </c>
      <c r="J863" s="15" t="s">
        <v>5742</v>
      </c>
      <c r="K863" s="15" t="s">
        <v>40</v>
      </c>
      <c r="L863" s="15" t="s">
        <v>41</v>
      </c>
      <c r="M863" s="15" t="s">
        <v>409</v>
      </c>
      <c r="N863" s="15" t="s">
        <v>410</v>
      </c>
      <c r="O863" s="15" t="s">
        <v>44</v>
      </c>
      <c r="P863" s="15" t="s">
        <v>5743</v>
      </c>
      <c r="Q863" s="15" t="s">
        <v>5744</v>
      </c>
      <c r="R863" s="16">
        <v>44329</v>
      </c>
      <c r="S863" s="17" t="s">
        <v>5692</v>
      </c>
      <c r="T863" s="20">
        <f>HYPERLINK("https://vnm.spiral.com.vn//uploaded/20210513/E62A5205-48EC-4720-BA6D-FC9A65FF99C6.jpg","15:31:18")</f>
      </c>
      <c r="U863" s="18"/>
      <c r="V863" s="18" t="s">
        <v>35</v>
      </c>
      <c r="W863" s="15" t="s">
        <v>5745</v>
      </c>
      <c r="X863" s="15" t="s">
        <v>35</v>
      </c>
      <c r="Y863" s="15" t="s">
        <v>35</v>
      </c>
      <c r="Z863" s="19">
        <v>0</v>
      </c>
      <c r="AA863" s="15">
        <v>0</v>
      </c>
      <c r="AB863" s="15" t="s">
        <v>35</v>
      </c>
    </row>
    <row r="864">
      <c r="A864" s="15">
        <v>860</v>
      </c>
      <c r="B864" s="15" t="s">
        <v>61</v>
      </c>
      <c r="C864" s="15" t="s">
        <v>303</v>
      </c>
      <c r="D864" s="15" t="s">
        <v>35</v>
      </c>
      <c r="E864" s="15" t="s">
        <v>35</v>
      </c>
      <c r="F864" s="15" t="s">
        <v>35</v>
      </c>
      <c r="G864" s="15" t="s">
        <v>36</v>
      </c>
      <c r="H864" s="15" t="s">
        <v>5746</v>
      </c>
      <c r="I864" s="15" t="s">
        <v>5747</v>
      </c>
      <c r="J864" s="15" t="s">
        <v>5748</v>
      </c>
      <c r="K864" s="15" t="s">
        <v>40</v>
      </c>
      <c r="L864" s="15" t="s">
        <v>41</v>
      </c>
      <c r="M864" s="15" t="s">
        <v>205</v>
      </c>
      <c r="N864" s="15" t="s">
        <v>206</v>
      </c>
      <c r="O864" s="15" t="s">
        <v>44</v>
      </c>
      <c r="P864" s="15" t="s">
        <v>5749</v>
      </c>
      <c r="Q864" s="15" t="s">
        <v>5750</v>
      </c>
      <c r="R864" s="16">
        <v>44329</v>
      </c>
      <c r="S864" s="17" t="s">
        <v>1696</v>
      </c>
      <c r="T864" s="20">
        <f>HYPERLINK("https://vnm.spiral.com.vn//uploaded/20210513/D0EE858D-CA37-41B3-971A-30E209563316.jpg","06:49:59")</f>
      </c>
      <c r="U864" s="20">
        <f>HYPERLINK("https://vnm.spiral.com.vn//uploaded/20210513/B02EC03D-3B14-4A47-A59D-F7C9C2F6D24D.jpg","15:31:14")</f>
      </c>
      <c r="V864" s="18">
        <v>0.3619791666666667</v>
      </c>
      <c r="W864" s="15" t="s">
        <v>5751</v>
      </c>
      <c r="X864" s="15" t="s">
        <v>5752</v>
      </c>
      <c r="Y864" s="15" t="s">
        <v>35</v>
      </c>
      <c r="Z864" s="19">
        <v>0</v>
      </c>
      <c r="AA864" s="15">
        <v>0</v>
      </c>
      <c r="AB864" s="15" t="s">
        <v>35</v>
      </c>
    </row>
    <row r="865">
      <c r="A865" s="15">
        <v>861</v>
      </c>
      <c r="B865" s="15" t="s">
        <v>103</v>
      </c>
      <c r="C865" s="15" t="s">
        <v>1078</v>
      </c>
      <c r="D865" s="15" t="s">
        <v>304</v>
      </c>
      <c r="E865" s="15" t="s">
        <v>305</v>
      </c>
      <c r="F865" s="15" t="s">
        <v>35</v>
      </c>
      <c r="G865" s="15" t="s">
        <v>74</v>
      </c>
      <c r="H865" s="15" t="s">
        <v>5753</v>
      </c>
      <c r="I865" s="15" t="s">
        <v>5754</v>
      </c>
      <c r="J865" s="15" t="s">
        <v>5755</v>
      </c>
      <c r="K865" s="15" t="s">
        <v>436</v>
      </c>
      <c r="L865" s="15" t="s">
        <v>437</v>
      </c>
      <c r="M865" s="15" t="s">
        <v>1429</v>
      </c>
      <c r="N865" s="15" t="s">
        <v>1430</v>
      </c>
      <c r="O865" s="15" t="s">
        <v>156</v>
      </c>
      <c r="P865" s="15" t="s">
        <v>5756</v>
      </c>
      <c r="Q865" s="15" t="s">
        <v>5757</v>
      </c>
      <c r="R865" s="16">
        <v>44329</v>
      </c>
      <c r="S865" s="17" t="s">
        <v>1696</v>
      </c>
      <c r="T865" s="20">
        <f>HYPERLINK("https://vnm.spiral.com.vn//uploaded/20210513/3cd76fdb-c3dc-4d01-94fc-0677b1a142c4.JPEG","06:40:39")</f>
      </c>
      <c r="U865" s="20">
        <f>HYPERLINK("https://vnm.spiral.com.vn//uploaded/20210513/fe4a6358-ecac-414b-a931-2ba18a972c29.JPEG","15:31:13")</f>
      </c>
      <c r="V865" s="18">
        <v>0.36844907407407407</v>
      </c>
      <c r="W865" s="15" t="s">
        <v>5758</v>
      </c>
      <c r="X865" s="15" t="s">
        <v>5759</v>
      </c>
      <c r="Y865" s="15" t="s">
        <v>35</v>
      </c>
      <c r="Z865" s="19">
        <v>0</v>
      </c>
      <c r="AA865" s="15">
        <v>0</v>
      </c>
      <c r="AB865" s="15" t="s">
        <v>35</v>
      </c>
    </row>
    <row r="866">
      <c r="A866" s="15">
        <v>862</v>
      </c>
      <c r="B866" s="15" t="s">
        <v>87</v>
      </c>
      <c r="C866" s="15" t="s">
        <v>88</v>
      </c>
      <c r="D866" s="15" t="s">
        <v>115</v>
      </c>
      <c r="E866" s="15" t="s">
        <v>116</v>
      </c>
      <c r="F866" s="15" t="s">
        <v>35</v>
      </c>
      <c r="G866" s="15" t="s">
        <v>74</v>
      </c>
      <c r="H866" s="15" t="s">
        <v>5760</v>
      </c>
      <c r="I866" s="15" t="s">
        <v>5761</v>
      </c>
      <c r="J866" s="15" t="s">
        <v>5762</v>
      </c>
      <c r="K866" s="15" t="s">
        <v>120</v>
      </c>
      <c r="L866" s="15" t="s">
        <v>121</v>
      </c>
      <c r="M866" s="15" t="s">
        <v>122</v>
      </c>
      <c r="N866" s="15" t="s">
        <v>123</v>
      </c>
      <c r="O866" s="15" t="s">
        <v>82</v>
      </c>
      <c r="P866" s="15" t="s">
        <v>1920</v>
      </c>
      <c r="Q866" s="15" t="s">
        <v>1921</v>
      </c>
      <c r="R866" s="16">
        <v>44329</v>
      </c>
      <c r="S866" s="17" t="s">
        <v>70</v>
      </c>
      <c r="T866" s="20">
        <f>HYPERLINK("https://vnm.spiral.com.vn//uploaded/20210513/e880f6a4-9ebc-469e-8355-42896d67ce0f.JPEG","14:54:52")</f>
      </c>
      <c r="U866" s="20">
        <f>HYPERLINK("https://vnm.spiral.com.vn//uploaded/20210513/c5778fdb-86ca-4102-965f-883b7016ed85.JPEG","15:31:09")</f>
      </c>
      <c r="V866" s="18">
        <v>0.02519675925925926</v>
      </c>
      <c r="W866" s="15" t="s">
        <v>5763</v>
      </c>
      <c r="X866" s="15" t="s">
        <v>5764</v>
      </c>
      <c r="Y866" s="15" t="s">
        <v>35</v>
      </c>
      <c r="Z866" s="19">
        <v>0</v>
      </c>
      <c r="AA866" s="15">
        <v>0</v>
      </c>
      <c r="AB866" s="15" t="s">
        <v>35</v>
      </c>
    </row>
    <row r="867">
      <c r="A867" s="15">
        <v>863</v>
      </c>
      <c r="B867" s="15" t="s">
        <v>61</v>
      </c>
      <c r="C867" s="15" t="s">
        <v>712</v>
      </c>
      <c r="D867" s="15" t="s">
        <v>35</v>
      </c>
      <c r="E867" s="15" t="s">
        <v>35</v>
      </c>
      <c r="F867" s="15" t="s">
        <v>35</v>
      </c>
      <c r="G867" s="15" t="s">
        <v>36</v>
      </c>
      <c r="H867" s="15" t="s">
        <v>5765</v>
      </c>
      <c r="I867" s="15" t="s">
        <v>5766</v>
      </c>
      <c r="J867" s="15" t="s">
        <v>5767</v>
      </c>
      <c r="K867" s="15" t="s">
        <v>40</v>
      </c>
      <c r="L867" s="15" t="s">
        <v>41</v>
      </c>
      <c r="M867" s="15" t="s">
        <v>205</v>
      </c>
      <c r="N867" s="15" t="s">
        <v>206</v>
      </c>
      <c r="O867" s="15" t="s">
        <v>44</v>
      </c>
      <c r="P867" s="15" t="s">
        <v>5768</v>
      </c>
      <c r="Q867" s="15" t="s">
        <v>5769</v>
      </c>
      <c r="R867" s="16">
        <v>44329</v>
      </c>
      <c r="S867" s="17" t="s">
        <v>1696</v>
      </c>
      <c r="T867" s="20">
        <f>HYPERLINK("https://vnm.spiral.com.vn//uploaded/20210513/f5ffb9b3-905c-48fe-bc3e-245e14b0106c.JPEG","06:48:01")</f>
      </c>
      <c r="U867" s="20">
        <f>HYPERLINK("https://vnm.spiral.com.vn//uploaded/20210513/a79cb74f-dcdb-4d14-9a11-961eaa433d12.JPEG","15:31:08")</f>
      </c>
      <c r="V867" s="18">
        <v>0.363275462962963</v>
      </c>
      <c r="W867" s="15" t="s">
        <v>5770</v>
      </c>
      <c r="X867" s="15" t="s">
        <v>5771</v>
      </c>
      <c r="Y867" s="15" t="s">
        <v>35</v>
      </c>
      <c r="Z867" s="19">
        <v>0</v>
      </c>
      <c r="AA867" s="15">
        <v>0</v>
      </c>
      <c r="AB867" s="15" t="s">
        <v>35</v>
      </c>
    </row>
    <row r="868">
      <c r="A868" s="15">
        <v>864</v>
      </c>
      <c r="B868" s="15" t="s">
        <v>103</v>
      </c>
      <c r="C868" s="15" t="s">
        <v>186</v>
      </c>
      <c r="D868" s="15" t="s">
        <v>35</v>
      </c>
      <c r="E868" s="15" t="s">
        <v>35</v>
      </c>
      <c r="F868" s="15" t="s">
        <v>35</v>
      </c>
      <c r="G868" s="15" t="s">
        <v>36</v>
      </c>
      <c r="H868" s="15" t="s">
        <v>5772</v>
      </c>
      <c r="I868" s="15" t="s">
        <v>5773</v>
      </c>
      <c r="J868" s="15" t="s">
        <v>5774</v>
      </c>
      <c r="K868" s="15" t="s">
        <v>40</v>
      </c>
      <c r="L868" s="15" t="s">
        <v>41</v>
      </c>
      <c r="M868" s="15" t="s">
        <v>565</v>
      </c>
      <c r="N868" s="15" t="s">
        <v>566</v>
      </c>
      <c r="O868" s="15" t="s">
        <v>44</v>
      </c>
      <c r="P868" s="15" t="s">
        <v>5775</v>
      </c>
      <c r="Q868" s="15" t="s">
        <v>5776</v>
      </c>
      <c r="R868" s="16">
        <v>44329</v>
      </c>
      <c r="S868" s="17" t="s">
        <v>4912</v>
      </c>
      <c r="T868" s="20">
        <f>HYPERLINK("https://vnm.spiral.com.vn//uploaded/20210513/5CF4DB74-CE77-4408-BB62-BDA9D99BBFED.jpg","15:31:07")</f>
      </c>
      <c r="U868" s="18"/>
      <c r="V868" s="18" t="s">
        <v>35</v>
      </c>
      <c r="W868" s="15" t="s">
        <v>5777</v>
      </c>
      <c r="X868" s="15" t="s">
        <v>35</v>
      </c>
      <c r="Y868" s="15" t="s">
        <v>35</v>
      </c>
      <c r="Z868" s="19">
        <v>0</v>
      </c>
      <c r="AA868" s="15">
        <v>0</v>
      </c>
      <c r="AB868" s="15" t="s">
        <v>35</v>
      </c>
    </row>
    <row r="869">
      <c r="A869" s="15">
        <v>865</v>
      </c>
      <c r="B869" s="15" t="s">
        <v>87</v>
      </c>
      <c r="C869" s="15" t="s">
        <v>88</v>
      </c>
      <c r="D869" s="15" t="s">
        <v>610</v>
      </c>
      <c r="E869" s="15" t="s">
        <v>90</v>
      </c>
      <c r="F869" s="15" t="s">
        <v>35</v>
      </c>
      <c r="G869" s="15" t="s">
        <v>74</v>
      </c>
      <c r="H869" s="15" t="s">
        <v>1766</v>
      </c>
      <c r="I869" s="15" t="s">
        <v>1767</v>
      </c>
      <c r="J869" s="15" t="s">
        <v>1768</v>
      </c>
      <c r="K869" s="15" t="s">
        <v>94</v>
      </c>
      <c r="L869" s="15" t="s">
        <v>95</v>
      </c>
      <c r="M869" s="15" t="s">
        <v>614</v>
      </c>
      <c r="N869" s="15" t="s">
        <v>615</v>
      </c>
      <c r="O869" s="15" t="s">
        <v>98</v>
      </c>
      <c r="P869" s="15" t="s">
        <v>1769</v>
      </c>
      <c r="Q869" s="15" t="s">
        <v>1770</v>
      </c>
      <c r="R869" s="16">
        <v>44329</v>
      </c>
      <c r="S869" s="17" t="s">
        <v>70</v>
      </c>
      <c r="T869" s="20">
        <f>HYPERLINK("https://vnm.spiral.com.vn//uploaded/20210513/349BEEF6-AA2A-48CB-831B-AE0549496F22.jpg","13:51:24")</f>
      </c>
      <c r="U869" s="20">
        <f>HYPERLINK("https://vnm.spiral.com.vn//uploaded/20210513/0AC6AA22-2C90-4E3D-9D56-F8F1CD191B8D.jpg","15:31:03")</f>
      </c>
      <c r="V869" s="18">
        <v>0.0692013888888889</v>
      </c>
      <c r="W869" s="15" t="s">
        <v>5778</v>
      </c>
      <c r="X869" s="15" t="s">
        <v>5779</v>
      </c>
      <c r="Y869" s="15" t="s">
        <v>35</v>
      </c>
      <c r="Z869" s="19">
        <v>0</v>
      </c>
      <c r="AA869" s="15">
        <v>0</v>
      </c>
      <c r="AB869" s="15" t="s">
        <v>35</v>
      </c>
    </row>
    <row r="870">
      <c r="A870" s="15">
        <v>866</v>
      </c>
      <c r="B870" s="15" t="s">
        <v>61</v>
      </c>
      <c r="C870" s="15" t="s">
        <v>303</v>
      </c>
      <c r="D870" s="15" t="s">
        <v>35</v>
      </c>
      <c r="E870" s="15" t="s">
        <v>35</v>
      </c>
      <c r="F870" s="15" t="s">
        <v>35</v>
      </c>
      <c r="G870" s="15" t="s">
        <v>36</v>
      </c>
      <c r="H870" s="15" t="s">
        <v>5780</v>
      </c>
      <c r="I870" s="15" t="s">
        <v>5781</v>
      </c>
      <c r="J870" s="15" t="s">
        <v>5782</v>
      </c>
      <c r="K870" s="15" t="s">
        <v>40</v>
      </c>
      <c r="L870" s="15" t="s">
        <v>41</v>
      </c>
      <c r="M870" s="15" t="s">
        <v>205</v>
      </c>
      <c r="N870" s="15" t="s">
        <v>206</v>
      </c>
      <c r="O870" s="15" t="s">
        <v>44</v>
      </c>
      <c r="P870" s="15" t="s">
        <v>5783</v>
      </c>
      <c r="Q870" s="15" t="s">
        <v>5784</v>
      </c>
      <c r="R870" s="16">
        <v>44329</v>
      </c>
      <c r="S870" s="17" t="s">
        <v>1696</v>
      </c>
      <c r="T870" s="20">
        <f>HYPERLINK("https://vnm.spiral.com.vn//uploaded/20210513/4815870d-c00a-458f-bd05-9800e9b83154.JPEG","06:55:12")</f>
      </c>
      <c r="U870" s="20">
        <f>HYPERLINK("https://vnm.spiral.com.vn//uploaded/20210513/803311f2-e630-4760-9c9b-cb2ef07dd472.JPEG","15:31:00")</f>
      </c>
      <c r="V870" s="18">
        <v>0.3581944444444444</v>
      </c>
      <c r="W870" s="15" t="s">
        <v>5785</v>
      </c>
      <c r="X870" s="15" t="s">
        <v>5786</v>
      </c>
      <c r="Y870" s="15" t="s">
        <v>35</v>
      </c>
      <c r="Z870" s="19">
        <v>0</v>
      </c>
      <c r="AA870" s="15">
        <v>0</v>
      </c>
      <c r="AB870" s="15" t="s">
        <v>35</v>
      </c>
    </row>
    <row r="871">
      <c r="A871" s="15">
        <v>867</v>
      </c>
      <c r="B871" s="15" t="s">
        <v>87</v>
      </c>
      <c r="C871" s="15" t="s">
        <v>88</v>
      </c>
      <c r="D871" s="15" t="s">
        <v>35</v>
      </c>
      <c r="E871" s="15" t="s">
        <v>35</v>
      </c>
      <c r="F871" s="15" t="s">
        <v>35</v>
      </c>
      <c r="G871" s="15" t="s">
        <v>74</v>
      </c>
      <c r="H871" s="15" t="s">
        <v>5787</v>
      </c>
      <c r="I871" s="15" t="s">
        <v>5788</v>
      </c>
      <c r="J871" s="15" t="s">
        <v>5789</v>
      </c>
      <c r="K871" s="15" t="s">
        <v>888</v>
      </c>
      <c r="L871" s="15" t="s">
        <v>889</v>
      </c>
      <c r="M871" s="15" t="s">
        <v>924</v>
      </c>
      <c r="N871" s="15" t="s">
        <v>925</v>
      </c>
      <c r="O871" s="15" t="s">
        <v>82</v>
      </c>
      <c r="P871" s="15" t="s">
        <v>1460</v>
      </c>
      <c r="Q871" s="15" t="s">
        <v>1461</v>
      </c>
      <c r="R871" s="16">
        <v>44329</v>
      </c>
      <c r="S871" s="17" t="s">
        <v>70</v>
      </c>
      <c r="T871" s="20">
        <f>HYPERLINK("https://vnm.spiral.com.vn//uploaded/20210513/94BABF2E-2FC0-42CF-A03E-6702A001CA97.jpg","14:31:54")</f>
      </c>
      <c r="U871" s="20">
        <f>HYPERLINK("https://vnm.spiral.com.vn//uploaded/20210513/A6A2CC77-25FD-45D8-923F-41D58B394ADC.jpg","15:30:50")</f>
      </c>
      <c r="V871" s="18">
        <v>0.04092592592592593</v>
      </c>
      <c r="W871" s="15" t="s">
        <v>5790</v>
      </c>
      <c r="X871" s="15" t="s">
        <v>5791</v>
      </c>
      <c r="Y871" s="15" t="s">
        <v>35</v>
      </c>
      <c r="Z871" s="19">
        <v>0</v>
      </c>
      <c r="AA871" s="15">
        <v>0</v>
      </c>
      <c r="AB871" s="15" t="s">
        <v>35</v>
      </c>
    </row>
    <row r="872">
      <c r="A872" s="15">
        <v>868</v>
      </c>
      <c r="B872" s="15" t="s">
        <v>33</v>
      </c>
      <c r="C872" s="15" t="s">
        <v>2883</v>
      </c>
      <c r="D872" s="15" t="s">
        <v>35</v>
      </c>
      <c r="E872" s="15" t="s">
        <v>35</v>
      </c>
      <c r="F872" s="15" t="s">
        <v>35</v>
      </c>
      <c r="G872" s="15" t="s">
        <v>74</v>
      </c>
      <c r="H872" s="15" t="s">
        <v>5792</v>
      </c>
      <c r="I872" s="15" t="s">
        <v>5793</v>
      </c>
      <c r="J872" s="15" t="s">
        <v>5794</v>
      </c>
      <c r="K872" s="15" t="s">
        <v>540</v>
      </c>
      <c r="L872" s="15" t="s">
        <v>541</v>
      </c>
      <c r="M872" s="15" t="s">
        <v>2887</v>
      </c>
      <c r="N872" s="15" t="s">
        <v>2888</v>
      </c>
      <c r="O872" s="15" t="s">
        <v>98</v>
      </c>
      <c r="P872" s="15" t="s">
        <v>2889</v>
      </c>
      <c r="Q872" s="15" t="s">
        <v>2890</v>
      </c>
      <c r="R872" s="16">
        <v>44329</v>
      </c>
      <c r="S872" s="17" t="s">
        <v>35</v>
      </c>
      <c r="T872" s="20">
        <f>HYPERLINK("https://vnm.spiral.com.vn//uploaded/20210513/6B64212F-BBE0-4133-84C1-537AAA55BAD4.jpg","15:30:40")</f>
      </c>
      <c r="U872" s="18"/>
      <c r="V872" s="18" t="s">
        <v>35</v>
      </c>
      <c r="W872" s="15" t="s">
        <v>5795</v>
      </c>
      <c r="X872" s="15" t="s">
        <v>35</v>
      </c>
      <c r="Y872" s="15" t="s">
        <v>35</v>
      </c>
      <c r="Z872" s="19">
        <v>0</v>
      </c>
      <c r="AA872" s="15">
        <v>0</v>
      </c>
      <c r="AB872" s="15" t="s">
        <v>35</v>
      </c>
    </row>
    <row r="873">
      <c r="A873" s="15">
        <v>869</v>
      </c>
      <c r="B873" s="15" t="s">
        <v>49</v>
      </c>
      <c r="C873" s="15" t="s">
        <v>756</v>
      </c>
      <c r="D873" s="15" t="s">
        <v>135</v>
      </c>
      <c r="E873" s="15" t="s">
        <v>116</v>
      </c>
      <c r="F873" s="15" t="s">
        <v>35</v>
      </c>
      <c r="G873" s="15" t="s">
        <v>74</v>
      </c>
      <c r="H873" s="15" t="s">
        <v>5796</v>
      </c>
      <c r="I873" s="15" t="s">
        <v>5797</v>
      </c>
      <c r="J873" s="15" t="s">
        <v>5798</v>
      </c>
      <c r="K873" s="15" t="s">
        <v>166</v>
      </c>
      <c r="L873" s="15" t="s">
        <v>167</v>
      </c>
      <c r="M873" s="15" t="s">
        <v>168</v>
      </c>
      <c r="N873" s="15" t="s">
        <v>169</v>
      </c>
      <c r="O873" s="15" t="s">
        <v>98</v>
      </c>
      <c r="P873" s="15" t="s">
        <v>2640</v>
      </c>
      <c r="Q873" s="15" t="s">
        <v>2641</v>
      </c>
      <c r="R873" s="16">
        <v>44329</v>
      </c>
      <c r="S873" s="17" t="s">
        <v>70</v>
      </c>
      <c r="T873" s="20">
        <f>HYPERLINK("https://vnm.spiral.com.vn//uploaded/20210513/bed5c78c-8786-4ef8-a57f-780bb1c5e0d2.JPEG","14:59:14")</f>
      </c>
      <c r="U873" s="20">
        <f>HYPERLINK("https://vnm.spiral.com.vn//uploaded/20210513/0b0b9a69-d0dd-4ef3-8339-daee2a60a1f1.JPEG","15:30:22")</f>
      </c>
      <c r="V873" s="18">
        <v>0.02162037037037037</v>
      </c>
      <c r="W873" s="15" t="s">
        <v>5799</v>
      </c>
      <c r="X873" s="15" t="s">
        <v>5800</v>
      </c>
      <c r="Y873" s="15" t="s">
        <v>35</v>
      </c>
      <c r="Z873" s="19">
        <v>0</v>
      </c>
      <c r="AA873" s="15">
        <v>0</v>
      </c>
      <c r="AB873" s="15" t="s">
        <v>35</v>
      </c>
    </row>
    <row r="874">
      <c r="A874" s="15">
        <v>870</v>
      </c>
      <c r="B874" s="15" t="s">
        <v>103</v>
      </c>
      <c r="C874" s="15" t="s">
        <v>186</v>
      </c>
      <c r="D874" s="15" t="s">
        <v>35</v>
      </c>
      <c r="E874" s="15" t="s">
        <v>35</v>
      </c>
      <c r="F874" s="15" t="s">
        <v>35</v>
      </c>
      <c r="G874" s="15" t="s">
        <v>36</v>
      </c>
      <c r="H874" s="15" t="s">
        <v>5801</v>
      </c>
      <c r="I874" s="15" t="s">
        <v>5802</v>
      </c>
      <c r="J874" s="15" t="s">
        <v>5803</v>
      </c>
      <c r="K874" s="15" t="s">
        <v>40</v>
      </c>
      <c r="L874" s="15" t="s">
        <v>41</v>
      </c>
      <c r="M874" s="15" t="s">
        <v>565</v>
      </c>
      <c r="N874" s="15" t="s">
        <v>566</v>
      </c>
      <c r="O874" s="15" t="s">
        <v>44</v>
      </c>
      <c r="P874" s="15" t="s">
        <v>5804</v>
      </c>
      <c r="Q874" s="15" t="s">
        <v>5805</v>
      </c>
      <c r="R874" s="16">
        <v>44329</v>
      </c>
      <c r="S874" s="17" t="s">
        <v>4912</v>
      </c>
      <c r="T874" s="20">
        <f>HYPERLINK("https://vnm.spiral.com.vn//uploaded/20210513/01350F13-5E50-4E80-A2B9-D8A720DAD069.jpg","15:30:21")</f>
      </c>
      <c r="U874" s="18"/>
      <c r="V874" s="18" t="s">
        <v>35</v>
      </c>
      <c r="W874" s="15" t="s">
        <v>5806</v>
      </c>
      <c r="X874" s="15" t="s">
        <v>35</v>
      </c>
      <c r="Y874" s="15" t="s">
        <v>35</v>
      </c>
      <c r="Z874" s="19">
        <v>0</v>
      </c>
      <c r="AA874" s="15">
        <v>0</v>
      </c>
      <c r="AB874" s="15" t="s">
        <v>35</v>
      </c>
    </row>
    <row r="875">
      <c r="A875" s="15">
        <v>871</v>
      </c>
      <c r="B875" s="15" t="s">
        <v>87</v>
      </c>
      <c r="C875" s="15" t="s">
        <v>88</v>
      </c>
      <c r="D875" s="15" t="s">
        <v>115</v>
      </c>
      <c r="E875" s="15" t="s">
        <v>116</v>
      </c>
      <c r="F875" s="15" t="s">
        <v>35</v>
      </c>
      <c r="G875" s="15" t="s">
        <v>74</v>
      </c>
      <c r="H875" s="15" t="s">
        <v>5807</v>
      </c>
      <c r="I875" s="15" t="s">
        <v>5808</v>
      </c>
      <c r="J875" s="15" t="s">
        <v>5809</v>
      </c>
      <c r="K875" s="15" t="s">
        <v>120</v>
      </c>
      <c r="L875" s="15" t="s">
        <v>121</v>
      </c>
      <c r="M875" s="15" t="s">
        <v>122</v>
      </c>
      <c r="N875" s="15" t="s">
        <v>123</v>
      </c>
      <c r="O875" s="15" t="s">
        <v>82</v>
      </c>
      <c r="P875" s="15" t="s">
        <v>2677</v>
      </c>
      <c r="Q875" s="15" t="s">
        <v>2678</v>
      </c>
      <c r="R875" s="16">
        <v>44329</v>
      </c>
      <c r="S875" s="17" t="s">
        <v>70</v>
      </c>
      <c r="T875" s="20">
        <f>HYPERLINK("https://vnm.spiral.com.vn//uploaded/20210513/5f51e4c2-d6a9-4b8b-9506-cf764804246c.jpg","14:00:19")</f>
      </c>
      <c r="U875" s="20">
        <f>HYPERLINK("https://vnm.spiral.com.vn//uploaded/20210513/f702fab5-7592-4ba4-9952-515bba4f6140.jpg","15:30:17")</f>
      </c>
      <c r="V875" s="18">
        <v>0.06247685185185185</v>
      </c>
      <c r="W875" s="15" t="s">
        <v>5810</v>
      </c>
      <c r="X875" s="15" t="s">
        <v>5811</v>
      </c>
      <c r="Y875" s="15" t="s">
        <v>35</v>
      </c>
      <c r="Z875" s="19">
        <v>0</v>
      </c>
      <c r="AA875" s="15">
        <v>0</v>
      </c>
      <c r="AB875" s="15" t="s">
        <v>35</v>
      </c>
    </row>
    <row r="876">
      <c r="A876" s="15">
        <v>872</v>
      </c>
      <c r="B876" s="15" t="s">
        <v>87</v>
      </c>
      <c r="C876" s="15" t="s">
        <v>88</v>
      </c>
      <c r="D876" s="15" t="s">
        <v>135</v>
      </c>
      <c r="E876" s="15" t="s">
        <v>116</v>
      </c>
      <c r="F876" s="15" t="s">
        <v>35</v>
      </c>
      <c r="G876" s="15" t="s">
        <v>74</v>
      </c>
      <c r="H876" s="15" t="s">
        <v>5812</v>
      </c>
      <c r="I876" s="15" t="s">
        <v>5813</v>
      </c>
      <c r="J876" s="15" t="s">
        <v>5814</v>
      </c>
      <c r="K876" s="15" t="s">
        <v>139</v>
      </c>
      <c r="L876" s="15" t="s">
        <v>140</v>
      </c>
      <c r="M876" s="15" t="s">
        <v>530</v>
      </c>
      <c r="N876" s="15" t="s">
        <v>531</v>
      </c>
      <c r="O876" s="15" t="s">
        <v>82</v>
      </c>
      <c r="P876" s="15" t="s">
        <v>1453</v>
      </c>
      <c r="Q876" s="15" t="s">
        <v>1454</v>
      </c>
      <c r="R876" s="16">
        <v>44329</v>
      </c>
      <c r="S876" s="17" t="s">
        <v>70</v>
      </c>
      <c r="T876" s="20">
        <f>HYPERLINK("https://vnm.spiral.com.vn//uploaded/20210513/487d633c-1677-453d-8432-b0062aa277f1.JPEG","14:20:51")</f>
      </c>
      <c r="U876" s="20">
        <f>HYPERLINK("https://vnm.spiral.com.vn//uploaded/20210513/2721d25a-86a2-498d-8d41-9973bc12fb37.JPEG","15:29:25")</f>
      </c>
      <c r="V876" s="18">
        <v>0.04761574074074074</v>
      </c>
      <c r="W876" s="15" t="s">
        <v>5815</v>
      </c>
      <c r="X876" s="15" t="s">
        <v>5816</v>
      </c>
      <c r="Y876" s="15" t="s">
        <v>35</v>
      </c>
      <c r="Z876" s="19">
        <v>0</v>
      </c>
      <c r="AA876" s="15">
        <v>0</v>
      </c>
      <c r="AB876" s="15" t="s">
        <v>35</v>
      </c>
    </row>
    <row r="877">
      <c r="A877" s="15">
        <v>873</v>
      </c>
      <c r="B877" s="15" t="s">
        <v>103</v>
      </c>
      <c r="C877" s="15" t="s">
        <v>186</v>
      </c>
      <c r="D877" s="15" t="s">
        <v>35</v>
      </c>
      <c r="E877" s="15" t="s">
        <v>35</v>
      </c>
      <c r="F877" s="15" t="s">
        <v>35</v>
      </c>
      <c r="G877" s="15" t="s">
        <v>36</v>
      </c>
      <c r="H877" s="15" t="s">
        <v>5817</v>
      </c>
      <c r="I877" s="15" t="s">
        <v>5818</v>
      </c>
      <c r="J877" s="15" t="s">
        <v>5819</v>
      </c>
      <c r="K877" s="15" t="s">
        <v>40</v>
      </c>
      <c r="L877" s="15" t="s">
        <v>41</v>
      </c>
      <c r="M877" s="15" t="s">
        <v>565</v>
      </c>
      <c r="N877" s="15" t="s">
        <v>566</v>
      </c>
      <c r="O877" s="15" t="s">
        <v>44</v>
      </c>
      <c r="P877" s="15" t="s">
        <v>5820</v>
      </c>
      <c r="Q877" s="15" t="s">
        <v>5821</v>
      </c>
      <c r="R877" s="16">
        <v>44329</v>
      </c>
      <c r="S877" s="17" t="s">
        <v>4912</v>
      </c>
      <c r="T877" s="20">
        <f>HYPERLINK("https://vnm.spiral.com.vn//uploaded/20210513/E1F963DB-8F6B-4847-A85C-2170CB23BB17.jpg","15:29:24")</f>
      </c>
      <c r="U877" s="18"/>
      <c r="V877" s="18" t="s">
        <v>35</v>
      </c>
      <c r="W877" s="15" t="s">
        <v>5822</v>
      </c>
      <c r="X877" s="15" t="s">
        <v>35</v>
      </c>
      <c r="Y877" s="15" t="s">
        <v>35</v>
      </c>
      <c r="Z877" s="19">
        <v>0</v>
      </c>
      <c r="AA877" s="15">
        <v>0</v>
      </c>
      <c r="AB877" s="15" t="s">
        <v>35</v>
      </c>
    </row>
    <row r="878">
      <c r="A878" s="15">
        <v>874</v>
      </c>
      <c r="B878" s="15" t="s">
        <v>33</v>
      </c>
      <c r="C878" s="15" t="s">
        <v>2883</v>
      </c>
      <c r="D878" s="15" t="s">
        <v>35</v>
      </c>
      <c r="E878" s="15" t="s">
        <v>35</v>
      </c>
      <c r="F878" s="15" t="s">
        <v>35</v>
      </c>
      <c r="G878" s="15" t="s">
        <v>74</v>
      </c>
      <c r="H878" s="15" t="s">
        <v>5823</v>
      </c>
      <c r="I878" s="15" t="s">
        <v>5824</v>
      </c>
      <c r="J878" s="15" t="s">
        <v>5825</v>
      </c>
      <c r="K878" s="15" t="s">
        <v>540</v>
      </c>
      <c r="L878" s="15" t="s">
        <v>541</v>
      </c>
      <c r="M878" s="15" t="s">
        <v>2887</v>
      </c>
      <c r="N878" s="15" t="s">
        <v>2888</v>
      </c>
      <c r="O878" s="15" t="s">
        <v>98</v>
      </c>
      <c r="P878" s="15" t="s">
        <v>2889</v>
      </c>
      <c r="Q878" s="15" t="s">
        <v>2890</v>
      </c>
      <c r="R878" s="16">
        <v>44329</v>
      </c>
      <c r="S878" s="17" t="s">
        <v>35</v>
      </c>
      <c r="T878" s="20">
        <f>HYPERLINK("https://vnm.spiral.com.vn//uploaded/20210513/907A2B9C-BF7B-4E21-949A-DEC0D8608704.jpg","11:38:42")</f>
      </c>
      <c r="U878" s="20">
        <f>HYPERLINK("https://vnm.spiral.com.vn//uploaded/20210513/FF6F343A-C72F-4242-86FF-580A23A6A571.jpg","15:29:20")</f>
      </c>
      <c r="V878" s="18">
        <v>0.16016203703703705</v>
      </c>
      <c r="W878" s="15" t="s">
        <v>5826</v>
      </c>
      <c r="X878" s="15" t="s">
        <v>5827</v>
      </c>
      <c r="Y878" s="15" t="s">
        <v>35</v>
      </c>
      <c r="Z878" s="19">
        <v>0</v>
      </c>
      <c r="AA878" s="15">
        <v>0</v>
      </c>
      <c r="AB878" s="15" t="s">
        <v>35</v>
      </c>
    </row>
    <row r="879">
      <c r="A879" s="15">
        <v>875</v>
      </c>
      <c r="B879" s="15" t="s">
        <v>343</v>
      </c>
      <c r="C879" s="15" t="s">
        <v>2135</v>
      </c>
      <c r="D879" s="15" t="s">
        <v>357</v>
      </c>
      <c r="E879" s="15" t="s">
        <v>90</v>
      </c>
      <c r="F879" s="15" t="s">
        <v>35</v>
      </c>
      <c r="G879" s="15" t="s">
        <v>74</v>
      </c>
      <c r="H879" s="15" t="s">
        <v>5828</v>
      </c>
      <c r="I879" s="15" t="s">
        <v>5829</v>
      </c>
      <c r="J879" s="15" t="s">
        <v>5830</v>
      </c>
      <c r="K879" s="15" t="s">
        <v>1168</v>
      </c>
      <c r="L879" s="15" t="s">
        <v>1169</v>
      </c>
      <c r="M879" s="15" t="s">
        <v>1170</v>
      </c>
      <c r="N879" s="15" t="s">
        <v>1171</v>
      </c>
      <c r="O879" s="15" t="s">
        <v>156</v>
      </c>
      <c r="P879" s="15" t="s">
        <v>5063</v>
      </c>
      <c r="Q879" s="15" t="s">
        <v>5064</v>
      </c>
      <c r="R879" s="16">
        <v>44329</v>
      </c>
      <c r="S879" s="17" t="s">
        <v>159</v>
      </c>
      <c r="T879" s="20">
        <f>HYPERLINK("https://vnm.spiral.com.vn//uploaded/20210513/50DD0403-4D20-4A91-BF18-F3D893C85221.jpg","07:01:49")</f>
      </c>
      <c r="U879" s="20">
        <f>HYPERLINK("https://vnm.spiral.com.vn//uploaded/20210513/E478372A-1F97-4541-AD95-DA8DEE8CDB52.jpg","15:29:19")</f>
      </c>
      <c r="V879" s="18">
        <v>0.3524305555555556</v>
      </c>
      <c r="W879" s="15" t="s">
        <v>5831</v>
      </c>
      <c r="X879" s="15" t="s">
        <v>5832</v>
      </c>
      <c r="Y879" s="15" t="s">
        <v>35</v>
      </c>
      <c r="Z879" s="19">
        <v>0</v>
      </c>
      <c r="AA879" s="15">
        <v>0</v>
      </c>
      <c r="AB879" s="15" t="s">
        <v>35</v>
      </c>
    </row>
    <row r="880">
      <c r="A880" s="15">
        <v>876</v>
      </c>
      <c r="B880" s="15" t="s">
        <v>49</v>
      </c>
      <c r="C880" s="15" t="s">
        <v>756</v>
      </c>
      <c r="D880" s="15" t="s">
        <v>35</v>
      </c>
      <c r="E880" s="15" t="s">
        <v>35</v>
      </c>
      <c r="F880" s="15" t="s">
        <v>4536</v>
      </c>
      <c r="G880" s="15" t="s">
        <v>36</v>
      </c>
      <c r="H880" s="15" t="s">
        <v>5833</v>
      </c>
      <c r="I880" s="15" t="s">
        <v>5834</v>
      </c>
      <c r="J880" s="15" t="s">
        <v>5835</v>
      </c>
      <c r="K880" s="15" t="s">
        <v>40</v>
      </c>
      <c r="L880" s="15" t="s">
        <v>41</v>
      </c>
      <c r="M880" s="15" t="s">
        <v>55</v>
      </c>
      <c r="N880" s="15" t="s">
        <v>56</v>
      </c>
      <c r="O880" s="15" t="s">
        <v>44</v>
      </c>
      <c r="P880" s="15" t="s">
        <v>5836</v>
      </c>
      <c r="Q880" s="15" t="s">
        <v>5837</v>
      </c>
      <c r="R880" s="16">
        <v>44329</v>
      </c>
      <c r="S880" s="17" t="s">
        <v>4912</v>
      </c>
      <c r="T880" s="20">
        <f>HYPERLINK("https://vnm.spiral.com.vn//uploaded/20210513/c68819d3-7d3f-41d7-97f1-678b329fd27e.JPEG","15:29:18")</f>
      </c>
      <c r="U880" s="18"/>
      <c r="V880" s="18" t="s">
        <v>35</v>
      </c>
      <c r="W880" s="15" t="s">
        <v>5838</v>
      </c>
      <c r="X880" s="15" t="s">
        <v>35</v>
      </c>
      <c r="Y880" s="15" t="s">
        <v>35</v>
      </c>
      <c r="Z880" s="19">
        <v>0</v>
      </c>
      <c r="AA880" s="15">
        <v>0</v>
      </c>
      <c r="AB880" s="15" t="s">
        <v>35</v>
      </c>
    </row>
    <row r="881">
      <c r="A881" s="15">
        <v>877</v>
      </c>
      <c r="B881" s="15" t="s">
        <v>49</v>
      </c>
      <c r="C881" s="15" t="s">
        <v>369</v>
      </c>
      <c r="D881" s="15" t="s">
        <v>432</v>
      </c>
      <c r="E881" s="15" t="s">
        <v>116</v>
      </c>
      <c r="F881" s="15" t="s">
        <v>35</v>
      </c>
      <c r="G881" s="15" t="s">
        <v>74</v>
      </c>
      <c r="H881" s="15" t="s">
        <v>5839</v>
      </c>
      <c r="I881" s="15" t="s">
        <v>5840</v>
      </c>
      <c r="J881" s="15" t="s">
        <v>5841</v>
      </c>
      <c r="K881" s="15" t="s">
        <v>166</v>
      </c>
      <c r="L881" s="15" t="s">
        <v>167</v>
      </c>
      <c r="M881" s="15" t="s">
        <v>168</v>
      </c>
      <c r="N881" s="15" t="s">
        <v>169</v>
      </c>
      <c r="O881" s="15" t="s">
        <v>82</v>
      </c>
      <c r="P881" s="15" t="s">
        <v>5228</v>
      </c>
      <c r="Q881" s="15" t="s">
        <v>5229</v>
      </c>
      <c r="R881" s="16">
        <v>44329</v>
      </c>
      <c r="S881" s="17" t="s">
        <v>70</v>
      </c>
      <c r="T881" s="20">
        <f>HYPERLINK("https://vnm.spiral.com.vn//uploaded/20210513/BDD88D58-4794-4ADE-B8BA-8CC9432E6F22.jpg","14:36:21")</f>
      </c>
      <c r="U881" s="20">
        <f>HYPERLINK("https://vnm.spiral.com.vn//uploaded/20210513/B3BEA924-2871-4E04-954D-4F6C21CED72A.jpg","15:29:17")</f>
      </c>
      <c r="V881" s="18">
        <v>0.03675925925925926</v>
      </c>
      <c r="W881" s="15" t="s">
        <v>5842</v>
      </c>
      <c r="X881" s="15" t="s">
        <v>5843</v>
      </c>
      <c r="Y881" s="15" t="s">
        <v>35</v>
      </c>
      <c r="Z881" s="19">
        <v>0</v>
      </c>
      <c r="AA881" s="15">
        <v>0</v>
      </c>
      <c r="AB881" s="15" t="s">
        <v>35</v>
      </c>
    </row>
    <row r="882">
      <c r="A882" s="15">
        <v>878</v>
      </c>
      <c r="B882" s="15" t="s">
        <v>87</v>
      </c>
      <c r="C882" s="15" t="s">
        <v>88</v>
      </c>
      <c r="D882" s="15" t="s">
        <v>135</v>
      </c>
      <c r="E882" s="15" t="s">
        <v>116</v>
      </c>
      <c r="F882" s="15" t="s">
        <v>35</v>
      </c>
      <c r="G882" s="15" t="s">
        <v>74</v>
      </c>
      <c r="H882" s="15" t="s">
        <v>5844</v>
      </c>
      <c r="I882" s="15" t="s">
        <v>5845</v>
      </c>
      <c r="J882" s="15" t="s">
        <v>5846</v>
      </c>
      <c r="K882" s="15" t="s">
        <v>390</v>
      </c>
      <c r="L882" s="15" t="s">
        <v>391</v>
      </c>
      <c r="M882" s="15" t="s">
        <v>392</v>
      </c>
      <c r="N882" s="15" t="s">
        <v>393</v>
      </c>
      <c r="O882" s="15" t="s">
        <v>82</v>
      </c>
      <c r="P882" s="15" t="s">
        <v>1265</v>
      </c>
      <c r="Q882" s="15" t="s">
        <v>1266</v>
      </c>
      <c r="R882" s="16">
        <v>44329</v>
      </c>
      <c r="S882" s="17" t="s">
        <v>70</v>
      </c>
      <c r="T882" s="20">
        <f>HYPERLINK("https://vnm.spiral.com.vn//uploaded/20210513/cf9f68ee-77e4-436b-a58f-7b064e330ae2.JPEG","14:16:12")</f>
      </c>
      <c r="U882" s="20">
        <f>HYPERLINK("https://vnm.spiral.com.vn//uploaded/20210513/dc05d621-6df8-4c81-b572-c97334c80a70.JPEG","15:29:10")</f>
      </c>
      <c r="V882" s="18">
        <v>0.0506712962962963</v>
      </c>
      <c r="W882" s="15" t="s">
        <v>5847</v>
      </c>
      <c r="X882" s="15" t="s">
        <v>5848</v>
      </c>
      <c r="Y882" s="15" t="s">
        <v>35</v>
      </c>
      <c r="Z882" s="19">
        <v>0</v>
      </c>
      <c r="AA882" s="15">
        <v>0</v>
      </c>
      <c r="AB882" s="15" t="s">
        <v>35</v>
      </c>
    </row>
    <row r="883">
      <c r="A883" s="15">
        <v>879</v>
      </c>
      <c r="B883" s="15" t="s">
        <v>343</v>
      </c>
      <c r="C883" s="15" t="s">
        <v>344</v>
      </c>
      <c r="D883" s="15" t="s">
        <v>345</v>
      </c>
      <c r="E883" s="15" t="s">
        <v>90</v>
      </c>
      <c r="F883" s="15" t="s">
        <v>35</v>
      </c>
      <c r="G883" s="15" t="s">
        <v>74</v>
      </c>
      <c r="H883" s="15" t="s">
        <v>5849</v>
      </c>
      <c r="I883" s="15" t="s">
        <v>5850</v>
      </c>
      <c r="J883" s="15" t="s">
        <v>5851</v>
      </c>
      <c r="K883" s="15" t="s">
        <v>349</v>
      </c>
      <c r="L883" s="15" t="s">
        <v>350</v>
      </c>
      <c r="M883" s="15" t="s">
        <v>351</v>
      </c>
      <c r="N883" s="15" t="s">
        <v>352</v>
      </c>
      <c r="O883" s="15" t="s">
        <v>82</v>
      </c>
      <c r="P883" s="15" t="s">
        <v>353</v>
      </c>
      <c r="Q883" s="15" t="s">
        <v>354</v>
      </c>
      <c r="R883" s="16">
        <v>44329</v>
      </c>
      <c r="S883" s="17" t="s">
        <v>70</v>
      </c>
      <c r="T883" s="20">
        <f>HYPERLINK("https://vnm.spiral.com.vn//uploaded/20210513/4CABA579-4C01-45C5-97EB-D1CC238D46FE.jpg","08:00:26")</f>
      </c>
      <c r="U883" s="20">
        <f>HYPERLINK("https://vnm.spiral.com.vn//uploaded/20210513/08BCA14E-BE70-4C2A-BAE5-E45477A96E39.jpg","15:29:05")</f>
      </c>
      <c r="V883" s="18">
        <v>0.3115625</v>
      </c>
      <c r="W883" s="15" t="s">
        <v>5852</v>
      </c>
      <c r="X883" s="15" t="s">
        <v>5853</v>
      </c>
      <c r="Y883" s="15" t="s">
        <v>35</v>
      </c>
      <c r="Z883" s="19">
        <v>0</v>
      </c>
      <c r="AA883" s="15">
        <v>0</v>
      </c>
      <c r="AB883" s="15" t="s">
        <v>35</v>
      </c>
    </row>
    <row r="884">
      <c r="A884" s="15">
        <v>880</v>
      </c>
      <c r="B884" s="15" t="s">
        <v>87</v>
      </c>
      <c r="C884" s="15" t="s">
        <v>88</v>
      </c>
      <c r="D884" s="15" t="s">
        <v>432</v>
      </c>
      <c r="E884" s="15" t="s">
        <v>116</v>
      </c>
      <c r="F884" s="15" t="s">
        <v>35</v>
      </c>
      <c r="G884" s="15" t="s">
        <v>74</v>
      </c>
      <c r="H884" s="15" t="s">
        <v>5854</v>
      </c>
      <c r="I884" s="15" t="s">
        <v>5855</v>
      </c>
      <c r="J884" s="15" t="s">
        <v>5856</v>
      </c>
      <c r="K884" s="15" t="s">
        <v>625</v>
      </c>
      <c r="L884" s="15" t="s">
        <v>626</v>
      </c>
      <c r="M884" s="15" t="s">
        <v>1022</v>
      </c>
      <c r="N884" s="15" t="s">
        <v>1023</v>
      </c>
      <c r="O884" s="15" t="s">
        <v>82</v>
      </c>
      <c r="P884" s="15" t="s">
        <v>1024</v>
      </c>
      <c r="Q884" s="15" t="s">
        <v>1025</v>
      </c>
      <c r="R884" s="16">
        <v>44329</v>
      </c>
      <c r="S884" s="17" t="s">
        <v>70</v>
      </c>
      <c r="T884" s="20">
        <f>HYPERLINK("https://vnm.spiral.com.vn//uploaded/20210513/97D65828-83F2-46D3-9A2F-C16B3D22CD47.jpg","13:44:38")</f>
      </c>
      <c r="U884" s="20">
        <f>HYPERLINK("https://vnm.spiral.com.vn//uploaded/20210513/4F9491E8-915B-4EE0-BFC5-6445E3858E98.jpg","15:28:46")</f>
      </c>
      <c r="V884" s="18">
        <v>0.07231481481481482</v>
      </c>
      <c r="W884" s="15" t="s">
        <v>5857</v>
      </c>
      <c r="X884" s="15" t="s">
        <v>5858</v>
      </c>
      <c r="Y884" s="15" t="s">
        <v>35</v>
      </c>
      <c r="Z884" s="19">
        <v>0</v>
      </c>
      <c r="AA884" s="15">
        <v>0</v>
      </c>
      <c r="AB884" s="15" t="s">
        <v>35</v>
      </c>
    </row>
    <row r="885">
      <c r="A885" s="15">
        <v>881</v>
      </c>
      <c r="B885" s="15" t="s">
        <v>246</v>
      </c>
      <c r="C885" s="15" t="s">
        <v>782</v>
      </c>
      <c r="D885" s="15" t="s">
        <v>35</v>
      </c>
      <c r="E885" s="15" t="s">
        <v>35</v>
      </c>
      <c r="F885" s="15" t="s">
        <v>5859</v>
      </c>
      <c r="G885" s="15" t="s">
        <v>36</v>
      </c>
      <c r="H885" s="15" t="s">
        <v>5860</v>
      </c>
      <c r="I885" s="15" t="s">
        <v>5861</v>
      </c>
      <c r="J885" s="15" t="s">
        <v>5862</v>
      </c>
      <c r="K885" s="15" t="s">
        <v>40</v>
      </c>
      <c r="L885" s="15" t="s">
        <v>41</v>
      </c>
      <c r="M885" s="15" t="s">
        <v>252</v>
      </c>
      <c r="N885" s="15" t="s">
        <v>253</v>
      </c>
      <c r="O885" s="15" t="s">
        <v>44</v>
      </c>
      <c r="P885" s="15" t="s">
        <v>5863</v>
      </c>
      <c r="Q885" s="15" t="s">
        <v>5864</v>
      </c>
      <c r="R885" s="16">
        <v>44329</v>
      </c>
      <c r="S885" s="17" t="s">
        <v>4912</v>
      </c>
      <c r="T885" s="20">
        <f>HYPERLINK("https://vnm.spiral.com.vn//uploaded/20210513/f64b09c4-357e-4e8c-8811-4d8a34d3a85f.JPEG","15:28:30")</f>
      </c>
      <c r="U885" s="18"/>
      <c r="V885" s="18" t="s">
        <v>35</v>
      </c>
      <c r="W885" s="15" t="s">
        <v>5865</v>
      </c>
      <c r="X885" s="15" t="s">
        <v>35</v>
      </c>
      <c r="Y885" s="15" t="s">
        <v>35</v>
      </c>
      <c r="Z885" s="19">
        <v>0</v>
      </c>
      <c r="AA885" s="15">
        <v>0</v>
      </c>
      <c r="AB885" s="15" t="s">
        <v>35</v>
      </c>
    </row>
    <row r="886">
      <c r="A886" s="15">
        <v>882</v>
      </c>
      <c r="B886" s="15" t="s">
        <v>87</v>
      </c>
      <c r="C886" s="15" t="s">
        <v>88</v>
      </c>
      <c r="D886" s="15" t="s">
        <v>35</v>
      </c>
      <c r="E886" s="15" t="s">
        <v>35</v>
      </c>
      <c r="F886" s="15" t="s">
        <v>2789</v>
      </c>
      <c r="G886" s="15" t="s">
        <v>36</v>
      </c>
      <c r="H886" s="15" t="s">
        <v>5866</v>
      </c>
      <c r="I886" s="15" t="s">
        <v>5867</v>
      </c>
      <c r="J886" s="15" t="s">
        <v>5868</v>
      </c>
      <c r="K886" s="15" t="s">
        <v>40</v>
      </c>
      <c r="L886" s="15" t="s">
        <v>41</v>
      </c>
      <c r="M886" s="15" t="s">
        <v>289</v>
      </c>
      <c r="N886" s="15" t="s">
        <v>290</v>
      </c>
      <c r="O886" s="15" t="s">
        <v>44</v>
      </c>
      <c r="P886" s="15" t="s">
        <v>5869</v>
      </c>
      <c r="Q886" s="15" t="s">
        <v>5870</v>
      </c>
      <c r="R886" s="16">
        <v>44329</v>
      </c>
      <c r="S886" s="17" t="s">
        <v>5871</v>
      </c>
      <c r="T886" s="20">
        <f>HYPERLINK("https://vnm.spiral.com.vn//uploaded/20210513/1CCD9ED2-DBCB-4673-9BD6-4B04701571AE.jpg","15:28:03")</f>
      </c>
      <c r="U886" s="18"/>
      <c r="V886" s="18" t="s">
        <v>35</v>
      </c>
      <c r="W886" s="15" t="s">
        <v>5872</v>
      </c>
      <c r="X886" s="15" t="s">
        <v>35</v>
      </c>
      <c r="Y886" s="15" t="s">
        <v>35</v>
      </c>
      <c r="Z886" s="19">
        <v>0</v>
      </c>
      <c r="AA886" s="15">
        <v>0</v>
      </c>
      <c r="AB886" s="15" t="s">
        <v>35</v>
      </c>
    </row>
    <row r="887">
      <c r="A887" s="15">
        <v>883</v>
      </c>
      <c r="B887" s="15" t="s">
        <v>343</v>
      </c>
      <c r="C887" s="15" t="s">
        <v>2069</v>
      </c>
      <c r="D887" s="15" t="s">
        <v>35</v>
      </c>
      <c r="E887" s="15" t="s">
        <v>35</v>
      </c>
      <c r="F887" s="15" t="s">
        <v>5873</v>
      </c>
      <c r="G887" s="15" t="s">
        <v>36</v>
      </c>
      <c r="H887" s="15" t="s">
        <v>5874</v>
      </c>
      <c r="I887" s="15" t="s">
        <v>5875</v>
      </c>
      <c r="J887" s="15" t="s">
        <v>5876</v>
      </c>
      <c r="K887" s="15" t="s">
        <v>40</v>
      </c>
      <c r="L887" s="15" t="s">
        <v>41</v>
      </c>
      <c r="M887" s="15" t="s">
        <v>595</v>
      </c>
      <c r="N887" s="15" t="s">
        <v>596</v>
      </c>
      <c r="O887" s="15" t="s">
        <v>44</v>
      </c>
      <c r="P887" s="15" t="s">
        <v>5877</v>
      </c>
      <c r="Q887" s="15" t="s">
        <v>5878</v>
      </c>
      <c r="R887" s="16">
        <v>44329</v>
      </c>
      <c r="S887" s="17" t="s">
        <v>35</v>
      </c>
      <c r="T887" s="20">
        <f>HYPERLINK("https://vnm.spiral.com.vn//uploaded/20210513/730DA8B0-2188-451B-8E34-C5C588C0683A.jpg","11:13:11")</f>
      </c>
      <c r="U887" s="20">
        <f>HYPERLINK("https://vnm.spiral.com.vn//uploaded/20210513/76FC76C1-55AF-40D6-AFE3-68A34AD7878B.jpg","15:28:02")</f>
      </c>
      <c r="V887" s="18">
        <v>0.17697916666666666</v>
      </c>
      <c r="W887" s="15" t="s">
        <v>5879</v>
      </c>
      <c r="X887" s="15" t="s">
        <v>5880</v>
      </c>
      <c r="Y887" s="15" t="s">
        <v>35</v>
      </c>
      <c r="Z887" s="19">
        <v>0</v>
      </c>
      <c r="AA887" s="15">
        <v>0</v>
      </c>
      <c r="AB887" s="15" t="s">
        <v>35</v>
      </c>
    </row>
    <row r="888">
      <c r="A888" s="15">
        <v>884</v>
      </c>
      <c r="B888" s="15" t="s">
        <v>343</v>
      </c>
      <c r="C888" s="15" t="s">
        <v>344</v>
      </c>
      <c r="D888" s="15" t="s">
        <v>357</v>
      </c>
      <c r="E888" s="15" t="s">
        <v>90</v>
      </c>
      <c r="F888" s="15" t="s">
        <v>35</v>
      </c>
      <c r="G888" s="15" t="s">
        <v>74</v>
      </c>
      <c r="H888" s="15" t="s">
        <v>1780</v>
      </c>
      <c r="I888" s="15" t="s">
        <v>1781</v>
      </c>
      <c r="J888" s="15" t="s">
        <v>1782</v>
      </c>
      <c r="K888" s="15" t="s">
        <v>915</v>
      </c>
      <c r="L888" s="15" t="s">
        <v>916</v>
      </c>
      <c r="M888" s="15" t="s">
        <v>361</v>
      </c>
      <c r="N888" s="15" t="s">
        <v>362</v>
      </c>
      <c r="O888" s="15" t="s">
        <v>98</v>
      </c>
      <c r="P888" s="15" t="s">
        <v>917</v>
      </c>
      <c r="Q888" s="15" t="s">
        <v>918</v>
      </c>
      <c r="R888" s="16">
        <v>44329</v>
      </c>
      <c r="S888" s="17" t="s">
        <v>70</v>
      </c>
      <c r="T888" s="20">
        <f>HYPERLINK("https://vnm.spiral.com.vn//uploaded/20210513/C52F820E-5FED-4F7A-840E-10C61C3BB5A4.jpg","08:00:16")</f>
      </c>
      <c r="U888" s="20">
        <f>HYPERLINK("https://vnm.spiral.com.vn//uploaded/20210513/C04E8D5C-C418-44E7-83E0-3FC53FE1DC51.jpg","15:27:41")</f>
      </c>
      <c r="V888" s="18">
        <v>0.31070601851851853</v>
      </c>
      <c r="W888" s="15" t="s">
        <v>5881</v>
      </c>
      <c r="X888" s="15" t="s">
        <v>5882</v>
      </c>
      <c r="Y888" s="15" t="s">
        <v>35</v>
      </c>
      <c r="Z888" s="19">
        <v>0</v>
      </c>
      <c r="AA888" s="15">
        <v>0</v>
      </c>
      <c r="AB888" s="15" t="s">
        <v>35</v>
      </c>
    </row>
    <row r="889">
      <c r="A889" s="15">
        <v>885</v>
      </c>
      <c r="B889" s="15" t="s">
        <v>87</v>
      </c>
      <c r="C889" s="15" t="s">
        <v>88</v>
      </c>
      <c r="D889" s="15" t="s">
        <v>115</v>
      </c>
      <c r="E889" s="15" t="s">
        <v>116</v>
      </c>
      <c r="F889" s="15" t="s">
        <v>35</v>
      </c>
      <c r="G889" s="15" t="s">
        <v>74</v>
      </c>
      <c r="H889" s="15" t="s">
        <v>5883</v>
      </c>
      <c r="I889" s="15" t="s">
        <v>5884</v>
      </c>
      <c r="J889" s="15" t="s">
        <v>5885</v>
      </c>
      <c r="K889" s="15" t="s">
        <v>120</v>
      </c>
      <c r="L889" s="15" t="s">
        <v>121</v>
      </c>
      <c r="M889" s="15" t="s">
        <v>122</v>
      </c>
      <c r="N889" s="15" t="s">
        <v>123</v>
      </c>
      <c r="O889" s="15" t="s">
        <v>82</v>
      </c>
      <c r="P889" s="15" t="s">
        <v>2356</v>
      </c>
      <c r="Q889" s="15" t="s">
        <v>2357</v>
      </c>
      <c r="R889" s="16">
        <v>44329</v>
      </c>
      <c r="S889" s="17" t="s">
        <v>70</v>
      </c>
      <c r="T889" s="20">
        <f>HYPERLINK("https://vnm.spiral.com.vn//uploaded/20210513/DC87F6BA-A5AB-4CBA-955A-D3B3C3722A83.jpg","14:11:59")</f>
      </c>
      <c r="U889" s="20">
        <f>HYPERLINK("https://vnm.spiral.com.vn//uploaded/20210513/329202E0-98C7-4149-A00B-701878DAF97F.jpg","15:27:31")</f>
      </c>
      <c r="V889" s="18">
        <v>0.052453703703703704</v>
      </c>
      <c r="W889" s="15" t="s">
        <v>5886</v>
      </c>
      <c r="X889" s="15" t="s">
        <v>5887</v>
      </c>
      <c r="Y889" s="15" t="s">
        <v>35</v>
      </c>
      <c r="Z889" s="19">
        <v>0</v>
      </c>
      <c r="AA889" s="15">
        <v>0</v>
      </c>
      <c r="AB889" s="15" t="s">
        <v>35</v>
      </c>
    </row>
    <row r="890">
      <c r="A890" s="15">
        <v>886</v>
      </c>
      <c r="B890" s="15" t="s">
        <v>87</v>
      </c>
      <c r="C890" s="15" t="s">
        <v>88</v>
      </c>
      <c r="D890" s="15" t="s">
        <v>74</v>
      </c>
      <c r="E890" s="15" t="s">
        <v>90</v>
      </c>
      <c r="F890" s="15" t="s">
        <v>35</v>
      </c>
      <c r="G890" s="15" t="s">
        <v>74</v>
      </c>
      <c r="H890" s="15" t="s">
        <v>5888</v>
      </c>
      <c r="I890" s="15" t="s">
        <v>5889</v>
      </c>
      <c r="J890" s="15" t="s">
        <v>5890</v>
      </c>
      <c r="K890" s="15" t="s">
        <v>190</v>
      </c>
      <c r="L890" s="15" t="s">
        <v>191</v>
      </c>
      <c r="M890" s="15" t="s">
        <v>1031</v>
      </c>
      <c r="N890" s="15" t="s">
        <v>1032</v>
      </c>
      <c r="O890" s="15" t="s">
        <v>82</v>
      </c>
      <c r="P890" s="15" t="s">
        <v>1033</v>
      </c>
      <c r="Q890" s="15" t="s">
        <v>1034</v>
      </c>
      <c r="R890" s="16">
        <v>44329</v>
      </c>
      <c r="S890" s="17" t="s">
        <v>70</v>
      </c>
      <c r="T890" s="20">
        <f>HYPERLINK("https://vnm.spiral.com.vn//uploaded/20210513/abd021f0-c8de-4acd-aff4-b828c6c88b46.JPEG","13:55:22")</f>
      </c>
      <c r="U890" s="20">
        <f>HYPERLINK("https://vnm.spiral.com.vn//uploaded/20210513/75b63259-605f-44f1-9a36-2e6ea52ab090.JPEG","15:27:18")</f>
      </c>
      <c r="V890" s="18">
        <v>0.06384259259259259</v>
      </c>
      <c r="W890" s="15" t="s">
        <v>5891</v>
      </c>
      <c r="X890" s="15" t="s">
        <v>5892</v>
      </c>
      <c r="Y890" s="15" t="s">
        <v>35</v>
      </c>
      <c r="Z890" s="19">
        <v>0</v>
      </c>
      <c r="AA890" s="15">
        <v>0</v>
      </c>
      <c r="AB890" s="15" t="s">
        <v>35</v>
      </c>
    </row>
    <row r="891">
      <c r="A891" s="15">
        <v>887</v>
      </c>
      <c r="B891" s="15" t="s">
        <v>103</v>
      </c>
      <c r="C891" s="15" t="s">
        <v>104</v>
      </c>
      <c r="D891" s="15" t="s">
        <v>35</v>
      </c>
      <c r="E891" s="15" t="s">
        <v>35</v>
      </c>
      <c r="F891" s="15" t="s">
        <v>35</v>
      </c>
      <c r="G891" s="15" t="s">
        <v>36</v>
      </c>
      <c r="H891" s="15" t="s">
        <v>5893</v>
      </c>
      <c r="I891" s="15" t="s">
        <v>5894</v>
      </c>
      <c r="J891" s="15" t="s">
        <v>5895</v>
      </c>
      <c r="K891" s="15" t="s">
        <v>40</v>
      </c>
      <c r="L891" s="15" t="s">
        <v>41</v>
      </c>
      <c r="M891" s="15" t="s">
        <v>108</v>
      </c>
      <c r="N891" s="15" t="s">
        <v>109</v>
      </c>
      <c r="O891" s="15" t="s">
        <v>44</v>
      </c>
      <c r="P891" s="15" t="s">
        <v>5896</v>
      </c>
      <c r="Q891" s="15" t="s">
        <v>5897</v>
      </c>
      <c r="R891" s="16">
        <v>44329</v>
      </c>
      <c r="S891" s="17" t="s">
        <v>5898</v>
      </c>
      <c r="T891" s="20">
        <f>HYPERLINK("https://vnm.spiral.com.vn//uploaded/20210513/2b72cd77-e0e5-4946-a8d5-6b3c577720cd.JPEG","15:27:12")</f>
      </c>
      <c r="U891" s="18"/>
      <c r="V891" s="18" t="s">
        <v>35</v>
      </c>
      <c r="W891" s="15" t="s">
        <v>5899</v>
      </c>
      <c r="X891" s="15" t="s">
        <v>35</v>
      </c>
      <c r="Y891" s="15" t="s">
        <v>35</v>
      </c>
      <c r="Z891" s="19">
        <v>0</v>
      </c>
      <c r="AA891" s="15">
        <v>0</v>
      </c>
      <c r="AB891" s="15" t="s">
        <v>35</v>
      </c>
    </row>
    <row r="892">
      <c r="A892" s="15">
        <v>888</v>
      </c>
      <c r="B892" s="15" t="s">
        <v>246</v>
      </c>
      <c r="C892" s="15" t="s">
        <v>259</v>
      </c>
      <c r="D892" s="15" t="s">
        <v>432</v>
      </c>
      <c r="E892" s="15" t="s">
        <v>116</v>
      </c>
      <c r="F892" s="15" t="s">
        <v>35</v>
      </c>
      <c r="G892" s="15" t="s">
        <v>74</v>
      </c>
      <c r="H892" s="15" t="s">
        <v>5900</v>
      </c>
      <c r="I892" s="15" t="s">
        <v>5901</v>
      </c>
      <c r="J892" s="15" t="s">
        <v>5902</v>
      </c>
      <c r="K892" s="15" t="s">
        <v>166</v>
      </c>
      <c r="L892" s="15" t="s">
        <v>167</v>
      </c>
      <c r="M892" s="15" t="s">
        <v>263</v>
      </c>
      <c r="N892" s="15" t="s">
        <v>264</v>
      </c>
      <c r="O892" s="15" t="s">
        <v>82</v>
      </c>
      <c r="P892" s="15" t="s">
        <v>2514</v>
      </c>
      <c r="Q892" s="15" t="s">
        <v>2515</v>
      </c>
      <c r="R892" s="16">
        <v>44329</v>
      </c>
      <c r="S892" s="17" t="s">
        <v>70</v>
      </c>
      <c r="T892" s="20">
        <f>HYPERLINK("https://vnm.spiral.com.vn//uploaded/20210513/aeb41822-64f1-4de5-8448-70547ba79f9a.JPEG","14:29:09")</f>
      </c>
      <c r="U892" s="20">
        <f>HYPERLINK("https://vnm.spiral.com.vn//uploaded/20210513/cdae59cb-0776-4c82-987e-1e3bed17e3da.JPEG","15:27:06")</f>
      </c>
      <c r="V892" s="18">
        <v>0.04024305555555555</v>
      </c>
      <c r="W892" s="15" t="s">
        <v>5903</v>
      </c>
      <c r="X892" s="15" t="s">
        <v>5904</v>
      </c>
      <c r="Y892" s="15" t="s">
        <v>35</v>
      </c>
      <c r="Z892" s="19">
        <v>0</v>
      </c>
      <c r="AA892" s="15">
        <v>0</v>
      </c>
      <c r="AB892" s="15" t="s">
        <v>35</v>
      </c>
    </row>
    <row r="893">
      <c r="A893" s="15">
        <v>889</v>
      </c>
      <c r="B893" s="15" t="s">
        <v>103</v>
      </c>
      <c r="C893" s="15" t="s">
        <v>104</v>
      </c>
      <c r="D893" s="15" t="s">
        <v>35</v>
      </c>
      <c r="E893" s="15" t="s">
        <v>35</v>
      </c>
      <c r="F893" s="15" t="s">
        <v>35</v>
      </c>
      <c r="G893" s="15" t="s">
        <v>35</v>
      </c>
      <c r="H893" s="15" t="s">
        <v>5905</v>
      </c>
      <c r="I893" s="15" t="s">
        <v>5906</v>
      </c>
      <c r="J893" s="15" t="s">
        <v>5907</v>
      </c>
      <c r="K893" s="15" t="s">
        <v>40</v>
      </c>
      <c r="L893" s="15" t="s">
        <v>41</v>
      </c>
      <c r="M893" s="15" t="s">
        <v>108</v>
      </c>
      <c r="N893" s="15" t="s">
        <v>109</v>
      </c>
      <c r="O893" s="15" t="s">
        <v>44</v>
      </c>
      <c r="P893" s="15" t="s">
        <v>5908</v>
      </c>
      <c r="Q893" s="15" t="s">
        <v>5909</v>
      </c>
      <c r="R893" s="16">
        <v>44329</v>
      </c>
      <c r="S893" s="17" t="s">
        <v>686</v>
      </c>
      <c r="T893" s="20">
        <f>HYPERLINK("https://vnm.spiral.com.vn//uploaded/20210513/ffa2ccf9-9f4f-4ea1-aae0-e54e2b086999.JPEG","15:26:26")</f>
      </c>
      <c r="U893" s="18"/>
      <c r="V893" s="18" t="s">
        <v>35</v>
      </c>
      <c r="W893" s="15" t="s">
        <v>5910</v>
      </c>
      <c r="X893" s="15" t="s">
        <v>35</v>
      </c>
      <c r="Y893" s="15" t="s">
        <v>35</v>
      </c>
      <c r="Z893" s="19">
        <v>0</v>
      </c>
      <c r="AA893" s="15">
        <v>0</v>
      </c>
      <c r="AB893" s="15" t="s">
        <v>35</v>
      </c>
    </row>
    <row r="894">
      <c r="A894" s="15">
        <v>890</v>
      </c>
      <c r="B894" s="15" t="s">
        <v>87</v>
      </c>
      <c r="C894" s="15" t="s">
        <v>88</v>
      </c>
      <c r="D894" s="15" t="s">
        <v>135</v>
      </c>
      <c r="E894" s="15" t="s">
        <v>116</v>
      </c>
      <c r="F894" s="15" t="s">
        <v>35</v>
      </c>
      <c r="G894" s="15" t="s">
        <v>74</v>
      </c>
      <c r="H894" s="15" t="s">
        <v>5911</v>
      </c>
      <c r="I894" s="15" t="s">
        <v>5912</v>
      </c>
      <c r="J894" s="15" t="s">
        <v>5913</v>
      </c>
      <c r="K894" s="15" t="s">
        <v>139</v>
      </c>
      <c r="L894" s="15" t="s">
        <v>140</v>
      </c>
      <c r="M894" s="15" t="s">
        <v>141</v>
      </c>
      <c r="N894" s="15" t="s">
        <v>142</v>
      </c>
      <c r="O894" s="15" t="s">
        <v>82</v>
      </c>
      <c r="P894" s="15" t="s">
        <v>2298</v>
      </c>
      <c r="Q894" s="15" t="s">
        <v>2299</v>
      </c>
      <c r="R894" s="16">
        <v>44329</v>
      </c>
      <c r="S894" s="17" t="s">
        <v>70</v>
      </c>
      <c r="T894" s="20">
        <f>HYPERLINK("https://vnm.spiral.com.vn//uploaded/20210513/b94755af-765a-442b-b0c2-94da3ab116bd.JPEG","14:49:27")</f>
      </c>
      <c r="U894" s="20">
        <f>HYPERLINK("https://vnm.spiral.com.vn//uploaded/20210513/57e02b5e-ccd8-4a04-8dc6-6e5303224e48.JPEG","15:26:18")</f>
      </c>
      <c r="V894" s="18">
        <v>0.025590277777777778</v>
      </c>
      <c r="W894" s="15" t="s">
        <v>5914</v>
      </c>
      <c r="X894" s="15" t="s">
        <v>5915</v>
      </c>
      <c r="Y894" s="15" t="s">
        <v>35</v>
      </c>
      <c r="Z894" s="19">
        <v>0</v>
      </c>
      <c r="AA894" s="15">
        <v>0</v>
      </c>
      <c r="AB894" s="15" t="s">
        <v>35</v>
      </c>
    </row>
    <row r="895">
      <c r="A895" s="15">
        <v>891</v>
      </c>
      <c r="B895" s="15" t="s">
        <v>33</v>
      </c>
      <c r="C895" s="15" t="s">
        <v>34</v>
      </c>
      <c r="D895" s="15" t="s">
        <v>35</v>
      </c>
      <c r="E895" s="15" t="s">
        <v>35</v>
      </c>
      <c r="F895" s="15" t="s">
        <v>35</v>
      </c>
      <c r="G895" s="15" t="s">
        <v>36</v>
      </c>
      <c r="H895" s="15" t="s">
        <v>5916</v>
      </c>
      <c r="I895" s="15" t="s">
        <v>5917</v>
      </c>
      <c r="J895" s="15" t="s">
        <v>5918</v>
      </c>
      <c r="K895" s="15" t="s">
        <v>40</v>
      </c>
      <c r="L895" s="15" t="s">
        <v>41</v>
      </c>
      <c r="M895" s="15" t="s">
        <v>42</v>
      </c>
      <c r="N895" s="15" t="s">
        <v>43</v>
      </c>
      <c r="O895" s="15" t="s">
        <v>44</v>
      </c>
      <c r="P895" s="15" t="s">
        <v>5919</v>
      </c>
      <c r="Q895" s="15" t="s">
        <v>3806</v>
      </c>
      <c r="R895" s="16">
        <v>44329</v>
      </c>
      <c r="S895" s="17" t="s">
        <v>686</v>
      </c>
      <c r="T895" s="20">
        <f>HYPERLINK("https://vnm.spiral.com.vn//uploaded/20210513/4973fa17-abff-4914-a235-888c4d82e2ca.JPEG","15:25:58")</f>
      </c>
      <c r="U895" s="18"/>
      <c r="V895" s="18" t="s">
        <v>35</v>
      </c>
      <c r="W895" s="15" t="s">
        <v>5920</v>
      </c>
      <c r="X895" s="15" t="s">
        <v>35</v>
      </c>
      <c r="Y895" s="15" t="s">
        <v>35</v>
      </c>
      <c r="Z895" s="19">
        <v>0</v>
      </c>
      <c r="AA895" s="15">
        <v>0</v>
      </c>
      <c r="AB895" s="15" t="s">
        <v>35</v>
      </c>
    </row>
    <row r="896">
      <c r="A896" s="15">
        <v>892</v>
      </c>
      <c r="B896" s="15" t="s">
        <v>87</v>
      </c>
      <c r="C896" s="15" t="s">
        <v>88</v>
      </c>
      <c r="D896" s="15" t="s">
        <v>35</v>
      </c>
      <c r="E896" s="15" t="s">
        <v>35</v>
      </c>
      <c r="F896" s="15" t="s">
        <v>2667</v>
      </c>
      <c r="G896" s="15" t="s">
        <v>36</v>
      </c>
      <c r="H896" s="15" t="s">
        <v>5921</v>
      </c>
      <c r="I896" s="15" t="s">
        <v>5922</v>
      </c>
      <c r="J896" s="15" t="s">
        <v>5923</v>
      </c>
      <c r="K896" s="15" t="s">
        <v>40</v>
      </c>
      <c r="L896" s="15" t="s">
        <v>41</v>
      </c>
      <c r="M896" s="15" t="s">
        <v>1195</v>
      </c>
      <c r="N896" s="15" t="s">
        <v>1196</v>
      </c>
      <c r="O896" s="15" t="s">
        <v>44</v>
      </c>
      <c r="P896" s="15" t="s">
        <v>5924</v>
      </c>
      <c r="Q896" s="15" t="s">
        <v>5925</v>
      </c>
      <c r="R896" s="16">
        <v>44329</v>
      </c>
      <c r="S896" s="17" t="s">
        <v>4912</v>
      </c>
      <c r="T896" s="20">
        <f>HYPERLINK("https://vnm.spiral.com.vn//uploaded/20210513/68048073-bef7-4073-b257-c7e8db704152.JPEG","15:25:33")</f>
      </c>
      <c r="U896" s="18"/>
      <c r="V896" s="18" t="s">
        <v>35</v>
      </c>
      <c r="W896" s="15" t="s">
        <v>5926</v>
      </c>
      <c r="X896" s="15" t="s">
        <v>35</v>
      </c>
      <c r="Y896" s="15" t="s">
        <v>35</v>
      </c>
      <c r="Z896" s="19">
        <v>0</v>
      </c>
      <c r="AA896" s="15">
        <v>0</v>
      </c>
      <c r="AB896" s="15" t="s">
        <v>35</v>
      </c>
    </row>
    <row r="897">
      <c r="A897" s="15">
        <v>893</v>
      </c>
      <c r="B897" s="15" t="s">
        <v>49</v>
      </c>
      <c r="C897" s="15" t="s">
        <v>369</v>
      </c>
      <c r="D897" s="15" t="s">
        <v>35</v>
      </c>
      <c r="E897" s="15" t="s">
        <v>35</v>
      </c>
      <c r="F897" s="15" t="s">
        <v>5927</v>
      </c>
      <c r="G897" s="15" t="s">
        <v>36</v>
      </c>
      <c r="H897" s="15" t="s">
        <v>5928</v>
      </c>
      <c r="I897" s="15" t="s">
        <v>5929</v>
      </c>
      <c r="J897" s="15" t="s">
        <v>5930</v>
      </c>
      <c r="K897" s="15" t="s">
        <v>40</v>
      </c>
      <c r="L897" s="15" t="s">
        <v>41</v>
      </c>
      <c r="M897" s="15" t="s">
        <v>55</v>
      </c>
      <c r="N897" s="15" t="s">
        <v>56</v>
      </c>
      <c r="O897" s="15" t="s">
        <v>44</v>
      </c>
      <c r="P897" s="15" t="s">
        <v>5931</v>
      </c>
      <c r="Q897" s="15" t="s">
        <v>5932</v>
      </c>
      <c r="R897" s="16">
        <v>44329</v>
      </c>
      <c r="S897" s="17" t="s">
        <v>2703</v>
      </c>
      <c r="T897" s="20">
        <f>HYPERLINK("https://vnm.spiral.com.vn//uploaded/20210513/7c06ae1d-fe43-4a6b-9355-6aa5702e5c89.JPEG","15:25:31")</f>
      </c>
      <c r="U897" s="18"/>
      <c r="V897" s="18" t="s">
        <v>35</v>
      </c>
      <c r="W897" s="15" t="s">
        <v>5933</v>
      </c>
      <c r="X897" s="15" t="s">
        <v>35</v>
      </c>
      <c r="Y897" s="15" t="s">
        <v>35</v>
      </c>
      <c r="Z897" s="19">
        <v>0</v>
      </c>
      <c r="AA897" s="15">
        <v>0</v>
      </c>
      <c r="AB897" s="15" t="s">
        <v>35</v>
      </c>
    </row>
    <row r="898">
      <c r="A898" s="15">
        <v>894</v>
      </c>
      <c r="B898" s="15" t="s">
        <v>49</v>
      </c>
      <c r="C898" s="15" t="s">
        <v>369</v>
      </c>
      <c r="D898" s="15" t="s">
        <v>35</v>
      </c>
      <c r="E898" s="15" t="s">
        <v>35</v>
      </c>
      <c r="F898" s="15" t="s">
        <v>370</v>
      </c>
      <c r="G898" s="15" t="s">
        <v>36</v>
      </c>
      <c r="H898" s="15" t="s">
        <v>5934</v>
      </c>
      <c r="I898" s="15" t="s">
        <v>5935</v>
      </c>
      <c r="J898" s="15" t="s">
        <v>5936</v>
      </c>
      <c r="K898" s="15" t="s">
        <v>40</v>
      </c>
      <c r="L898" s="15" t="s">
        <v>41</v>
      </c>
      <c r="M898" s="15" t="s">
        <v>55</v>
      </c>
      <c r="N898" s="15" t="s">
        <v>56</v>
      </c>
      <c r="O898" s="15" t="s">
        <v>44</v>
      </c>
      <c r="P898" s="15" t="s">
        <v>5937</v>
      </c>
      <c r="Q898" s="15" t="s">
        <v>5938</v>
      </c>
      <c r="R898" s="16">
        <v>44329</v>
      </c>
      <c r="S898" s="17" t="s">
        <v>4912</v>
      </c>
      <c r="T898" s="20">
        <f>HYPERLINK("https://vnm.spiral.com.vn//uploaded/20210513/8AC72E27-0015-49A4-8477-431302153B74.jpg","15:25:13")</f>
      </c>
      <c r="U898" s="18"/>
      <c r="V898" s="18" t="s">
        <v>35</v>
      </c>
      <c r="W898" s="15" t="s">
        <v>5939</v>
      </c>
      <c r="X898" s="15" t="s">
        <v>35</v>
      </c>
      <c r="Y898" s="15" t="s">
        <v>35</v>
      </c>
      <c r="Z898" s="19">
        <v>0</v>
      </c>
      <c r="AA898" s="15">
        <v>0</v>
      </c>
      <c r="AB898" s="15" t="s">
        <v>35</v>
      </c>
    </row>
    <row r="899">
      <c r="A899" s="15">
        <v>895</v>
      </c>
      <c r="B899" s="15" t="s">
        <v>87</v>
      </c>
      <c r="C899" s="15" t="s">
        <v>88</v>
      </c>
      <c r="D899" s="15" t="s">
        <v>135</v>
      </c>
      <c r="E899" s="15" t="s">
        <v>116</v>
      </c>
      <c r="F899" s="15" t="s">
        <v>35</v>
      </c>
      <c r="G899" s="15" t="s">
        <v>74</v>
      </c>
      <c r="H899" s="15" t="s">
        <v>1699</v>
      </c>
      <c r="I899" s="15" t="s">
        <v>1700</v>
      </c>
      <c r="J899" s="15" t="s">
        <v>1701</v>
      </c>
      <c r="K899" s="15" t="s">
        <v>139</v>
      </c>
      <c r="L899" s="15" t="s">
        <v>140</v>
      </c>
      <c r="M899" s="15" t="s">
        <v>141</v>
      </c>
      <c r="N899" s="15" t="s">
        <v>142</v>
      </c>
      <c r="O899" s="15" t="s">
        <v>82</v>
      </c>
      <c r="P899" s="15" t="s">
        <v>1741</v>
      </c>
      <c r="Q899" s="15" t="s">
        <v>1742</v>
      </c>
      <c r="R899" s="16">
        <v>44329</v>
      </c>
      <c r="S899" s="17" t="s">
        <v>70</v>
      </c>
      <c r="T899" s="20">
        <f>HYPERLINK("https://vnm.spiral.com.vn//uploaded/20210513/2E352E9B-085C-4A0A-BAB2-96A1FE65481B.jpg","14:14:21")</f>
      </c>
      <c r="U899" s="20">
        <f>HYPERLINK("https://vnm.spiral.com.vn//uploaded/20210513/EE72CB79-6A70-4A6D-BDC8-925504806BC2.jpg","15:25:10")</f>
      </c>
      <c r="V899" s="18">
        <v>0.04917824074074074</v>
      </c>
      <c r="W899" s="15" t="s">
        <v>5940</v>
      </c>
      <c r="X899" s="15" t="s">
        <v>5941</v>
      </c>
      <c r="Y899" s="15" t="s">
        <v>35</v>
      </c>
      <c r="Z899" s="19">
        <v>0</v>
      </c>
      <c r="AA899" s="15">
        <v>0</v>
      </c>
      <c r="AB899" s="15" t="s">
        <v>35</v>
      </c>
    </row>
    <row r="900">
      <c r="A900" s="15">
        <v>896</v>
      </c>
      <c r="B900" s="15" t="s">
        <v>103</v>
      </c>
      <c r="C900" s="15" t="s">
        <v>104</v>
      </c>
      <c r="D900" s="15" t="s">
        <v>135</v>
      </c>
      <c r="E900" s="15" t="s">
        <v>116</v>
      </c>
      <c r="F900" s="15" t="s">
        <v>35</v>
      </c>
      <c r="G900" s="15" t="s">
        <v>74</v>
      </c>
      <c r="H900" s="15" t="s">
        <v>5942</v>
      </c>
      <c r="I900" s="15" t="s">
        <v>5943</v>
      </c>
      <c r="J900" s="15" t="s">
        <v>5944</v>
      </c>
      <c r="K900" s="15" t="s">
        <v>460</v>
      </c>
      <c r="L900" s="15" t="s">
        <v>461</v>
      </c>
      <c r="M900" s="15" t="s">
        <v>462</v>
      </c>
      <c r="N900" s="15" t="s">
        <v>463</v>
      </c>
      <c r="O900" s="15" t="s">
        <v>82</v>
      </c>
      <c r="P900" s="15" t="s">
        <v>1610</v>
      </c>
      <c r="Q900" s="15" t="s">
        <v>1611</v>
      </c>
      <c r="R900" s="16">
        <v>44329</v>
      </c>
      <c r="S900" s="17" t="s">
        <v>70</v>
      </c>
      <c r="T900" s="20">
        <f>HYPERLINK("https://vnm.spiral.com.vn//uploaded/20210513/448eb97b-fbcc-4f5a-bb60-54692f9425da.JPEG","14:17:29")</f>
      </c>
      <c r="U900" s="20">
        <f>HYPERLINK("https://vnm.spiral.com.vn//uploaded/20210513/2d950711-eb42-46f2-b602-ddcf71747a2a.JPEG","15:24:31")</f>
      </c>
      <c r="V900" s="18">
        <v>0.046550925925925926</v>
      </c>
      <c r="W900" s="15" t="s">
        <v>5945</v>
      </c>
      <c r="X900" s="15" t="s">
        <v>5946</v>
      </c>
      <c r="Y900" s="15" t="s">
        <v>35</v>
      </c>
      <c r="Z900" s="19">
        <v>0</v>
      </c>
      <c r="AA900" s="15">
        <v>0</v>
      </c>
      <c r="AB900" s="15" t="s">
        <v>35</v>
      </c>
    </row>
    <row r="901">
      <c r="A901" s="15">
        <v>897</v>
      </c>
      <c r="B901" s="15" t="s">
        <v>33</v>
      </c>
      <c r="C901" s="15" t="s">
        <v>211</v>
      </c>
      <c r="D901" s="15" t="s">
        <v>35</v>
      </c>
      <c r="E901" s="15" t="s">
        <v>35</v>
      </c>
      <c r="F901" s="15" t="s">
        <v>35</v>
      </c>
      <c r="G901" s="15" t="s">
        <v>36</v>
      </c>
      <c r="H901" s="15" t="s">
        <v>5947</v>
      </c>
      <c r="I901" s="15" t="s">
        <v>4230</v>
      </c>
      <c r="J901" s="15" t="s">
        <v>5948</v>
      </c>
      <c r="K901" s="15" t="s">
        <v>40</v>
      </c>
      <c r="L901" s="15" t="s">
        <v>41</v>
      </c>
      <c r="M901" s="15" t="s">
        <v>42</v>
      </c>
      <c r="N901" s="15" t="s">
        <v>43</v>
      </c>
      <c r="O901" s="15" t="s">
        <v>44</v>
      </c>
      <c r="P901" s="15" t="s">
        <v>5949</v>
      </c>
      <c r="Q901" s="15" t="s">
        <v>5950</v>
      </c>
      <c r="R901" s="16">
        <v>44329</v>
      </c>
      <c r="S901" s="17" t="s">
        <v>686</v>
      </c>
      <c r="T901" s="20">
        <f>HYPERLINK("https://vnm.spiral.com.vn//uploaded/20210513/9C1F3FD3-45B5-40DF-BB9D-1B4A4318B7A9.jpg","15:22:59")</f>
      </c>
      <c r="U901" s="18"/>
      <c r="V901" s="18" t="s">
        <v>35</v>
      </c>
      <c r="W901" s="15" t="s">
        <v>5951</v>
      </c>
      <c r="X901" s="15" t="s">
        <v>35</v>
      </c>
      <c r="Y901" s="15" t="s">
        <v>35</v>
      </c>
      <c r="Z901" s="19">
        <v>0</v>
      </c>
      <c r="AA901" s="15">
        <v>0</v>
      </c>
      <c r="AB901" s="15" t="s">
        <v>35</v>
      </c>
    </row>
    <row r="902">
      <c r="A902" s="15">
        <v>898</v>
      </c>
      <c r="B902" s="15" t="s">
        <v>103</v>
      </c>
      <c r="C902" s="15" t="s">
        <v>104</v>
      </c>
      <c r="D902" s="15" t="s">
        <v>35</v>
      </c>
      <c r="E902" s="15" t="s">
        <v>35</v>
      </c>
      <c r="F902" s="15" t="s">
        <v>35</v>
      </c>
      <c r="G902" s="15" t="s">
        <v>36</v>
      </c>
      <c r="H902" s="15" t="s">
        <v>5952</v>
      </c>
      <c r="I902" s="15" t="s">
        <v>5953</v>
      </c>
      <c r="J902" s="15" t="s">
        <v>5954</v>
      </c>
      <c r="K902" s="15" t="s">
        <v>40</v>
      </c>
      <c r="L902" s="15" t="s">
        <v>41</v>
      </c>
      <c r="M902" s="15" t="s">
        <v>108</v>
      </c>
      <c r="N902" s="15" t="s">
        <v>109</v>
      </c>
      <c r="O902" s="15" t="s">
        <v>44</v>
      </c>
      <c r="P902" s="15" t="s">
        <v>5955</v>
      </c>
      <c r="Q902" s="15" t="s">
        <v>5956</v>
      </c>
      <c r="R902" s="16">
        <v>44329</v>
      </c>
      <c r="S902" s="17" t="s">
        <v>4912</v>
      </c>
      <c r="T902" s="20">
        <f>HYPERLINK("https://vnm.spiral.com.vn//uploaded/20210513/d34b3bb1-85eb-4f7e-b78c-406aa9115cef.JPEG","15:21:27")</f>
      </c>
      <c r="U902" s="18"/>
      <c r="V902" s="18" t="s">
        <v>35</v>
      </c>
      <c r="W902" s="15" t="s">
        <v>5957</v>
      </c>
      <c r="X902" s="15" t="s">
        <v>35</v>
      </c>
      <c r="Y902" s="15" t="s">
        <v>35</v>
      </c>
      <c r="Z902" s="19">
        <v>0</v>
      </c>
      <c r="AA902" s="15">
        <v>0</v>
      </c>
      <c r="AB902" s="15" t="s">
        <v>35</v>
      </c>
    </row>
    <row r="903">
      <c r="A903" s="15">
        <v>899</v>
      </c>
      <c r="B903" s="15" t="s">
        <v>87</v>
      </c>
      <c r="C903" s="15" t="s">
        <v>88</v>
      </c>
      <c r="D903" s="15" t="s">
        <v>432</v>
      </c>
      <c r="E903" s="15" t="s">
        <v>116</v>
      </c>
      <c r="F903" s="15" t="s">
        <v>35</v>
      </c>
      <c r="G903" s="15" t="s">
        <v>74</v>
      </c>
      <c r="H903" s="15" t="s">
        <v>5958</v>
      </c>
      <c r="I903" s="15" t="s">
        <v>5959</v>
      </c>
      <c r="J903" s="15" t="s">
        <v>5960</v>
      </c>
      <c r="K903" s="15" t="s">
        <v>625</v>
      </c>
      <c r="L903" s="15" t="s">
        <v>626</v>
      </c>
      <c r="M903" s="15" t="s">
        <v>627</v>
      </c>
      <c r="N903" s="15" t="s">
        <v>628</v>
      </c>
      <c r="O903" s="15" t="s">
        <v>82</v>
      </c>
      <c r="P903" s="15" t="s">
        <v>1804</v>
      </c>
      <c r="Q903" s="15" t="s">
        <v>1805</v>
      </c>
      <c r="R903" s="16">
        <v>44329</v>
      </c>
      <c r="S903" s="17" t="s">
        <v>70</v>
      </c>
      <c r="T903" s="20">
        <f>HYPERLINK("https://vnm.spiral.com.vn//uploaded/20210513/b27ba241-a3c3-412e-9c9a-bcd63c56cdc6.JPEG","14:52:35")</f>
      </c>
      <c r="U903" s="20">
        <f>HYPERLINK("https://vnm.spiral.com.vn//uploaded/20210513/a550fc6a-f008-4375-bcc0-017631ce991a.JPEG","15:21:15")</f>
      </c>
      <c r="V903" s="18">
        <v>0.01990740740740741</v>
      </c>
      <c r="W903" s="15" t="s">
        <v>5961</v>
      </c>
      <c r="X903" s="15" t="s">
        <v>5962</v>
      </c>
      <c r="Y903" s="15" t="s">
        <v>35</v>
      </c>
      <c r="Z903" s="19">
        <v>0</v>
      </c>
      <c r="AA903" s="15">
        <v>0</v>
      </c>
      <c r="AB903" s="15" t="s">
        <v>35</v>
      </c>
    </row>
    <row r="904">
      <c r="A904" s="15">
        <v>900</v>
      </c>
      <c r="B904" s="15" t="s">
        <v>246</v>
      </c>
      <c r="C904" s="15" t="s">
        <v>247</v>
      </c>
      <c r="D904" s="15" t="s">
        <v>35</v>
      </c>
      <c r="E904" s="15" t="s">
        <v>35</v>
      </c>
      <c r="F904" s="15" t="s">
        <v>248</v>
      </c>
      <c r="G904" s="15" t="s">
        <v>36</v>
      </c>
      <c r="H904" s="15" t="s">
        <v>5963</v>
      </c>
      <c r="I904" s="15" t="s">
        <v>5964</v>
      </c>
      <c r="J904" s="15" t="s">
        <v>5965</v>
      </c>
      <c r="K904" s="15" t="s">
        <v>40</v>
      </c>
      <c r="L904" s="15" t="s">
        <v>41</v>
      </c>
      <c r="M904" s="15" t="s">
        <v>252</v>
      </c>
      <c r="N904" s="15" t="s">
        <v>253</v>
      </c>
      <c r="O904" s="15" t="s">
        <v>44</v>
      </c>
      <c r="P904" s="15" t="s">
        <v>5966</v>
      </c>
      <c r="Q904" s="15" t="s">
        <v>5967</v>
      </c>
      <c r="R904" s="16">
        <v>44329</v>
      </c>
      <c r="S904" s="17" t="s">
        <v>5968</v>
      </c>
      <c r="T904" s="20">
        <f>HYPERLINK("https://vnm.spiral.com.vn//uploaded/20210513/dc2edbce-7aab-40ac-8183-7d90a12430ca.JPEG","15:21:06")</f>
      </c>
      <c r="U904" s="18"/>
      <c r="V904" s="18" t="s">
        <v>35</v>
      </c>
      <c r="W904" s="15" t="s">
        <v>5969</v>
      </c>
      <c r="X904" s="15" t="s">
        <v>35</v>
      </c>
      <c r="Y904" s="15" t="s">
        <v>35</v>
      </c>
      <c r="Z904" s="19">
        <v>0</v>
      </c>
      <c r="AA904" s="15">
        <v>0</v>
      </c>
      <c r="AB904" s="15" t="s">
        <v>35</v>
      </c>
    </row>
    <row r="905">
      <c r="A905" s="15">
        <v>901</v>
      </c>
      <c r="B905" s="15" t="s">
        <v>61</v>
      </c>
      <c r="C905" s="15" t="s">
        <v>904</v>
      </c>
      <c r="D905" s="15" t="s">
        <v>35</v>
      </c>
      <c r="E905" s="15" t="s">
        <v>35</v>
      </c>
      <c r="F905" s="15" t="s">
        <v>35</v>
      </c>
      <c r="G905" s="15" t="s">
        <v>36</v>
      </c>
      <c r="H905" s="15" t="s">
        <v>5970</v>
      </c>
      <c r="I905" s="15" t="s">
        <v>5971</v>
      </c>
      <c r="J905" s="15" t="s">
        <v>5972</v>
      </c>
      <c r="K905" s="15" t="s">
        <v>40</v>
      </c>
      <c r="L905" s="15" t="s">
        <v>41</v>
      </c>
      <c r="M905" s="15" t="s">
        <v>66</v>
      </c>
      <c r="N905" s="15" t="s">
        <v>67</v>
      </c>
      <c r="O905" s="15" t="s">
        <v>44</v>
      </c>
      <c r="P905" s="15" t="s">
        <v>5973</v>
      </c>
      <c r="Q905" s="15" t="s">
        <v>5974</v>
      </c>
      <c r="R905" s="16">
        <v>44329</v>
      </c>
      <c r="S905" s="17" t="s">
        <v>70</v>
      </c>
      <c r="T905" s="20">
        <f>HYPERLINK("https://vnm.spiral.com.vn//uploaded/20210513/B200BEBF-42B3-40A4-89CE-490E7DBEA714.jpg","07:58:14")</f>
      </c>
      <c r="U905" s="20">
        <f>HYPERLINK("https://vnm.spiral.com.vn//uploaded/20210513/76B83B30-811C-4C17-BAB1-F558A4278984.jpg","15:20:42")</f>
      </c>
      <c r="V905" s="18">
        <v>0.3072685185185185</v>
      </c>
      <c r="W905" s="15" t="s">
        <v>5975</v>
      </c>
      <c r="X905" s="15" t="s">
        <v>5976</v>
      </c>
      <c r="Y905" s="15" t="s">
        <v>35</v>
      </c>
      <c r="Z905" s="19">
        <v>0</v>
      </c>
      <c r="AA905" s="15">
        <v>0</v>
      </c>
      <c r="AB905" s="15" t="s">
        <v>35</v>
      </c>
    </row>
    <row r="906">
      <c r="A906" s="15">
        <v>902</v>
      </c>
      <c r="B906" s="15" t="s">
        <v>61</v>
      </c>
      <c r="C906" s="15" t="s">
        <v>442</v>
      </c>
      <c r="D906" s="15" t="s">
        <v>304</v>
      </c>
      <c r="E906" s="15" t="s">
        <v>305</v>
      </c>
      <c r="F906" s="15" t="s">
        <v>35</v>
      </c>
      <c r="G906" s="15" t="s">
        <v>74</v>
      </c>
      <c r="H906" s="15" t="s">
        <v>5977</v>
      </c>
      <c r="I906" s="15" t="s">
        <v>5978</v>
      </c>
      <c r="J906" s="15" t="s">
        <v>5979</v>
      </c>
      <c r="K906" s="15" t="s">
        <v>232</v>
      </c>
      <c r="L906" s="15" t="s">
        <v>233</v>
      </c>
      <c r="M906" s="15" t="s">
        <v>453</v>
      </c>
      <c r="N906" s="15" t="s">
        <v>454</v>
      </c>
      <c r="O906" s="15" t="s">
        <v>82</v>
      </c>
      <c r="P906" s="15" t="s">
        <v>5980</v>
      </c>
      <c r="Q906" s="15" t="s">
        <v>5981</v>
      </c>
      <c r="R906" s="16">
        <v>44329</v>
      </c>
      <c r="S906" s="17" t="s">
        <v>70</v>
      </c>
      <c r="T906" s="20">
        <f>HYPERLINK("https://vnm.spiral.com.vn//uploaded/20210513/83FE21F6-2443-40F3-AEAF-78D7C2BC1D56.jpg","06:51:36")</f>
      </c>
      <c r="U906" s="20">
        <f>HYPERLINK("https://vnm.spiral.com.vn//uploaded/20210513/867F4446-6E2D-4261-B6CE-0A1FE6DE788C.jpg","15:20:33")</f>
      </c>
      <c r="V906" s="18">
        <v>0.3534375</v>
      </c>
      <c r="W906" s="15" t="s">
        <v>5982</v>
      </c>
      <c r="X906" s="15" t="s">
        <v>5983</v>
      </c>
      <c r="Y906" s="15" t="s">
        <v>35</v>
      </c>
      <c r="Z906" s="19">
        <v>0</v>
      </c>
      <c r="AA906" s="15">
        <v>0</v>
      </c>
      <c r="AB906" s="15" t="s">
        <v>35</v>
      </c>
    </row>
    <row r="907">
      <c r="A907" s="15">
        <v>903</v>
      </c>
      <c r="B907" s="15" t="s">
        <v>87</v>
      </c>
      <c r="C907" s="15" t="s">
        <v>88</v>
      </c>
      <c r="D907" s="15" t="s">
        <v>35</v>
      </c>
      <c r="E907" s="15" t="s">
        <v>35</v>
      </c>
      <c r="F907" s="15" t="s">
        <v>2721</v>
      </c>
      <c r="G907" s="15" t="s">
        <v>36</v>
      </c>
      <c r="H907" s="15" t="s">
        <v>5984</v>
      </c>
      <c r="I907" s="15" t="s">
        <v>4103</v>
      </c>
      <c r="J907" s="15" t="s">
        <v>5985</v>
      </c>
      <c r="K907" s="15" t="s">
        <v>40</v>
      </c>
      <c r="L907" s="15" t="s">
        <v>41</v>
      </c>
      <c r="M907" s="15" t="s">
        <v>1195</v>
      </c>
      <c r="N907" s="15" t="s">
        <v>1196</v>
      </c>
      <c r="O907" s="15" t="s">
        <v>44</v>
      </c>
      <c r="P907" s="15" t="s">
        <v>5986</v>
      </c>
      <c r="Q907" s="15" t="s">
        <v>5987</v>
      </c>
      <c r="R907" s="16">
        <v>44329</v>
      </c>
      <c r="S907" s="17" t="s">
        <v>2925</v>
      </c>
      <c r="T907" s="20">
        <f>HYPERLINK("https://vnm.spiral.com.vn//uploaded/20210513/d59049bc-7bf6-4350-9b80-f3a9f4ac1733.JPEG","15:20:29")</f>
      </c>
      <c r="U907" s="18"/>
      <c r="V907" s="18" t="s">
        <v>35</v>
      </c>
      <c r="W907" s="15" t="s">
        <v>5988</v>
      </c>
      <c r="X907" s="15" t="s">
        <v>35</v>
      </c>
      <c r="Y907" s="15" t="s">
        <v>35</v>
      </c>
      <c r="Z907" s="19">
        <v>0</v>
      </c>
      <c r="AA907" s="15">
        <v>0</v>
      </c>
      <c r="AB907" s="15" t="s">
        <v>35</v>
      </c>
    </row>
    <row r="908">
      <c r="A908" s="15">
        <v>904</v>
      </c>
      <c r="B908" s="15" t="s">
        <v>246</v>
      </c>
      <c r="C908" s="15" t="s">
        <v>864</v>
      </c>
      <c r="D908" s="15" t="s">
        <v>35</v>
      </c>
      <c r="E908" s="15" t="s">
        <v>35</v>
      </c>
      <c r="F908" s="15" t="s">
        <v>1676</v>
      </c>
      <c r="G908" s="15" t="s">
        <v>36</v>
      </c>
      <c r="H908" s="15" t="s">
        <v>5989</v>
      </c>
      <c r="I908" s="15" t="s">
        <v>5990</v>
      </c>
      <c r="J908" s="15" t="s">
        <v>5991</v>
      </c>
      <c r="K908" s="15" t="s">
        <v>40</v>
      </c>
      <c r="L908" s="15" t="s">
        <v>41</v>
      </c>
      <c r="M908" s="15" t="s">
        <v>252</v>
      </c>
      <c r="N908" s="15" t="s">
        <v>253</v>
      </c>
      <c r="O908" s="15" t="s">
        <v>44</v>
      </c>
      <c r="P908" s="15" t="s">
        <v>5992</v>
      </c>
      <c r="Q908" s="15" t="s">
        <v>4704</v>
      </c>
      <c r="R908" s="16">
        <v>44329</v>
      </c>
      <c r="S908" s="17" t="s">
        <v>5993</v>
      </c>
      <c r="T908" s="20">
        <f>HYPERLINK("https://vnm.spiral.com.vn//uploaded/20210513/dc313d27-2c68-400f-992a-16abc08d17fc.JPEG","15:20:25")</f>
      </c>
      <c r="U908" s="18"/>
      <c r="V908" s="18" t="s">
        <v>35</v>
      </c>
      <c r="W908" s="15" t="s">
        <v>5994</v>
      </c>
      <c r="X908" s="15" t="s">
        <v>35</v>
      </c>
      <c r="Y908" s="15" t="s">
        <v>35</v>
      </c>
      <c r="Z908" s="19">
        <v>0</v>
      </c>
      <c r="AA908" s="15">
        <v>0</v>
      </c>
      <c r="AB908" s="15" t="s">
        <v>35</v>
      </c>
    </row>
    <row r="909">
      <c r="A909" s="15">
        <v>905</v>
      </c>
      <c r="B909" s="15" t="s">
        <v>49</v>
      </c>
      <c r="C909" s="15" t="s">
        <v>50</v>
      </c>
      <c r="D909" s="15" t="s">
        <v>35</v>
      </c>
      <c r="E909" s="15" t="s">
        <v>35</v>
      </c>
      <c r="F909" s="15" t="s">
        <v>51</v>
      </c>
      <c r="G909" s="15" t="s">
        <v>36</v>
      </c>
      <c r="H909" s="15" t="s">
        <v>5995</v>
      </c>
      <c r="I909" s="15" t="s">
        <v>5996</v>
      </c>
      <c r="J909" s="15" t="s">
        <v>5997</v>
      </c>
      <c r="K909" s="15" t="s">
        <v>40</v>
      </c>
      <c r="L909" s="15" t="s">
        <v>41</v>
      </c>
      <c r="M909" s="15" t="s">
        <v>55</v>
      </c>
      <c r="N909" s="15" t="s">
        <v>56</v>
      </c>
      <c r="O909" s="15" t="s">
        <v>44</v>
      </c>
      <c r="P909" s="15" t="s">
        <v>5998</v>
      </c>
      <c r="Q909" s="15" t="s">
        <v>5999</v>
      </c>
      <c r="R909" s="16">
        <v>44329</v>
      </c>
      <c r="S909" s="17" t="s">
        <v>686</v>
      </c>
      <c r="T909" s="20">
        <f>HYPERLINK("https://vnm.spiral.com.vn//uploaded/20210513/6ef20ed9-2cd7-486b-807a-bf0e75b39a28.JPEG","15:20:11")</f>
      </c>
      <c r="U909" s="18"/>
      <c r="V909" s="18" t="s">
        <v>35</v>
      </c>
      <c r="W909" s="15" t="s">
        <v>6000</v>
      </c>
      <c r="X909" s="15" t="s">
        <v>35</v>
      </c>
      <c r="Y909" s="15" t="s">
        <v>35</v>
      </c>
      <c r="Z909" s="19">
        <v>0</v>
      </c>
      <c r="AA909" s="15">
        <v>0</v>
      </c>
      <c r="AB909" s="15" t="s">
        <v>35</v>
      </c>
    </row>
    <row r="910">
      <c r="A910" s="15">
        <v>906</v>
      </c>
      <c r="B910" s="15" t="s">
        <v>343</v>
      </c>
      <c r="C910" s="15" t="s">
        <v>2135</v>
      </c>
      <c r="D910" s="15" t="s">
        <v>432</v>
      </c>
      <c r="E910" s="15" t="s">
        <v>116</v>
      </c>
      <c r="F910" s="15" t="s">
        <v>35</v>
      </c>
      <c r="G910" s="15" t="s">
        <v>74</v>
      </c>
      <c r="H910" s="15" t="s">
        <v>6001</v>
      </c>
      <c r="I910" s="15" t="s">
        <v>6002</v>
      </c>
      <c r="J910" s="15" t="s">
        <v>6003</v>
      </c>
      <c r="K910" s="15" t="s">
        <v>1168</v>
      </c>
      <c r="L910" s="15" t="s">
        <v>1169</v>
      </c>
      <c r="M910" s="15" t="s">
        <v>1170</v>
      </c>
      <c r="N910" s="15" t="s">
        <v>1171</v>
      </c>
      <c r="O910" s="15" t="s">
        <v>82</v>
      </c>
      <c r="P910" s="15" t="s">
        <v>2139</v>
      </c>
      <c r="Q910" s="15" t="s">
        <v>2140</v>
      </c>
      <c r="R910" s="16">
        <v>44329</v>
      </c>
      <c r="S910" s="17" t="s">
        <v>70</v>
      </c>
      <c r="T910" s="20">
        <f>HYPERLINK("https://vnm.spiral.com.vn//uploaded/20210513/B9527E30-0AF9-47B0-8840-EAAD28FFD1DE.jpg","13:51:13")</f>
      </c>
      <c r="U910" s="20">
        <f>HYPERLINK("https://vnm.spiral.com.vn//uploaded/20210513/32F46285-B948-43AB-A17E-350D1BD3E0BC.jpg","15:19:34")</f>
      </c>
      <c r="V910" s="18">
        <v>0.06135416666666667</v>
      </c>
      <c r="W910" s="15" t="s">
        <v>6004</v>
      </c>
      <c r="X910" s="15" t="s">
        <v>6005</v>
      </c>
      <c r="Y910" s="15" t="s">
        <v>35</v>
      </c>
      <c r="Z910" s="19">
        <v>0</v>
      </c>
      <c r="AA910" s="15">
        <v>0</v>
      </c>
      <c r="AB910" s="15" t="s">
        <v>35</v>
      </c>
    </row>
    <row r="911">
      <c r="A911" s="15">
        <v>907</v>
      </c>
      <c r="B911" s="15" t="s">
        <v>61</v>
      </c>
      <c r="C911" s="15" t="s">
        <v>1106</v>
      </c>
      <c r="D911" s="15" t="s">
        <v>135</v>
      </c>
      <c r="E911" s="15" t="s">
        <v>116</v>
      </c>
      <c r="F911" s="15" t="s">
        <v>35</v>
      </c>
      <c r="G911" s="15" t="s">
        <v>74</v>
      </c>
      <c r="H911" s="15" t="s">
        <v>6006</v>
      </c>
      <c r="I911" s="15" t="s">
        <v>6007</v>
      </c>
      <c r="J911" s="15" t="s">
        <v>6008</v>
      </c>
      <c r="K911" s="15" t="s">
        <v>154</v>
      </c>
      <c r="L911" s="15" t="s">
        <v>155</v>
      </c>
      <c r="M911" s="15" t="s">
        <v>2458</v>
      </c>
      <c r="N911" s="15" t="s">
        <v>2459</v>
      </c>
      <c r="O911" s="15" t="s">
        <v>82</v>
      </c>
      <c r="P911" s="15" t="s">
        <v>6009</v>
      </c>
      <c r="Q911" s="15" t="s">
        <v>6010</v>
      </c>
      <c r="R911" s="16">
        <v>44329</v>
      </c>
      <c r="S911" s="17" t="s">
        <v>70</v>
      </c>
      <c r="T911" s="20">
        <f>HYPERLINK("https://vnm.spiral.com.vn//uploaded/20210513/c61d52d2-d215-408a-9f8c-d632afda0fc0.JPEG","15:19:17")</f>
      </c>
      <c r="U911" s="18"/>
      <c r="V911" s="18" t="s">
        <v>35</v>
      </c>
      <c r="W911" s="15" t="s">
        <v>6011</v>
      </c>
      <c r="X911" s="15" t="s">
        <v>35</v>
      </c>
      <c r="Y911" s="15" t="s">
        <v>35</v>
      </c>
      <c r="Z911" s="19">
        <v>0</v>
      </c>
      <c r="AA911" s="15">
        <v>0</v>
      </c>
      <c r="AB911" s="15" t="s">
        <v>35</v>
      </c>
    </row>
    <row r="912">
      <c r="A912" s="15">
        <v>908</v>
      </c>
      <c r="B912" s="15" t="s">
        <v>103</v>
      </c>
      <c r="C912" s="15" t="s">
        <v>186</v>
      </c>
      <c r="D912" s="15" t="s">
        <v>35</v>
      </c>
      <c r="E912" s="15" t="s">
        <v>35</v>
      </c>
      <c r="F912" s="15" t="s">
        <v>35</v>
      </c>
      <c r="G912" s="15" t="s">
        <v>36</v>
      </c>
      <c r="H912" s="15" t="s">
        <v>6012</v>
      </c>
      <c r="I912" s="15" t="s">
        <v>6013</v>
      </c>
      <c r="J912" s="15" t="s">
        <v>6014</v>
      </c>
      <c r="K912" s="15" t="s">
        <v>40</v>
      </c>
      <c r="L912" s="15" t="s">
        <v>41</v>
      </c>
      <c r="M912" s="15" t="s">
        <v>565</v>
      </c>
      <c r="N912" s="15" t="s">
        <v>566</v>
      </c>
      <c r="O912" s="15" t="s">
        <v>44</v>
      </c>
      <c r="P912" s="15" t="s">
        <v>6015</v>
      </c>
      <c r="Q912" s="15" t="s">
        <v>6016</v>
      </c>
      <c r="R912" s="16">
        <v>44329</v>
      </c>
      <c r="S912" s="17" t="s">
        <v>569</v>
      </c>
      <c r="T912" s="20">
        <f>HYPERLINK("https://vnm.spiral.com.vn//uploaded/20210513/c7575d8d-c84d-482d-bb7d-ab3748703a1d.JPEG","15:18:34")</f>
      </c>
      <c r="U912" s="18"/>
      <c r="V912" s="18" t="s">
        <v>35</v>
      </c>
      <c r="W912" s="15" t="s">
        <v>6017</v>
      </c>
      <c r="X912" s="15" t="s">
        <v>35</v>
      </c>
      <c r="Y912" s="15" t="s">
        <v>35</v>
      </c>
      <c r="Z912" s="19">
        <v>0</v>
      </c>
      <c r="AA912" s="15">
        <v>0</v>
      </c>
      <c r="AB912" s="15" t="s">
        <v>35</v>
      </c>
    </row>
    <row r="913">
      <c r="A913" s="15">
        <v>909</v>
      </c>
      <c r="B913" s="15" t="s">
        <v>343</v>
      </c>
      <c r="C913" s="15" t="s">
        <v>344</v>
      </c>
      <c r="D913" s="15" t="s">
        <v>432</v>
      </c>
      <c r="E913" s="15" t="s">
        <v>116</v>
      </c>
      <c r="F913" s="15" t="s">
        <v>35</v>
      </c>
      <c r="G913" s="15" t="s">
        <v>74</v>
      </c>
      <c r="H913" s="15" t="s">
        <v>6018</v>
      </c>
      <c r="I913" s="15" t="s">
        <v>6019</v>
      </c>
      <c r="J913" s="15" t="s">
        <v>6020</v>
      </c>
      <c r="K913" s="15" t="s">
        <v>512</v>
      </c>
      <c r="L913" s="15" t="s">
        <v>513</v>
      </c>
      <c r="M913" s="15" t="s">
        <v>514</v>
      </c>
      <c r="N913" s="15" t="s">
        <v>515</v>
      </c>
      <c r="O913" s="15" t="s">
        <v>82</v>
      </c>
      <c r="P913" s="15" t="s">
        <v>1633</v>
      </c>
      <c r="Q913" s="15" t="s">
        <v>1634</v>
      </c>
      <c r="R913" s="16">
        <v>44329</v>
      </c>
      <c r="S913" s="17" t="s">
        <v>70</v>
      </c>
      <c r="T913" s="20">
        <f>HYPERLINK("https://vnm.spiral.com.vn//uploaded/20210513/6a5fc44a-c0b6-4491-b3f9-3131bc801262.JPEG","14:46:46")</f>
      </c>
      <c r="U913" s="20">
        <f>HYPERLINK("https://vnm.spiral.com.vn//uploaded/20210513/d2a4c843-8ab6-46c6-b170-7bb6dbfab9c0.JPEG","15:18:28")</f>
      </c>
      <c r="V913" s="18">
        <v>0.02201388888888889</v>
      </c>
      <c r="W913" s="15" t="s">
        <v>6021</v>
      </c>
      <c r="X913" s="15" t="s">
        <v>6022</v>
      </c>
      <c r="Y913" s="15" t="s">
        <v>35</v>
      </c>
      <c r="Z913" s="19">
        <v>0</v>
      </c>
      <c r="AA913" s="15">
        <v>0</v>
      </c>
      <c r="AB913" s="15" t="s">
        <v>35</v>
      </c>
    </row>
    <row r="914">
      <c r="A914" s="15">
        <v>910</v>
      </c>
      <c r="B914" s="15" t="s">
        <v>103</v>
      </c>
      <c r="C914" s="15" t="s">
        <v>1078</v>
      </c>
      <c r="D914" s="15" t="s">
        <v>35</v>
      </c>
      <c r="E914" s="15" t="s">
        <v>35</v>
      </c>
      <c r="F914" s="15" t="s">
        <v>1471</v>
      </c>
      <c r="G914" s="15" t="s">
        <v>36</v>
      </c>
      <c r="H914" s="15" t="s">
        <v>6023</v>
      </c>
      <c r="I914" s="15" t="s">
        <v>6024</v>
      </c>
      <c r="J914" s="15" t="s">
        <v>6025</v>
      </c>
      <c r="K914" s="15" t="s">
        <v>40</v>
      </c>
      <c r="L914" s="15" t="s">
        <v>41</v>
      </c>
      <c r="M914" s="15" t="s">
        <v>565</v>
      </c>
      <c r="N914" s="15" t="s">
        <v>566</v>
      </c>
      <c r="O914" s="15" t="s">
        <v>44</v>
      </c>
      <c r="P914" s="15" t="s">
        <v>6026</v>
      </c>
      <c r="Q914" s="15" t="s">
        <v>6027</v>
      </c>
      <c r="R914" s="16">
        <v>44329</v>
      </c>
      <c r="S914" s="17" t="s">
        <v>686</v>
      </c>
      <c r="T914" s="20">
        <f>HYPERLINK("https://vnm.spiral.com.vn//uploaded/20210513/8007af3d-7478-41cc-aaa6-b0d7d16d8c01.JPEG","15:18:01")</f>
      </c>
      <c r="U914" s="18"/>
      <c r="V914" s="18" t="s">
        <v>35</v>
      </c>
      <c r="W914" s="15" t="s">
        <v>6028</v>
      </c>
      <c r="X914" s="15" t="s">
        <v>35</v>
      </c>
      <c r="Y914" s="15" t="s">
        <v>35</v>
      </c>
      <c r="Z914" s="19">
        <v>0</v>
      </c>
      <c r="AA914" s="15">
        <v>0</v>
      </c>
      <c r="AB914" s="15" t="s">
        <v>35</v>
      </c>
    </row>
    <row r="915">
      <c r="A915" s="15">
        <v>911</v>
      </c>
      <c r="B915" s="15" t="s">
        <v>246</v>
      </c>
      <c r="C915" s="15" t="s">
        <v>864</v>
      </c>
      <c r="D915" s="15" t="s">
        <v>35</v>
      </c>
      <c r="E915" s="15" t="s">
        <v>35</v>
      </c>
      <c r="F915" s="15" t="s">
        <v>1676</v>
      </c>
      <c r="G915" s="15" t="s">
        <v>36</v>
      </c>
      <c r="H915" s="15" t="s">
        <v>6029</v>
      </c>
      <c r="I915" s="15" t="s">
        <v>6030</v>
      </c>
      <c r="J915" s="15" t="s">
        <v>6031</v>
      </c>
      <c r="K915" s="15" t="s">
        <v>40</v>
      </c>
      <c r="L915" s="15" t="s">
        <v>41</v>
      </c>
      <c r="M915" s="15" t="s">
        <v>252</v>
      </c>
      <c r="N915" s="15" t="s">
        <v>253</v>
      </c>
      <c r="O915" s="15" t="s">
        <v>44</v>
      </c>
      <c r="P915" s="15" t="s">
        <v>6032</v>
      </c>
      <c r="Q915" s="15" t="s">
        <v>3425</v>
      </c>
      <c r="R915" s="16">
        <v>44329</v>
      </c>
      <c r="S915" s="17" t="s">
        <v>4912</v>
      </c>
      <c r="T915" s="20">
        <f>HYPERLINK("https://vnm.spiral.com.vn//uploaded/20210513/A62503C5-0921-4254-9125-121EC448FFFA.jpg","15:17:46")</f>
      </c>
      <c r="U915" s="18"/>
      <c r="V915" s="18" t="s">
        <v>35</v>
      </c>
      <c r="W915" s="15" t="s">
        <v>6033</v>
      </c>
      <c r="X915" s="15" t="s">
        <v>35</v>
      </c>
      <c r="Y915" s="15" t="s">
        <v>35</v>
      </c>
      <c r="Z915" s="19">
        <v>0</v>
      </c>
      <c r="AA915" s="15">
        <v>0</v>
      </c>
      <c r="AB915" s="15" t="s">
        <v>35</v>
      </c>
    </row>
    <row r="916">
      <c r="A916" s="15">
        <v>912</v>
      </c>
      <c r="B916" s="15" t="s">
        <v>87</v>
      </c>
      <c r="C916" s="15" t="s">
        <v>88</v>
      </c>
      <c r="D916" s="15" t="s">
        <v>89</v>
      </c>
      <c r="E916" s="15" t="s">
        <v>90</v>
      </c>
      <c r="F916" s="15" t="s">
        <v>35</v>
      </c>
      <c r="G916" s="15" t="s">
        <v>74</v>
      </c>
      <c r="H916" s="15" t="s">
        <v>6034</v>
      </c>
      <c r="I916" s="15" t="s">
        <v>6035</v>
      </c>
      <c r="J916" s="15" t="s">
        <v>6036</v>
      </c>
      <c r="K916" s="15" t="s">
        <v>94</v>
      </c>
      <c r="L916" s="15" t="s">
        <v>95</v>
      </c>
      <c r="M916" s="15" t="s">
        <v>1554</v>
      </c>
      <c r="N916" s="15" t="s">
        <v>1555</v>
      </c>
      <c r="O916" s="15" t="s">
        <v>98</v>
      </c>
      <c r="P916" s="15" t="s">
        <v>2528</v>
      </c>
      <c r="Q916" s="15" t="s">
        <v>2529</v>
      </c>
      <c r="R916" s="16">
        <v>44329</v>
      </c>
      <c r="S916" s="17" t="s">
        <v>70</v>
      </c>
      <c r="T916" s="20">
        <f>HYPERLINK("https://vnm.spiral.com.vn//uploaded/20210513/4B01D8CB-819E-4CDB-905B-5428F0878130.jpg","15:17:23")</f>
      </c>
      <c r="U916" s="18"/>
      <c r="V916" s="18" t="s">
        <v>35</v>
      </c>
      <c r="W916" s="15" t="s">
        <v>6037</v>
      </c>
      <c r="X916" s="15" t="s">
        <v>35</v>
      </c>
      <c r="Y916" s="15" t="s">
        <v>35</v>
      </c>
      <c r="Z916" s="19">
        <v>0</v>
      </c>
      <c r="AA916" s="15">
        <v>0</v>
      </c>
      <c r="AB916" s="15" t="s">
        <v>35</v>
      </c>
    </row>
    <row r="917">
      <c r="A917" s="15">
        <v>913</v>
      </c>
      <c r="B917" s="15" t="s">
        <v>103</v>
      </c>
      <c r="C917" s="15" t="s">
        <v>186</v>
      </c>
      <c r="D917" s="15" t="s">
        <v>35</v>
      </c>
      <c r="E917" s="15" t="s">
        <v>35</v>
      </c>
      <c r="F917" s="15" t="s">
        <v>35</v>
      </c>
      <c r="G917" s="15" t="s">
        <v>36</v>
      </c>
      <c r="H917" s="15" t="s">
        <v>6038</v>
      </c>
      <c r="I917" s="15" t="s">
        <v>6039</v>
      </c>
      <c r="J917" s="15" t="s">
        <v>6040</v>
      </c>
      <c r="K917" s="15" t="s">
        <v>40</v>
      </c>
      <c r="L917" s="15" t="s">
        <v>41</v>
      </c>
      <c r="M917" s="15" t="s">
        <v>565</v>
      </c>
      <c r="N917" s="15" t="s">
        <v>566</v>
      </c>
      <c r="O917" s="15" t="s">
        <v>44</v>
      </c>
      <c r="P917" s="15" t="s">
        <v>6041</v>
      </c>
      <c r="Q917" s="15" t="s">
        <v>6042</v>
      </c>
      <c r="R917" s="16">
        <v>44329</v>
      </c>
      <c r="S917" s="17" t="s">
        <v>686</v>
      </c>
      <c r="T917" s="20">
        <f>HYPERLINK("https://vnm.spiral.com.vn//uploaded/20210513/f6e4050d-a55b-4000-a90c-40951577b1d6.JPEG","15:17:08")</f>
      </c>
      <c r="U917" s="18"/>
      <c r="V917" s="18" t="s">
        <v>35</v>
      </c>
      <c r="W917" s="15" t="s">
        <v>6043</v>
      </c>
      <c r="X917" s="15" t="s">
        <v>35</v>
      </c>
      <c r="Y917" s="15" t="s">
        <v>35</v>
      </c>
      <c r="Z917" s="19">
        <v>0</v>
      </c>
      <c r="AA917" s="15">
        <v>0</v>
      </c>
      <c r="AB917" s="15" t="s">
        <v>35</v>
      </c>
    </row>
    <row r="918">
      <c r="A918" s="15">
        <v>914</v>
      </c>
      <c r="B918" s="15" t="s">
        <v>103</v>
      </c>
      <c r="C918" s="15" t="s">
        <v>104</v>
      </c>
      <c r="D918" s="15" t="s">
        <v>35</v>
      </c>
      <c r="E918" s="15" t="s">
        <v>35</v>
      </c>
      <c r="F918" s="15" t="s">
        <v>35</v>
      </c>
      <c r="G918" s="15" t="s">
        <v>36</v>
      </c>
      <c r="H918" s="15" t="s">
        <v>6044</v>
      </c>
      <c r="I918" s="15" t="s">
        <v>6045</v>
      </c>
      <c r="J918" s="15" t="s">
        <v>6046</v>
      </c>
      <c r="K918" s="15" t="s">
        <v>40</v>
      </c>
      <c r="L918" s="15" t="s">
        <v>41</v>
      </c>
      <c r="M918" s="15" t="s">
        <v>108</v>
      </c>
      <c r="N918" s="15" t="s">
        <v>109</v>
      </c>
      <c r="O918" s="15" t="s">
        <v>44</v>
      </c>
      <c r="P918" s="15" t="s">
        <v>6047</v>
      </c>
      <c r="Q918" s="15" t="s">
        <v>6048</v>
      </c>
      <c r="R918" s="16">
        <v>44329</v>
      </c>
      <c r="S918" s="17" t="s">
        <v>686</v>
      </c>
      <c r="T918" s="20">
        <f>HYPERLINK("https://vnm.spiral.com.vn//uploaded/20210513/05A4811D-AE04-407B-A8C2-AF998E570FFA.jpg","15:16:39")</f>
      </c>
      <c r="U918" s="18"/>
      <c r="V918" s="18" t="s">
        <v>35</v>
      </c>
      <c r="W918" s="15" t="s">
        <v>6049</v>
      </c>
      <c r="X918" s="15" t="s">
        <v>35</v>
      </c>
      <c r="Y918" s="15" t="s">
        <v>35</v>
      </c>
      <c r="Z918" s="19">
        <v>0</v>
      </c>
      <c r="AA918" s="15">
        <v>0</v>
      </c>
      <c r="AB918" s="15" t="s">
        <v>35</v>
      </c>
    </row>
    <row r="919">
      <c r="A919" s="15">
        <v>915</v>
      </c>
      <c r="B919" s="15" t="s">
        <v>87</v>
      </c>
      <c r="C919" s="15" t="s">
        <v>88</v>
      </c>
      <c r="D919" s="15" t="s">
        <v>135</v>
      </c>
      <c r="E919" s="15" t="s">
        <v>116</v>
      </c>
      <c r="F919" s="15" t="s">
        <v>35</v>
      </c>
      <c r="G919" s="15" t="s">
        <v>74</v>
      </c>
      <c r="H919" s="15" t="s">
        <v>6050</v>
      </c>
      <c r="I919" s="15" t="s">
        <v>6051</v>
      </c>
      <c r="J919" s="15" t="s">
        <v>6052</v>
      </c>
      <c r="K919" s="15" t="s">
        <v>390</v>
      </c>
      <c r="L919" s="15" t="s">
        <v>391</v>
      </c>
      <c r="M919" s="15" t="s">
        <v>392</v>
      </c>
      <c r="N919" s="15" t="s">
        <v>393</v>
      </c>
      <c r="O919" s="15" t="s">
        <v>82</v>
      </c>
      <c r="P919" s="15" t="s">
        <v>5400</v>
      </c>
      <c r="Q919" s="15" t="s">
        <v>5401</v>
      </c>
      <c r="R919" s="16">
        <v>44329</v>
      </c>
      <c r="S919" s="17" t="s">
        <v>70</v>
      </c>
      <c r="T919" s="20">
        <f>HYPERLINK("https://vnm.spiral.com.vn//uploaded/20210513/1BC4AB3A-3474-46D4-A099-4E89B6533CDD.jpg","14:23:02")</f>
      </c>
      <c r="U919" s="20">
        <f>HYPERLINK("https://vnm.spiral.com.vn//uploaded/20210513/1267E252-5E37-4D3A-B2C1-9F6D980106B6.jpg","15:16:17")</f>
      </c>
      <c r="V919" s="18">
        <v>0.03697916666666667</v>
      </c>
      <c r="W919" s="15" t="s">
        <v>5402</v>
      </c>
      <c r="X919" s="15" t="s">
        <v>6053</v>
      </c>
      <c r="Y919" s="15" t="s">
        <v>35</v>
      </c>
      <c r="Z919" s="19">
        <v>0</v>
      </c>
      <c r="AA919" s="15">
        <v>0</v>
      </c>
      <c r="AB919" s="15" t="s">
        <v>35</v>
      </c>
    </row>
    <row r="920">
      <c r="A920" s="15">
        <v>916</v>
      </c>
      <c r="B920" s="15" t="s">
        <v>61</v>
      </c>
      <c r="C920" s="15" t="s">
        <v>303</v>
      </c>
      <c r="D920" s="15" t="s">
        <v>115</v>
      </c>
      <c r="E920" s="15" t="s">
        <v>116</v>
      </c>
      <c r="F920" s="15" t="s">
        <v>35</v>
      </c>
      <c r="G920" s="15" t="s">
        <v>74</v>
      </c>
      <c r="H920" s="15" t="s">
        <v>6054</v>
      </c>
      <c r="I920" s="15" t="s">
        <v>6055</v>
      </c>
      <c r="J920" s="15" t="s">
        <v>6056</v>
      </c>
      <c r="K920" s="15" t="s">
        <v>152</v>
      </c>
      <c r="L920" s="15" t="s">
        <v>153</v>
      </c>
      <c r="M920" s="15" t="s">
        <v>232</v>
      </c>
      <c r="N920" s="15" t="s">
        <v>233</v>
      </c>
      <c r="O920" s="15" t="s">
        <v>98</v>
      </c>
      <c r="P920" s="15" t="s">
        <v>503</v>
      </c>
      <c r="Q920" s="15" t="s">
        <v>504</v>
      </c>
      <c r="R920" s="16">
        <v>44329</v>
      </c>
      <c r="S920" s="17" t="s">
        <v>35</v>
      </c>
      <c r="T920" s="20">
        <f>HYPERLINK("https://vnm.spiral.com.vn//uploaded/20210513/dc3427c2-d584-40bb-bae4-3f1cd9443c71.JPEG","11:58:24")</f>
      </c>
      <c r="U920" s="20">
        <f>HYPERLINK("https://vnm.spiral.com.vn//uploaded/20210513/a8e72e48-e389-4ecf-8290-097e908d05ac.JPEG","15:16:10")</f>
      </c>
      <c r="V920" s="18">
        <v>0.13733796296296297</v>
      </c>
      <c r="W920" s="15" t="s">
        <v>6057</v>
      </c>
      <c r="X920" s="15" t="s">
        <v>6058</v>
      </c>
      <c r="Y920" s="15" t="s">
        <v>35</v>
      </c>
      <c r="Z920" s="19">
        <v>0</v>
      </c>
      <c r="AA920" s="15">
        <v>0</v>
      </c>
      <c r="AB920" s="15" t="s">
        <v>35</v>
      </c>
    </row>
    <row r="921">
      <c r="A921" s="15">
        <v>917</v>
      </c>
      <c r="B921" s="15" t="s">
        <v>87</v>
      </c>
      <c r="C921" s="15" t="s">
        <v>88</v>
      </c>
      <c r="D921" s="15" t="s">
        <v>432</v>
      </c>
      <c r="E921" s="15" t="s">
        <v>116</v>
      </c>
      <c r="F921" s="15" t="s">
        <v>35</v>
      </c>
      <c r="G921" s="15" t="s">
        <v>74</v>
      </c>
      <c r="H921" s="15" t="s">
        <v>6059</v>
      </c>
      <c r="I921" s="15" t="s">
        <v>6060</v>
      </c>
      <c r="J921" s="15" t="s">
        <v>6061</v>
      </c>
      <c r="K921" s="15" t="s">
        <v>625</v>
      </c>
      <c r="L921" s="15" t="s">
        <v>626</v>
      </c>
      <c r="M921" s="15" t="s">
        <v>627</v>
      </c>
      <c r="N921" s="15" t="s">
        <v>628</v>
      </c>
      <c r="O921" s="15" t="s">
        <v>82</v>
      </c>
      <c r="P921" s="15" t="s">
        <v>851</v>
      </c>
      <c r="Q921" s="15" t="s">
        <v>852</v>
      </c>
      <c r="R921" s="16">
        <v>44329</v>
      </c>
      <c r="S921" s="17" t="s">
        <v>70</v>
      </c>
      <c r="T921" s="20">
        <f>HYPERLINK("https://vnm.spiral.com.vn//uploaded/20210513/B7B18229-7DD1-47C0-85E9-B4A01A77C178.jpg","14:09:42")</f>
      </c>
      <c r="U921" s="20">
        <f>HYPERLINK("https://vnm.spiral.com.vn//uploaded/20210513/CE67D842-57F7-4C69-8B87-1E7BF09443E3.jpg","15:16:02")</f>
      </c>
      <c r="V921" s="18">
        <v>0.046064814814814815</v>
      </c>
      <c r="W921" s="15" t="s">
        <v>6062</v>
      </c>
      <c r="X921" s="15" t="s">
        <v>6063</v>
      </c>
      <c r="Y921" s="15" t="s">
        <v>35</v>
      </c>
      <c r="Z921" s="19">
        <v>0</v>
      </c>
      <c r="AA921" s="15">
        <v>0</v>
      </c>
      <c r="AB921" s="15" t="s">
        <v>35</v>
      </c>
    </row>
    <row r="922">
      <c r="A922" s="15">
        <v>918</v>
      </c>
      <c r="B922" s="15" t="s">
        <v>343</v>
      </c>
      <c r="C922" s="15" t="s">
        <v>344</v>
      </c>
      <c r="D922" s="15" t="s">
        <v>35</v>
      </c>
      <c r="E922" s="15" t="s">
        <v>35</v>
      </c>
      <c r="F922" s="15" t="s">
        <v>35</v>
      </c>
      <c r="G922" s="15" t="s">
        <v>74</v>
      </c>
      <c r="H922" s="15" t="s">
        <v>6064</v>
      </c>
      <c r="I922" s="15" t="s">
        <v>6065</v>
      </c>
      <c r="J922" s="15" t="s">
        <v>6066</v>
      </c>
      <c r="K922" s="15" t="s">
        <v>584</v>
      </c>
      <c r="L922" s="15" t="s">
        <v>585</v>
      </c>
      <c r="M922" s="15" t="s">
        <v>827</v>
      </c>
      <c r="N922" s="15" t="s">
        <v>828</v>
      </c>
      <c r="O922" s="15" t="s">
        <v>82</v>
      </c>
      <c r="P922" s="15" t="s">
        <v>2717</v>
      </c>
      <c r="Q922" s="15" t="s">
        <v>2718</v>
      </c>
      <c r="R922" s="16">
        <v>44329</v>
      </c>
      <c r="S922" s="17" t="s">
        <v>70</v>
      </c>
      <c r="T922" s="20">
        <f>HYPERLINK("https://vnm.spiral.com.vn//uploaded/20210513/91F56264-E655-497E-8F36-3BF9647610F3.jpg","14:59:08")</f>
      </c>
      <c r="U922" s="20">
        <f>HYPERLINK("https://vnm.spiral.com.vn//uploaded/20210513/2D3E32ED-DA51-4BE3-B182-9CF2B633374F.jpg","15:15:17")</f>
      </c>
      <c r="V922" s="18">
        <v>0.011215277777777777</v>
      </c>
      <c r="W922" s="15" t="s">
        <v>6067</v>
      </c>
      <c r="X922" s="15" t="s">
        <v>6068</v>
      </c>
      <c r="Y922" s="15" t="s">
        <v>35</v>
      </c>
      <c r="Z922" s="19">
        <v>0</v>
      </c>
      <c r="AA922" s="15">
        <v>0</v>
      </c>
      <c r="AB922" s="15" t="s">
        <v>35</v>
      </c>
    </row>
    <row r="923">
      <c r="A923" s="15">
        <v>919</v>
      </c>
      <c r="B923" s="15" t="s">
        <v>87</v>
      </c>
      <c r="C923" s="15" t="s">
        <v>88</v>
      </c>
      <c r="D923" s="15" t="s">
        <v>148</v>
      </c>
      <c r="E923" s="15" t="s">
        <v>90</v>
      </c>
      <c r="F923" s="15" t="s">
        <v>35</v>
      </c>
      <c r="G923" s="15" t="s">
        <v>74</v>
      </c>
      <c r="H923" s="15" t="s">
        <v>6069</v>
      </c>
      <c r="I923" s="15" t="s">
        <v>6070</v>
      </c>
      <c r="J923" s="15" t="s">
        <v>6071</v>
      </c>
      <c r="K923" s="15" t="s">
        <v>94</v>
      </c>
      <c r="L923" s="15" t="s">
        <v>95</v>
      </c>
      <c r="M923" s="15" t="s">
        <v>1204</v>
      </c>
      <c r="N923" s="15" t="s">
        <v>1205</v>
      </c>
      <c r="O923" s="15" t="s">
        <v>98</v>
      </c>
      <c r="P923" s="15" t="s">
        <v>1965</v>
      </c>
      <c r="Q923" s="15" t="s">
        <v>1966</v>
      </c>
      <c r="R923" s="16">
        <v>44329</v>
      </c>
      <c r="S923" s="17" t="s">
        <v>35</v>
      </c>
      <c r="T923" s="20">
        <f>HYPERLINK("https://vnm.spiral.com.vn//uploaded/20210513/db08e265-f16f-4d0e-a54b-1bce3bd60898.jpg","07:36:11")</f>
      </c>
      <c r="U923" s="20">
        <f>HYPERLINK("https://vnm.spiral.com.vn//uploaded/20210513/8add3897-4ec1-4758-831d-aa475eb4ff74.jpg","15:14:51")</f>
      </c>
      <c r="V923" s="18">
        <v>0.31851851851851853</v>
      </c>
      <c r="W923" s="15" t="s">
        <v>6072</v>
      </c>
      <c r="X923" s="15" t="s">
        <v>6073</v>
      </c>
      <c r="Y923" s="15" t="s">
        <v>35</v>
      </c>
      <c r="Z923" s="19">
        <v>0</v>
      </c>
      <c r="AA923" s="15">
        <v>0</v>
      </c>
      <c r="AB923" s="15" t="s">
        <v>35</v>
      </c>
    </row>
    <row r="924">
      <c r="A924" s="15">
        <v>920</v>
      </c>
      <c r="B924" s="15" t="s">
        <v>87</v>
      </c>
      <c r="C924" s="15" t="s">
        <v>88</v>
      </c>
      <c r="D924" s="15" t="s">
        <v>357</v>
      </c>
      <c r="E924" s="15" t="s">
        <v>90</v>
      </c>
      <c r="F924" s="15" t="s">
        <v>35</v>
      </c>
      <c r="G924" s="15" t="s">
        <v>74</v>
      </c>
      <c r="H924" s="15" t="s">
        <v>6074</v>
      </c>
      <c r="I924" s="15" t="s">
        <v>6075</v>
      </c>
      <c r="J924" s="15" t="s">
        <v>6076</v>
      </c>
      <c r="K924" s="15" t="s">
        <v>94</v>
      </c>
      <c r="L924" s="15" t="s">
        <v>95</v>
      </c>
      <c r="M924" s="15" t="s">
        <v>1570</v>
      </c>
      <c r="N924" s="15" t="s">
        <v>1571</v>
      </c>
      <c r="O924" s="15" t="s">
        <v>98</v>
      </c>
      <c r="P924" s="15" t="s">
        <v>1572</v>
      </c>
      <c r="Q924" s="15" t="s">
        <v>1573</v>
      </c>
      <c r="R924" s="16">
        <v>44329</v>
      </c>
      <c r="S924" s="17" t="s">
        <v>70</v>
      </c>
      <c r="T924" s="20">
        <f>HYPERLINK("https://vnm.spiral.com.vn//uploaded/20210513/0aad348a-e552-4d15-b1cc-76939ec52b17.JPEG","14:40:25")</f>
      </c>
      <c r="U924" s="20">
        <f>HYPERLINK("https://vnm.spiral.com.vn//uploaded/20210513/1e3f8a8e-8275-48b5-ae4f-4cb6fb0dd3a9.JPEG","15:14:40")</f>
      </c>
      <c r="V924" s="18">
        <v>0.02378472222222222</v>
      </c>
      <c r="W924" s="15" t="s">
        <v>6077</v>
      </c>
      <c r="X924" s="15" t="s">
        <v>6078</v>
      </c>
      <c r="Y924" s="15" t="s">
        <v>35</v>
      </c>
      <c r="Z924" s="19">
        <v>0</v>
      </c>
      <c r="AA924" s="15">
        <v>0</v>
      </c>
      <c r="AB924" s="15" t="s">
        <v>35</v>
      </c>
    </row>
    <row r="925">
      <c r="A925" s="15">
        <v>921</v>
      </c>
      <c r="B925" s="15" t="s">
        <v>87</v>
      </c>
      <c r="C925" s="15" t="s">
        <v>88</v>
      </c>
      <c r="D925" s="15" t="s">
        <v>35</v>
      </c>
      <c r="E925" s="15" t="s">
        <v>35</v>
      </c>
      <c r="F925" s="15" t="s">
        <v>2721</v>
      </c>
      <c r="G925" s="15" t="s">
        <v>36</v>
      </c>
      <c r="H925" s="15" t="s">
        <v>6079</v>
      </c>
      <c r="I925" s="15" t="s">
        <v>6080</v>
      </c>
      <c r="J925" s="15" t="s">
        <v>6081</v>
      </c>
      <c r="K925" s="15" t="s">
        <v>40</v>
      </c>
      <c r="L925" s="15" t="s">
        <v>41</v>
      </c>
      <c r="M925" s="15" t="s">
        <v>1195</v>
      </c>
      <c r="N925" s="15" t="s">
        <v>1196</v>
      </c>
      <c r="O925" s="15" t="s">
        <v>44</v>
      </c>
      <c r="P925" s="15" t="s">
        <v>6082</v>
      </c>
      <c r="Q925" s="15" t="s">
        <v>6083</v>
      </c>
      <c r="R925" s="16">
        <v>44329</v>
      </c>
      <c r="S925" s="17" t="s">
        <v>686</v>
      </c>
      <c r="T925" s="20">
        <f>HYPERLINK("https://vnm.spiral.com.vn//uploaded/20210513/a90d1648-ef38-417d-8331-24749d6acf68.JPEG","15:14:25")</f>
      </c>
      <c r="U925" s="18"/>
      <c r="V925" s="18" t="s">
        <v>35</v>
      </c>
      <c r="W925" s="15" t="s">
        <v>6084</v>
      </c>
      <c r="X925" s="15" t="s">
        <v>35</v>
      </c>
      <c r="Y925" s="15" t="s">
        <v>35</v>
      </c>
      <c r="Z925" s="19">
        <v>0</v>
      </c>
      <c r="AA925" s="15">
        <v>0</v>
      </c>
      <c r="AB925" s="15" t="s">
        <v>35</v>
      </c>
    </row>
    <row r="926">
      <c r="A926" s="15">
        <v>922</v>
      </c>
      <c r="B926" s="15" t="s">
        <v>343</v>
      </c>
      <c r="C926" s="15" t="s">
        <v>344</v>
      </c>
      <c r="D926" s="15" t="s">
        <v>432</v>
      </c>
      <c r="E926" s="15" t="s">
        <v>116</v>
      </c>
      <c r="F926" s="15" t="s">
        <v>35</v>
      </c>
      <c r="G926" s="15" t="s">
        <v>74</v>
      </c>
      <c r="H926" s="15" t="s">
        <v>6085</v>
      </c>
      <c r="I926" s="15" t="s">
        <v>6086</v>
      </c>
      <c r="J926" s="15" t="s">
        <v>6087</v>
      </c>
      <c r="K926" s="15" t="s">
        <v>1168</v>
      </c>
      <c r="L926" s="15" t="s">
        <v>1169</v>
      </c>
      <c r="M926" s="15" t="s">
        <v>1170</v>
      </c>
      <c r="N926" s="15" t="s">
        <v>1171</v>
      </c>
      <c r="O926" s="15" t="s">
        <v>82</v>
      </c>
      <c r="P926" s="15" t="s">
        <v>3799</v>
      </c>
      <c r="Q926" s="15" t="s">
        <v>3800</v>
      </c>
      <c r="R926" s="16">
        <v>44329</v>
      </c>
      <c r="S926" s="17" t="s">
        <v>70</v>
      </c>
      <c r="T926" s="20">
        <f>HYPERLINK("https://vnm.spiral.com.vn//uploaded/20210513/2c9ca923-4764-477e-aac3-abd0f4a4999d.JPEG","13:36:50")</f>
      </c>
      <c r="U926" s="20">
        <f>HYPERLINK("https://vnm.spiral.com.vn//uploaded/20210513/3170f2cb-8f4a-437b-81bd-2d6550d44675.JPEG","15:14:09")</f>
      </c>
      <c r="V926" s="18">
        <v>0.06758101851851851</v>
      </c>
      <c r="W926" s="15" t="s">
        <v>6088</v>
      </c>
      <c r="X926" s="15" t="s">
        <v>6089</v>
      </c>
      <c r="Y926" s="15" t="s">
        <v>35</v>
      </c>
      <c r="Z926" s="19">
        <v>0</v>
      </c>
      <c r="AA926" s="15">
        <v>0</v>
      </c>
      <c r="AB926" s="15" t="s">
        <v>35</v>
      </c>
    </row>
    <row r="927">
      <c r="A927" s="15">
        <v>923</v>
      </c>
      <c r="B927" s="15" t="s">
        <v>87</v>
      </c>
      <c r="C927" s="15" t="s">
        <v>88</v>
      </c>
      <c r="D927" s="15" t="s">
        <v>35</v>
      </c>
      <c r="E927" s="15" t="s">
        <v>35</v>
      </c>
      <c r="F927" s="15" t="s">
        <v>35</v>
      </c>
      <c r="G927" s="15" t="s">
        <v>74</v>
      </c>
      <c r="H927" s="15" t="s">
        <v>6090</v>
      </c>
      <c r="I927" s="15" t="s">
        <v>6091</v>
      </c>
      <c r="J927" s="15" t="s">
        <v>6092</v>
      </c>
      <c r="K927" s="15" t="s">
        <v>888</v>
      </c>
      <c r="L927" s="15" t="s">
        <v>889</v>
      </c>
      <c r="M927" s="15" t="s">
        <v>1666</v>
      </c>
      <c r="N927" s="15" t="s">
        <v>1667</v>
      </c>
      <c r="O927" s="15" t="s">
        <v>82</v>
      </c>
      <c r="P927" s="15" t="s">
        <v>1668</v>
      </c>
      <c r="Q927" s="15" t="s">
        <v>1669</v>
      </c>
      <c r="R927" s="16">
        <v>44329</v>
      </c>
      <c r="S927" s="17" t="s">
        <v>70</v>
      </c>
      <c r="T927" s="20">
        <f>HYPERLINK("https://vnm.spiral.com.vn//uploaded/20210513/31A536BB-77B5-467F-A241-6C3EE52FFDBB.jpg","14:53:02")</f>
      </c>
      <c r="U927" s="20">
        <f>HYPERLINK("https://vnm.spiral.com.vn//uploaded/20210513/0B769220-42FF-49A0-9D23-8B3A12EA91D1.jpg","15:14:08")</f>
      </c>
      <c r="V927" s="18">
        <v>0.014652777777777778</v>
      </c>
      <c r="W927" s="15" t="s">
        <v>6093</v>
      </c>
      <c r="X927" s="15" t="s">
        <v>6094</v>
      </c>
      <c r="Y927" s="15" t="s">
        <v>35</v>
      </c>
      <c r="Z927" s="19">
        <v>0</v>
      </c>
      <c r="AA927" s="15">
        <v>0</v>
      </c>
      <c r="AB927" s="15" t="s">
        <v>35</v>
      </c>
    </row>
    <row r="928">
      <c r="A928" s="15">
        <v>924</v>
      </c>
      <c r="B928" s="15" t="s">
        <v>33</v>
      </c>
      <c r="C928" s="15" t="s">
        <v>979</v>
      </c>
      <c r="D928" s="15" t="s">
        <v>35</v>
      </c>
      <c r="E928" s="15" t="s">
        <v>35</v>
      </c>
      <c r="F928" s="15" t="s">
        <v>35</v>
      </c>
      <c r="G928" s="15" t="s">
        <v>74</v>
      </c>
      <c r="H928" s="15" t="s">
        <v>6095</v>
      </c>
      <c r="I928" s="15" t="s">
        <v>6096</v>
      </c>
      <c r="J928" s="15" t="s">
        <v>6097</v>
      </c>
      <c r="K928" s="15" t="s">
        <v>540</v>
      </c>
      <c r="L928" s="15" t="s">
        <v>541</v>
      </c>
      <c r="M928" s="15" t="s">
        <v>769</v>
      </c>
      <c r="N928" s="15" t="s">
        <v>770</v>
      </c>
      <c r="O928" s="15" t="s">
        <v>82</v>
      </c>
      <c r="P928" s="15" t="s">
        <v>3034</v>
      </c>
      <c r="Q928" s="15" t="s">
        <v>3035</v>
      </c>
      <c r="R928" s="16">
        <v>44329</v>
      </c>
      <c r="S928" s="17" t="s">
        <v>70</v>
      </c>
      <c r="T928" s="20">
        <f>HYPERLINK("https://vnm.spiral.com.vn//uploaded/20210513/948abce5-63ff-42a8-ad93-625447f6adb6.JPEG","12:09:02")</f>
      </c>
      <c r="U928" s="20">
        <f>HYPERLINK("https://vnm.spiral.com.vn//uploaded/20210513/a657a812-708f-417b-9b0e-3998dedfecca.JPEG","15:14:06")</f>
      </c>
      <c r="V928" s="18">
        <v>0.12851851851851853</v>
      </c>
      <c r="W928" s="15" t="s">
        <v>6098</v>
      </c>
      <c r="X928" s="15" t="s">
        <v>6099</v>
      </c>
      <c r="Y928" s="15" t="s">
        <v>35</v>
      </c>
      <c r="Z928" s="19">
        <v>0</v>
      </c>
      <c r="AA928" s="15">
        <v>0</v>
      </c>
      <c r="AB928" s="15" t="s">
        <v>35</v>
      </c>
    </row>
    <row r="929">
      <c r="A929" s="15">
        <v>925</v>
      </c>
      <c r="B929" s="15" t="s">
        <v>103</v>
      </c>
      <c r="C929" s="15" t="s">
        <v>186</v>
      </c>
      <c r="D929" s="15" t="s">
        <v>35</v>
      </c>
      <c r="E929" s="15" t="s">
        <v>35</v>
      </c>
      <c r="F929" s="15" t="s">
        <v>35</v>
      </c>
      <c r="G929" s="15" t="s">
        <v>36</v>
      </c>
      <c r="H929" s="15" t="s">
        <v>6100</v>
      </c>
      <c r="I929" s="15" t="s">
        <v>5512</v>
      </c>
      <c r="J929" s="15" t="s">
        <v>6101</v>
      </c>
      <c r="K929" s="15" t="s">
        <v>40</v>
      </c>
      <c r="L929" s="15" t="s">
        <v>41</v>
      </c>
      <c r="M929" s="15" t="s">
        <v>565</v>
      </c>
      <c r="N929" s="15" t="s">
        <v>566</v>
      </c>
      <c r="O929" s="15" t="s">
        <v>44</v>
      </c>
      <c r="P929" s="15" t="s">
        <v>6102</v>
      </c>
      <c r="Q929" s="15" t="s">
        <v>6103</v>
      </c>
      <c r="R929" s="16">
        <v>44329</v>
      </c>
      <c r="S929" s="17" t="s">
        <v>971</v>
      </c>
      <c r="T929" s="20">
        <f>HYPERLINK("https://vnm.spiral.com.vn//uploaded/20210513/57161744-7BFF-4690-A57F-4573F06E2E30.jpg","07:03:40")</f>
      </c>
      <c r="U929" s="20">
        <f>HYPERLINK("https://vnm.spiral.com.vn//uploaded/20210513/D7761A0E-85EB-4FA2-9DF0-4348ACDC4050.jpg","15:14:04")</f>
      </c>
      <c r="V929" s="18">
        <v>0.34055555555555556</v>
      </c>
      <c r="W929" s="15" t="s">
        <v>6104</v>
      </c>
      <c r="X929" s="15" t="s">
        <v>6105</v>
      </c>
      <c r="Y929" s="15" t="s">
        <v>35</v>
      </c>
      <c r="Z929" s="19">
        <v>0</v>
      </c>
      <c r="AA929" s="15">
        <v>0</v>
      </c>
      <c r="AB929" s="15" t="s">
        <v>35</v>
      </c>
    </row>
    <row r="930">
      <c r="A930" s="15">
        <v>926</v>
      </c>
      <c r="B930" s="15" t="s">
        <v>87</v>
      </c>
      <c r="C930" s="15" t="s">
        <v>88</v>
      </c>
      <c r="D930" s="15" t="s">
        <v>35</v>
      </c>
      <c r="E930" s="15" t="s">
        <v>35</v>
      </c>
      <c r="F930" s="15" t="s">
        <v>35</v>
      </c>
      <c r="G930" s="15" t="s">
        <v>74</v>
      </c>
      <c r="H930" s="15" t="s">
        <v>6106</v>
      </c>
      <c r="I930" s="15" t="s">
        <v>6107</v>
      </c>
      <c r="J930" s="15" t="s">
        <v>6108</v>
      </c>
      <c r="K930" s="15" t="s">
        <v>190</v>
      </c>
      <c r="L930" s="15" t="s">
        <v>191</v>
      </c>
      <c r="M930" s="15" t="s">
        <v>888</v>
      </c>
      <c r="N930" s="15" t="s">
        <v>889</v>
      </c>
      <c r="O930" s="15" t="s">
        <v>98</v>
      </c>
      <c r="P930" s="15" t="s">
        <v>924</v>
      </c>
      <c r="Q930" s="15" t="s">
        <v>925</v>
      </c>
      <c r="R930" s="16">
        <v>44329</v>
      </c>
      <c r="S930" s="17" t="s">
        <v>35</v>
      </c>
      <c r="T930" s="20">
        <f>HYPERLINK("https://vnm.spiral.com.vn//uploaded/20210513/df66ec1f-32c0-4271-a572-e0db814c1773.JPEG","10:17:21")</f>
      </c>
      <c r="U930" s="20">
        <f>HYPERLINK("https://vnm.spiral.com.vn//uploaded/20210513/1551eaef-f4bd-4129-a67d-8f80239965cd.JPEG","15:14:04")</f>
      </c>
      <c r="V930" s="18">
        <v>0.20605324074074075</v>
      </c>
      <c r="W930" s="15" t="s">
        <v>6109</v>
      </c>
      <c r="X930" s="15" t="s">
        <v>6110</v>
      </c>
      <c r="Y930" s="15" t="s">
        <v>35</v>
      </c>
      <c r="Z930" s="19">
        <v>0</v>
      </c>
      <c r="AA930" s="15">
        <v>0</v>
      </c>
      <c r="AB930" s="15" t="s">
        <v>35</v>
      </c>
    </row>
    <row r="931">
      <c r="A931" s="15">
        <v>927</v>
      </c>
      <c r="B931" s="15" t="s">
        <v>103</v>
      </c>
      <c r="C931" s="15" t="s">
        <v>2116</v>
      </c>
      <c r="D931" s="15" t="s">
        <v>135</v>
      </c>
      <c r="E931" s="15" t="s">
        <v>116</v>
      </c>
      <c r="F931" s="15" t="s">
        <v>35</v>
      </c>
      <c r="G931" s="15" t="s">
        <v>74</v>
      </c>
      <c r="H931" s="15" t="s">
        <v>6111</v>
      </c>
      <c r="I931" s="15" t="s">
        <v>6112</v>
      </c>
      <c r="J931" s="15" t="s">
        <v>6113</v>
      </c>
      <c r="K931" s="15" t="s">
        <v>178</v>
      </c>
      <c r="L931" s="15" t="s">
        <v>179</v>
      </c>
      <c r="M931" s="15" t="s">
        <v>2120</v>
      </c>
      <c r="N931" s="15" t="s">
        <v>2121</v>
      </c>
      <c r="O931" s="15" t="s">
        <v>82</v>
      </c>
      <c r="P931" s="15" t="s">
        <v>2186</v>
      </c>
      <c r="Q931" s="15" t="s">
        <v>2187</v>
      </c>
      <c r="R931" s="16">
        <v>44329</v>
      </c>
      <c r="S931" s="17" t="s">
        <v>70</v>
      </c>
      <c r="T931" s="20">
        <f>HYPERLINK("https://vnm.spiral.com.vn//uploaded/20210513/0d16849f-c4e1-4725-a165-96e52d229bef.JPEG","14:18:23")</f>
      </c>
      <c r="U931" s="20">
        <f>HYPERLINK("https://vnm.spiral.com.vn//uploaded/20210513/5b93a869-7eb5-4932-b7de-26e084e83079.JPEG","15:13:41")</f>
      </c>
      <c r="V931" s="18">
        <v>0.03840277777777778</v>
      </c>
      <c r="W931" s="15" t="s">
        <v>6114</v>
      </c>
      <c r="X931" s="15" t="s">
        <v>6115</v>
      </c>
      <c r="Y931" s="15" t="s">
        <v>35</v>
      </c>
      <c r="Z931" s="19">
        <v>0</v>
      </c>
      <c r="AA931" s="15">
        <v>0</v>
      </c>
      <c r="AB931" s="15" t="s">
        <v>35</v>
      </c>
    </row>
    <row r="932">
      <c r="A932" s="15">
        <v>928</v>
      </c>
      <c r="B932" s="15" t="s">
        <v>343</v>
      </c>
      <c r="C932" s="15" t="s">
        <v>344</v>
      </c>
      <c r="D932" s="15" t="s">
        <v>35</v>
      </c>
      <c r="E932" s="15" t="s">
        <v>35</v>
      </c>
      <c r="F932" s="15" t="s">
        <v>35</v>
      </c>
      <c r="G932" s="15" t="s">
        <v>36</v>
      </c>
      <c r="H932" s="15" t="s">
        <v>6116</v>
      </c>
      <c r="I932" s="15" t="s">
        <v>6117</v>
      </c>
      <c r="J932" s="15" t="s">
        <v>6118</v>
      </c>
      <c r="K932" s="15" t="s">
        <v>40</v>
      </c>
      <c r="L932" s="15" t="s">
        <v>41</v>
      </c>
      <c r="M932" s="15" t="s">
        <v>595</v>
      </c>
      <c r="N932" s="15" t="s">
        <v>596</v>
      </c>
      <c r="O932" s="15" t="s">
        <v>44</v>
      </c>
      <c r="P932" s="15" t="s">
        <v>6119</v>
      </c>
      <c r="Q932" s="15" t="s">
        <v>6120</v>
      </c>
      <c r="R932" s="16">
        <v>44329</v>
      </c>
      <c r="S932" s="17" t="s">
        <v>686</v>
      </c>
      <c r="T932" s="20">
        <f>HYPERLINK("https://vnm.spiral.com.vn//uploaded/20210513/4f240526-d496-4b49-a18a-1a68c83fd53e.JPEG","15:13:29")</f>
      </c>
      <c r="U932" s="18"/>
      <c r="V932" s="18" t="s">
        <v>35</v>
      </c>
      <c r="W932" s="15" t="s">
        <v>6121</v>
      </c>
      <c r="X932" s="15" t="s">
        <v>35</v>
      </c>
      <c r="Y932" s="15" t="s">
        <v>35</v>
      </c>
      <c r="Z932" s="19">
        <v>0</v>
      </c>
      <c r="AA932" s="15">
        <v>0</v>
      </c>
      <c r="AB932" s="15" t="s">
        <v>35</v>
      </c>
    </row>
    <row r="933">
      <c r="A933" s="15">
        <v>929</v>
      </c>
      <c r="B933" s="15" t="s">
        <v>246</v>
      </c>
      <c r="C933" s="15" t="s">
        <v>259</v>
      </c>
      <c r="D933" s="15" t="s">
        <v>35</v>
      </c>
      <c r="E933" s="15" t="s">
        <v>35</v>
      </c>
      <c r="F933" s="15" t="s">
        <v>4355</v>
      </c>
      <c r="G933" s="15" t="s">
        <v>36</v>
      </c>
      <c r="H933" s="15" t="s">
        <v>6122</v>
      </c>
      <c r="I933" s="15" t="s">
        <v>6123</v>
      </c>
      <c r="J933" s="15" t="s">
        <v>6124</v>
      </c>
      <c r="K933" s="15" t="s">
        <v>40</v>
      </c>
      <c r="L933" s="15" t="s">
        <v>41</v>
      </c>
      <c r="M933" s="15" t="s">
        <v>252</v>
      </c>
      <c r="N933" s="15" t="s">
        <v>253</v>
      </c>
      <c r="O933" s="15" t="s">
        <v>44</v>
      </c>
      <c r="P933" s="15" t="s">
        <v>6125</v>
      </c>
      <c r="Q933" s="15" t="s">
        <v>6126</v>
      </c>
      <c r="R933" s="16">
        <v>44329</v>
      </c>
      <c r="S933" s="17" t="s">
        <v>686</v>
      </c>
      <c r="T933" s="20">
        <f>HYPERLINK("https://vnm.spiral.com.vn//uploaded/20210513/7D92435D-EA80-4A48-BE60-BB1FCB87E024.jpg","15:13:13")</f>
      </c>
      <c r="U933" s="18"/>
      <c r="V933" s="18" t="s">
        <v>35</v>
      </c>
      <c r="W933" s="15" t="s">
        <v>6127</v>
      </c>
      <c r="X933" s="15" t="s">
        <v>35</v>
      </c>
      <c r="Y933" s="15" t="s">
        <v>35</v>
      </c>
      <c r="Z933" s="19">
        <v>0</v>
      </c>
      <c r="AA933" s="15">
        <v>0</v>
      </c>
      <c r="AB933" s="15" t="s">
        <v>35</v>
      </c>
    </row>
    <row r="934">
      <c r="A934" s="15">
        <v>930</v>
      </c>
      <c r="B934" s="15" t="s">
        <v>49</v>
      </c>
      <c r="C934" s="15" t="s">
        <v>162</v>
      </c>
      <c r="D934" s="15" t="s">
        <v>35</v>
      </c>
      <c r="E934" s="15" t="s">
        <v>35</v>
      </c>
      <c r="F934" s="15" t="s">
        <v>833</v>
      </c>
      <c r="G934" s="15" t="s">
        <v>36</v>
      </c>
      <c r="H934" s="15" t="s">
        <v>6128</v>
      </c>
      <c r="I934" s="15" t="s">
        <v>6129</v>
      </c>
      <c r="J934" s="15" t="s">
        <v>6130</v>
      </c>
      <c r="K934" s="15" t="s">
        <v>40</v>
      </c>
      <c r="L934" s="15" t="s">
        <v>41</v>
      </c>
      <c r="M934" s="15" t="s">
        <v>55</v>
      </c>
      <c r="N934" s="15" t="s">
        <v>56</v>
      </c>
      <c r="O934" s="15" t="s">
        <v>44</v>
      </c>
      <c r="P934" s="15" t="s">
        <v>6131</v>
      </c>
      <c r="Q934" s="15" t="s">
        <v>6132</v>
      </c>
      <c r="R934" s="16">
        <v>44329</v>
      </c>
      <c r="S934" s="17" t="s">
        <v>686</v>
      </c>
      <c r="T934" s="20">
        <f>HYPERLINK("https://vnm.spiral.com.vn//uploaded/20210513/A17E2BCC-AEEB-400F-A4DA-E6BE6AD3187D.jpg","15:13:11")</f>
      </c>
      <c r="U934" s="18"/>
      <c r="V934" s="18" t="s">
        <v>35</v>
      </c>
      <c r="W934" s="15" t="s">
        <v>6133</v>
      </c>
      <c r="X934" s="15" t="s">
        <v>35</v>
      </c>
      <c r="Y934" s="15" t="s">
        <v>35</v>
      </c>
      <c r="Z934" s="19">
        <v>0</v>
      </c>
      <c r="AA934" s="15">
        <v>0</v>
      </c>
      <c r="AB934" s="15" t="s">
        <v>35</v>
      </c>
    </row>
    <row r="935">
      <c r="A935" s="15">
        <v>931</v>
      </c>
      <c r="B935" s="15" t="s">
        <v>87</v>
      </c>
      <c r="C935" s="15" t="s">
        <v>88</v>
      </c>
      <c r="D935" s="15" t="s">
        <v>610</v>
      </c>
      <c r="E935" s="15" t="s">
        <v>90</v>
      </c>
      <c r="F935" s="15" t="s">
        <v>35</v>
      </c>
      <c r="G935" s="15" t="s">
        <v>74</v>
      </c>
      <c r="H935" s="15" t="s">
        <v>6134</v>
      </c>
      <c r="I935" s="15" t="s">
        <v>6135</v>
      </c>
      <c r="J935" s="15" t="s">
        <v>6136</v>
      </c>
      <c r="K935" s="15" t="s">
        <v>94</v>
      </c>
      <c r="L935" s="15" t="s">
        <v>95</v>
      </c>
      <c r="M935" s="15" t="s">
        <v>614</v>
      </c>
      <c r="N935" s="15" t="s">
        <v>615</v>
      </c>
      <c r="O935" s="15" t="s">
        <v>82</v>
      </c>
      <c r="P935" s="15" t="s">
        <v>2583</v>
      </c>
      <c r="Q935" s="15" t="s">
        <v>2584</v>
      </c>
      <c r="R935" s="16">
        <v>44329</v>
      </c>
      <c r="S935" s="17" t="s">
        <v>70</v>
      </c>
      <c r="T935" s="20">
        <f>HYPERLINK("https://vnm.spiral.com.vn//uploaded/20210513/a1083bba-9cd5-4033-b007-03667dcc24eb.JPEG","14:38:00")</f>
      </c>
      <c r="U935" s="20">
        <f>HYPERLINK("https://vnm.spiral.com.vn//uploaded/20210513/8208e46f-fb23-49c9-b91e-4d8b2f0822d5.JPEG","15:13:03")</f>
      </c>
      <c r="V935" s="18">
        <v>0.024340277777777777</v>
      </c>
      <c r="W935" s="15" t="s">
        <v>6137</v>
      </c>
      <c r="X935" s="15" t="s">
        <v>6138</v>
      </c>
      <c r="Y935" s="15" t="s">
        <v>35</v>
      </c>
      <c r="Z935" s="19">
        <v>0</v>
      </c>
      <c r="AA935" s="15">
        <v>0</v>
      </c>
      <c r="AB935" s="15" t="s">
        <v>35</v>
      </c>
    </row>
    <row r="936">
      <c r="A936" s="15">
        <v>932</v>
      </c>
      <c r="B936" s="15" t="s">
        <v>103</v>
      </c>
      <c r="C936" s="15" t="s">
        <v>104</v>
      </c>
      <c r="D936" s="15" t="s">
        <v>35</v>
      </c>
      <c r="E936" s="15" t="s">
        <v>35</v>
      </c>
      <c r="F936" s="15" t="s">
        <v>35</v>
      </c>
      <c r="G936" s="15" t="s">
        <v>36</v>
      </c>
      <c r="H936" s="15" t="s">
        <v>6139</v>
      </c>
      <c r="I936" s="15" t="s">
        <v>6140</v>
      </c>
      <c r="J936" s="15" t="s">
        <v>6141</v>
      </c>
      <c r="K936" s="15" t="s">
        <v>40</v>
      </c>
      <c r="L936" s="15" t="s">
        <v>41</v>
      </c>
      <c r="M936" s="15" t="s">
        <v>108</v>
      </c>
      <c r="N936" s="15" t="s">
        <v>109</v>
      </c>
      <c r="O936" s="15" t="s">
        <v>44</v>
      </c>
      <c r="P936" s="15" t="s">
        <v>6142</v>
      </c>
      <c r="Q936" s="15" t="s">
        <v>6143</v>
      </c>
      <c r="R936" s="16">
        <v>44329</v>
      </c>
      <c r="S936" s="17" t="s">
        <v>6144</v>
      </c>
      <c r="T936" s="20">
        <f>HYPERLINK("https://vnm.spiral.com.vn//uploaded/20210513/25ca3c66-0fff-4610-964e-43970e73de89.JPEG","15:12:38")</f>
      </c>
      <c r="U936" s="18"/>
      <c r="V936" s="18" t="s">
        <v>35</v>
      </c>
      <c r="W936" s="15" t="s">
        <v>6145</v>
      </c>
      <c r="X936" s="15" t="s">
        <v>35</v>
      </c>
      <c r="Y936" s="15" t="s">
        <v>35</v>
      </c>
      <c r="Z936" s="19">
        <v>0</v>
      </c>
      <c r="AA936" s="15">
        <v>0</v>
      </c>
      <c r="AB936" s="15" t="s">
        <v>35</v>
      </c>
    </row>
    <row r="937">
      <c r="A937" s="15">
        <v>933</v>
      </c>
      <c r="B937" s="15" t="s">
        <v>343</v>
      </c>
      <c r="C937" s="15" t="s">
        <v>344</v>
      </c>
      <c r="D937" s="15" t="s">
        <v>35</v>
      </c>
      <c r="E937" s="15" t="s">
        <v>35</v>
      </c>
      <c r="F937" s="15" t="s">
        <v>35</v>
      </c>
      <c r="G937" s="15" t="s">
        <v>36</v>
      </c>
      <c r="H937" s="15" t="s">
        <v>6146</v>
      </c>
      <c r="I937" s="15" t="s">
        <v>6147</v>
      </c>
      <c r="J937" s="15" t="s">
        <v>6148</v>
      </c>
      <c r="K937" s="15" t="s">
        <v>40</v>
      </c>
      <c r="L937" s="15" t="s">
        <v>41</v>
      </c>
      <c r="M937" s="15" t="s">
        <v>595</v>
      </c>
      <c r="N937" s="15" t="s">
        <v>596</v>
      </c>
      <c r="O937" s="15" t="s">
        <v>44</v>
      </c>
      <c r="P937" s="15" t="s">
        <v>6149</v>
      </c>
      <c r="Q937" s="15" t="s">
        <v>4704</v>
      </c>
      <c r="R937" s="16">
        <v>44329</v>
      </c>
      <c r="S937" s="17" t="s">
        <v>686</v>
      </c>
      <c r="T937" s="20">
        <f>HYPERLINK("https://vnm.spiral.com.vn//uploaded/20210513/58A9CB91-3ADB-406C-9913-49979156C83A.jpg","15:12:33")</f>
      </c>
      <c r="U937" s="18"/>
      <c r="V937" s="18" t="s">
        <v>35</v>
      </c>
      <c r="W937" s="15" t="s">
        <v>6150</v>
      </c>
      <c r="X937" s="15" t="s">
        <v>35</v>
      </c>
      <c r="Y937" s="15" t="s">
        <v>35</v>
      </c>
      <c r="Z937" s="19">
        <v>0</v>
      </c>
      <c r="AA937" s="15">
        <v>0</v>
      </c>
      <c r="AB937" s="15" t="s">
        <v>35</v>
      </c>
    </row>
    <row r="938">
      <c r="A938" s="15">
        <v>934</v>
      </c>
      <c r="B938" s="15" t="s">
        <v>103</v>
      </c>
      <c r="C938" s="15" t="s">
        <v>1078</v>
      </c>
      <c r="D938" s="15" t="s">
        <v>35</v>
      </c>
      <c r="E938" s="15" t="s">
        <v>35</v>
      </c>
      <c r="F938" s="15" t="s">
        <v>35</v>
      </c>
      <c r="G938" s="15" t="s">
        <v>35</v>
      </c>
      <c r="H938" s="15" t="s">
        <v>6151</v>
      </c>
      <c r="I938" s="15" t="s">
        <v>6152</v>
      </c>
      <c r="J938" s="15" t="s">
        <v>6153</v>
      </c>
      <c r="K938" s="15" t="s">
        <v>40</v>
      </c>
      <c r="L938" s="15" t="s">
        <v>41</v>
      </c>
      <c r="M938" s="15" t="s">
        <v>565</v>
      </c>
      <c r="N938" s="15" t="s">
        <v>566</v>
      </c>
      <c r="O938" s="15" t="s">
        <v>44</v>
      </c>
      <c r="P938" s="15" t="s">
        <v>6154</v>
      </c>
      <c r="Q938" s="15" t="s">
        <v>6155</v>
      </c>
      <c r="R938" s="16">
        <v>44329</v>
      </c>
      <c r="S938" s="17" t="s">
        <v>686</v>
      </c>
      <c r="T938" s="20">
        <f>HYPERLINK("https://vnm.spiral.com.vn//uploaded/20210513/77D0B64E-38E1-4DF2-8A3F-3B53ED634752.jpg","15:11:48")</f>
      </c>
      <c r="U938" s="18"/>
      <c r="V938" s="18" t="s">
        <v>35</v>
      </c>
      <c r="W938" s="15" t="s">
        <v>6156</v>
      </c>
      <c r="X938" s="15" t="s">
        <v>35</v>
      </c>
      <c r="Y938" s="15" t="s">
        <v>35</v>
      </c>
      <c r="Z938" s="19">
        <v>0</v>
      </c>
      <c r="AA938" s="15">
        <v>0</v>
      </c>
      <c r="AB938" s="15" t="s">
        <v>35</v>
      </c>
    </row>
    <row r="939">
      <c r="A939" s="15">
        <v>935</v>
      </c>
      <c r="B939" s="15" t="s">
        <v>61</v>
      </c>
      <c r="C939" s="15" t="s">
        <v>201</v>
      </c>
      <c r="D939" s="15" t="s">
        <v>35</v>
      </c>
      <c r="E939" s="15" t="s">
        <v>35</v>
      </c>
      <c r="F939" s="15" t="s">
        <v>35</v>
      </c>
      <c r="G939" s="15" t="s">
        <v>36</v>
      </c>
      <c r="H939" s="15" t="s">
        <v>6157</v>
      </c>
      <c r="I939" s="15" t="s">
        <v>6158</v>
      </c>
      <c r="J939" s="15" t="s">
        <v>6159</v>
      </c>
      <c r="K939" s="15" t="s">
        <v>40</v>
      </c>
      <c r="L939" s="15" t="s">
        <v>41</v>
      </c>
      <c r="M939" s="15" t="s">
        <v>205</v>
      </c>
      <c r="N939" s="15" t="s">
        <v>206</v>
      </c>
      <c r="O939" s="15" t="s">
        <v>44</v>
      </c>
      <c r="P939" s="15" t="s">
        <v>6160</v>
      </c>
      <c r="Q939" s="15" t="s">
        <v>6161</v>
      </c>
      <c r="R939" s="16">
        <v>44329</v>
      </c>
      <c r="S939" s="17" t="s">
        <v>686</v>
      </c>
      <c r="T939" s="20">
        <f>HYPERLINK("https://vnm.spiral.com.vn//uploaded/20210513/43501995-239C-43EA-8F7F-4834DDB3D60B.jpg","15:11:43")</f>
      </c>
      <c r="U939" s="18"/>
      <c r="V939" s="18" t="s">
        <v>35</v>
      </c>
      <c r="W939" s="15" t="s">
        <v>6162</v>
      </c>
      <c r="X939" s="15" t="s">
        <v>35</v>
      </c>
      <c r="Y939" s="15" t="s">
        <v>35</v>
      </c>
      <c r="Z939" s="19">
        <v>0</v>
      </c>
      <c r="AA939" s="15">
        <v>0</v>
      </c>
      <c r="AB939" s="15" t="s">
        <v>35</v>
      </c>
    </row>
    <row r="940">
      <c r="A940" s="15">
        <v>936</v>
      </c>
      <c r="B940" s="15" t="s">
        <v>87</v>
      </c>
      <c r="C940" s="15" t="s">
        <v>88</v>
      </c>
      <c r="D940" s="15" t="s">
        <v>35</v>
      </c>
      <c r="E940" s="15" t="s">
        <v>35</v>
      </c>
      <c r="F940" s="15" t="s">
        <v>2789</v>
      </c>
      <c r="G940" s="15" t="s">
        <v>36</v>
      </c>
      <c r="H940" s="15" t="s">
        <v>6163</v>
      </c>
      <c r="I940" s="15" t="s">
        <v>6164</v>
      </c>
      <c r="J940" s="15" t="s">
        <v>6165</v>
      </c>
      <c r="K940" s="15" t="s">
        <v>40</v>
      </c>
      <c r="L940" s="15" t="s">
        <v>41</v>
      </c>
      <c r="M940" s="15" t="s">
        <v>289</v>
      </c>
      <c r="N940" s="15" t="s">
        <v>290</v>
      </c>
      <c r="O940" s="15" t="s">
        <v>44</v>
      </c>
      <c r="P940" s="15" t="s">
        <v>6166</v>
      </c>
      <c r="Q940" s="15" t="s">
        <v>6167</v>
      </c>
      <c r="R940" s="16">
        <v>44329</v>
      </c>
      <c r="S940" s="17" t="s">
        <v>686</v>
      </c>
      <c r="T940" s="20">
        <f>HYPERLINK("https://vnm.spiral.com.vn//uploaded/20210513/E57E50AB-E11D-4903-820D-9A119EF1C40A.jpg","15:11:34")</f>
      </c>
      <c r="U940" s="18"/>
      <c r="V940" s="18" t="s">
        <v>35</v>
      </c>
      <c r="W940" s="15" t="s">
        <v>6168</v>
      </c>
      <c r="X940" s="15" t="s">
        <v>35</v>
      </c>
      <c r="Y940" s="15" t="s">
        <v>35</v>
      </c>
      <c r="Z940" s="19">
        <v>0</v>
      </c>
      <c r="AA940" s="15">
        <v>0</v>
      </c>
      <c r="AB940" s="15" t="s">
        <v>35</v>
      </c>
    </row>
    <row r="941">
      <c r="A941" s="15">
        <v>937</v>
      </c>
      <c r="B941" s="15" t="s">
        <v>343</v>
      </c>
      <c r="C941" s="15" t="s">
        <v>344</v>
      </c>
      <c r="D941" s="15" t="s">
        <v>432</v>
      </c>
      <c r="E941" s="15" t="s">
        <v>116</v>
      </c>
      <c r="F941" s="15" t="s">
        <v>35</v>
      </c>
      <c r="G941" s="15" t="s">
        <v>74</v>
      </c>
      <c r="H941" s="15" t="s">
        <v>6169</v>
      </c>
      <c r="I941" s="15" t="s">
        <v>6170</v>
      </c>
      <c r="J941" s="15" t="s">
        <v>6171</v>
      </c>
      <c r="K941" s="15" t="s">
        <v>1168</v>
      </c>
      <c r="L941" s="15" t="s">
        <v>1169</v>
      </c>
      <c r="M941" s="15" t="s">
        <v>1170</v>
      </c>
      <c r="N941" s="15" t="s">
        <v>1171</v>
      </c>
      <c r="O941" s="15" t="s">
        <v>82</v>
      </c>
      <c r="P941" s="15" t="s">
        <v>4370</v>
      </c>
      <c r="Q941" s="15" t="s">
        <v>4371</v>
      </c>
      <c r="R941" s="16">
        <v>44329</v>
      </c>
      <c r="S941" s="17" t="s">
        <v>70</v>
      </c>
      <c r="T941" s="20">
        <f>HYPERLINK("https://vnm.spiral.com.vn//uploaded/20210513/1F14BB82-0D41-4183-B1E3-59E7B3600541.jpg","13:57:59")</f>
      </c>
      <c r="U941" s="20">
        <f>HYPERLINK("https://vnm.spiral.com.vn//uploaded/20210513/0FB6F51E-971B-404D-ADAD-F16EAFF3660D.jpg","15:11:25")</f>
      </c>
      <c r="V941" s="18">
        <v>0.05099537037037037</v>
      </c>
      <c r="W941" s="15" t="s">
        <v>6172</v>
      </c>
      <c r="X941" s="15" t="s">
        <v>6173</v>
      </c>
      <c r="Y941" s="15" t="s">
        <v>35</v>
      </c>
      <c r="Z941" s="19">
        <v>0</v>
      </c>
      <c r="AA941" s="15">
        <v>0</v>
      </c>
      <c r="AB941" s="15" t="s">
        <v>35</v>
      </c>
    </row>
    <row r="942">
      <c r="A942" s="15">
        <v>938</v>
      </c>
      <c r="B942" s="15" t="s">
        <v>87</v>
      </c>
      <c r="C942" s="15" t="s">
        <v>88</v>
      </c>
      <c r="D942" s="15" t="s">
        <v>35</v>
      </c>
      <c r="E942" s="15" t="s">
        <v>35</v>
      </c>
      <c r="F942" s="15" t="s">
        <v>35</v>
      </c>
      <c r="G942" s="15" t="s">
        <v>74</v>
      </c>
      <c r="H942" s="15" t="s">
        <v>6174</v>
      </c>
      <c r="I942" s="15" t="s">
        <v>6175</v>
      </c>
      <c r="J942" s="15" t="s">
        <v>6176</v>
      </c>
      <c r="K942" s="15" t="s">
        <v>888</v>
      </c>
      <c r="L942" s="15" t="s">
        <v>889</v>
      </c>
      <c r="M942" s="15" t="s">
        <v>890</v>
      </c>
      <c r="N942" s="15" t="s">
        <v>891</v>
      </c>
      <c r="O942" s="15" t="s">
        <v>82</v>
      </c>
      <c r="P942" s="15" t="s">
        <v>1547</v>
      </c>
      <c r="Q942" s="15" t="s">
        <v>1548</v>
      </c>
      <c r="R942" s="16">
        <v>44329</v>
      </c>
      <c r="S942" s="17" t="s">
        <v>70</v>
      </c>
      <c r="T942" s="20">
        <f>HYPERLINK("https://vnm.spiral.com.vn//uploaded/20210513/0D9D52F9-3435-4128-A471-BB25541988D3.jpg","14:33:40")</f>
      </c>
      <c r="U942" s="20">
        <f>HYPERLINK("https://vnm.spiral.com.vn//uploaded/20210513/4626BE78-D98B-44DD-A127-3250FA7B4B95.jpg","15:11:16")</f>
      </c>
      <c r="V942" s="18">
        <v>0.026111111111111113</v>
      </c>
      <c r="W942" s="15" t="s">
        <v>6177</v>
      </c>
      <c r="X942" s="15" t="s">
        <v>6178</v>
      </c>
      <c r="Y942" s="15" t="s">
        <v>35</v>
      </c>
      <c r="Z942" s="19">
        <v>0</v>
      </c>
      <c r="AA942" s="15">
        <v>0</v>
      </c>
      <c r="AB942" s="15" t="s">
        <v>35</v>
      </c>
    </row>
    <row r="943">
      <c r="A943" s="15">
        <v>939</v>
      </c>
      <c r="B943" s="15" t="s">
        <v>103</v>
      </c>
      <c r="C943" s="15" t="s">
        <v>186</v>
      </c>
      <c r="D943" s="15" t="s">
        <v>35</v>
      </c>
      <c r="E943" s="15" t="s">
        <v>35</v>
      </c>
      <c r="F943" s="15" t="s">
        <v>35</v>
      </c>
      <c r="G943" s="15" t="s">
        <v>36</v>
      </c>
      <c r="H943" s="15" t="s">
        <v>6179</v>
      </c>
      <c r="I943" s="15" t="s">
        <v>6180</v>
      </c>
      <c r="J943" s="15" t="s">
        <v>6181</v>
      </c>
      <c r="K943" s="15" t="s">
        <v>40</v>
      </c>
      <c r="L943" s="15" t="s">
        <v>41</v>
      </c>
      <c r="M943" s="15" t="s">
        <v>565</v>
      </c>
      <c r="N943" s="15" t="s">
        <v>566</v>
      </c>
      <c r="O943" s="15" t="s">
        <v>44</v>
      </c>
      <c r="P943" s="15" t="s">
        <v>6182</v>
      </c>
      <c r="Q943" s="15" t="s">
        <v>6183</v>
      </c>
      <c r="R943" s="16">
        <v>44329</v>
      </c>
      <c r="S943" s="17" t="s">
        <v>686</v>
      </c>
      <c r="T943" s="20">
        <f>HYPERLINK("https://vnm.spiral.com.vn//uploaded/20210513/16fd5b09-9ba0-4e1a-b607-d42a509e3287.JPEG","15:11:12")</f>
      </c>
      <c r="U943" s="18"/>
      <c r="V943" s="18" t="s">
        <v>35</v>
      </c>
      <c r="W943" s="15" t="s">
        <v>6184</v>
      </c>
      <c r="X943" s="15" t="s">
        <v>35</v>
      </c>
      <c r="Y943" s="15" t="s">
        <v>35</v>
      </c>
      <c r="Z943" s="19">
        <v>0</v>
      </c>
      <c r="AA943" s="15">
        <v>0</v>
      </c>
      <c r="AB943" s="15" t="s">
        <v>35</v>
      </c>
    </row>
    <row r="944">
      <c r="A944" s="15">
        <v>940</v>
      </c>
      <c r="B944" s="15" t="s">
        <v>87</v>
      </c>
      <c r="C944" s="15" t="s">
        <v>88</v>
      </c>
      <c r="D944" s="15" t="s">
        <v>35</v>
      </c>
      <c r="E944" s="15" t="s">
        <v>35</v>
      </c>
      <c r="F944" s="15" t="s">
        <v>35</v>
      </c>
      <c r="G944" s="15" t="s">
        <v>74</v>
      </c>
      <c r="H944" s="15" t="s">
        <v>6185</v>
      </c>
      <c r="I944" s="15" t="s">
        <v>6186</v>
      </c>
      <c r="J944" s="15" t="s">
        <v>6187</v>
      </c>
      <c r="K944" s="15" t="s">
        <v>888</v>
      </c>
      <c r="L944" s="15" t="s">
        <v>889</v>
      </c>
      <c r="M944" s="15" t="s">
        <v>924</v>
      </c>
      <c r="N944" s="15" t="s">
        <v>925</v>
      </c>
      <c r="O944" s="15" t="s">
        <v>82</v>
      </c>
      <c r="P944" s="15" t="s">
        <v>1893</v>
      </c>
      <c r="Q944" s="15" t="s">
        <v>1894</v>
      </c>
      <c r="R944" s="16">
        <v>44329</v>
      </c>
      <c r="S944" s="17" t="s">
        <v>70</v>
      </c>
      <c r="T944" s="20">
        <f>HYPERLINK("https://vnm.spiral.com.vn//uploaded/20210513/8088FBE5-7B4C-4177-ADCB-9EB57F116A99.jpg","14:52:59")</f>
      </c>
      <c r="U944" s="20">
        <f>HYPERLINK("https://vnm.spiral.com.vn//uploaded/20210513/A58FF19A-A1DF-4602-8EAF-68E250828855.jpg","15:11:09")</f>
      </c>
      <c r="V944" s="18">
        <v>0.012615740740740742</v>
      </c>
      <c r="W944" s="15" t="s">
        <v>6188</v>
      </c>
      <c r="X944" s="15" t="s">
        <v>6189</v>
      </c>
      <c r="Y944" s="15" t="s">
        <v>35</v>
      </c>
      <c r="Z944" s="19">
        <v>0</v>
      </c>
      <c r="AA944" s="15">
        <v>0</v>
      </c>
      <c r="AB944" s="15" t="s">
        <v>35</v>
      </c>
    </row>
    <row r="945">
      <c r="A945" s="15">
        <v>941</v>
      </c>
      <c r="B945" s="15" t="s">
        <v>246</v>
      </c>
      <c r="C945" s="15" t="s">
        <v>247</v>
      </c>
      <c r="D945" s="15" t="s">
        <v>35</v>
      </c>
      <c r="E945" s="15" t="s">
        <v>35</v>
      </c>
      <c r="F945" s="15" t="s">
        <v>35</v>
      </c>
      <c r="G945" s="15" t="s">
        <v>35</v>
      </c>
      <c r="H945" s="15" t="s">
        <v>6190</v>
      </c>
      <c r="I945" s="15" t="s">
        <v>6191</v>
      </c>
      <c r="J945" s="15" t="s">
        <v>6192</v>
      </c>
      <c r="K945" s="15" t="s">
        <v>40</v>
      </c>
      <c r="L945" s="15" t="s">
        <v>41</v>
      </c>
      <c r="M945" s="15" t="s">
        <v>252</v>
      </c>
      <c r="N945" s="15" t="s">
        <v>253</v>
      </c>
      <c r="O945" s="15" t="s">
        <v>44</v>
      </c>
      <c r="P945" s="15" t="s">
        <v>6193</v>
      </c>
      <c r="Q945" s="15" t="s">
        <v>6194</v>
      </c>
      <c r="R945" s="16">
        <v>44329</v>
      </c>
      <c r="S945" s="17" t="s">
        <v>686</v>
      </c>
      <c r="T945" s="20">
        <f>HYPERLINK("https://vnm.spiral.com.vn//uploaded/20210513/9c033572-0edb-4b25-a039-e356ba99b9ec.JPEG","15:11:03")</f>
      </c>
      <c r="U945" s="18"/>
      <c r="V945" s="18" t="s">
        <v>35</v>
      </c>
      <c r="W945" s="15" t="s">
        <v>6195</v>
      </c>
      <c r="X945" s="15" t="s">
        <v>35</v>
      </c>
      <c r="Y945" s="15" t="s">
        <v>35</v>
      </c>
      <c r="Z945" s="19">
        <v>0</v>
      </c>
      <c r="AA945" s="15">
        <v>0</v>
      </c>
      <c r="AB945" s="15" t="s">
        <v>35</v>
      </c>
    </row>
    <row r="946">
      <c r="A946" s="15">
        <v>942</v>
      </c>
      <c r="B946" s="15" t="s">
        <v>87</v>
      </c>
      <c r="C946" s="15" t="s">
        <v>88</v>
      </c>
      <c r="D946" s="15" t="s">
        <v>6196</v>
      </c>
      <c r="E946" s="15" t="s">
        <v>35</v>
      </c>
      <c r="F946" s="15" t="s">
        <v>35</v>
      </c>
      <c r="G946" s="15" t="s">
        <v>74</v>
      </c>
      <c r="H946" s="15" t="s">
        <v>6197</v>
      </c>
      <c r="I946" s="15" t="s">
        <v>6198</v>
      </c>
      <c r="J946" s="15" t="s">
        <v>6199</v>
      </c>
      <c r="K946" s="15" t="s">
        <v>888</v>
      </c>
      <c r="L946" s="15" t="s">
        <v>889</v>
      </c>
      <c r="M946" s="15" t="s">
        <v>890</v>
      </c>
      <c r="N946" s="15" t="s">
        <v>891</v>
      </c>
      <c r="O946" s="15" t="s">
        <v>82</v>
      </c>
      <c r="P946" s="15" t="s">
        <v>1914</v>
      </c>
      <c r="Q946" s="15" t="s">
        <v>1915</v>
      </c>
      <c r="R946" s="16">
        <v>44329</v>
      </c>
      <c r="S946" s="17" t="s">
        <v>70</v>
      </c>
      <c r="T946" s="20">
        <f>HYPERLINK("https://vnm.spiral.com.vn//uploaded/20210513/8992361A-B9A5-4133-B682-59967446FF7B.jpg","14:20:43")</f>
      </c>
      <c r="U946" s="20">
        <f>HYPERLINK("https://vnm.spiral.com.vn//uploaded/20210513/A7CD636D-1572-49E0-B161-2EF41A3586C2.jpg","15:10:57")</f>
      </c>
      <c r="V946" s="18">
        <v>0.03488425925925926</v>
      </c>
      <c r="W946" s="15" t="s">
        <v>6200</v>
      </c>
      <c r="X946" s="15" t="s">
        <v>6201</v>
      </c>
      <c r="Y946" s="15" t="s">
        <v>35</v>
      </c>
      <c r="Z946" s="19">
        <v>0</v>
      </c>
      <c r="AA946" s="15">
        <v>0</v>
      </c>
      <c r="AB946" s="15" t="s">
        <v>35</v>
      </c>
    </row>
    <row r="947">
      <c r="A947" s="15">
        <v>943</v>
      </c>
      <c r="B947" s="15" t="s">
        <v>103</v>
      </c>
      <c r="C947" s="15" t="s">
        <v>186</v>
      </c>
      <c r="D947" s="15" t="s">
        <v>35</v>
      </c>
      <c r="E947" s="15" t="s">
        <v>35</v>
      </c>
      <c r="F947" s="15" t="s">
        <v>35</v>
      </c>
      <c r="G947" s="15" t="s">
        <v>36</v>
      </c>
      <c r="H947" s="15" t="s">
        <v>6179</v>
      </c>
      <c r="I947" s="15" t="s">
        <v>6180</v>
      </c>
      <c r="J947" s="15" t="s">
        <v>6181</v>
      </c>
      <c r="K947" s="15" t="s">
        <v>40</v>
      </c>
      <c r="L947" s="15" t="s">
        <v>41</v>
      </c>
      <c r="M947" s="15" t="s">
        <v>565</v>
      </c>
      <c r="N947" s="15" t="s">
        <v>566</v>
      </c>
      <c r="O947" s="15" t="s">
        <v>44</v>
      </c>
      <c r="P947" s="15" t="s">
        <v>6182</v>
      </c>
      <c r="Q947" s="15" t="s">
        <v>6183</v>
      </c>
      <c r="R947" s="16">
        <v>44329</v>
      </c>
      <c r="S947" s="17" t="s">
        <v>317</v>
      </c>
      <c r="T947" s="20">
        <f>HYPERLINK("https://vnm.spiral.com.vn//uploaded/20210513/0c6c37af-cee9-44a5-8aa5-7704abcb15bc.JPEG","08:32:38")</f>
      </c>
      <c r="U947" s="20">
        <f>HYPERLINK("https://vnm.spiral.com.vn//uploaded/20210513/bf3f3879-7a4b-4acc-a9ed-739e46cb0e24.JPEG","15:10:44")</f>
      </c>
      <c r="V947" s="18">
        <v>0.2764583333333333</v>
      </c>
      <c r="W947" s="15" t="s">
        <v>6202</v>
      </c>
      <c r="X947" s="15" t="s">
        <v>6184</v>
      </c>
      <c r="Y947" s="15" t="s">
        <v>35</v>
      </c>
      <c r="Z947" s="19">
        <v>0</v>
      </c>
      <c r="AA947" s="15">
        <v>0</v>
      </c>
      <c r="AB947" s="15" t="s">
        <v>35</v>
      </c>
    </row>
    <row r="948">
      <c r="A948" s="15">
        <v>944</v>
      </c>
      <c r="B948" s="15" t="s">
        <v>343</v>
      </c>
      <c r="C948" s="15" t="s">
        <v>344</v>
      </c>
      <c r="D948" s="15" t="s">
        <v>35</v>
      </c>
      <c r="E948" s="15" t="s">
        <v>35</v>
      </c>
      <c r="F948" s="15" t="s">
        <v>35</v>
      </c>
      <c r="G948" s="15" t="s">
        <v>36</v>
      </c>
      <c r="H948" s="15" t="s">
        <v>6203</v>
      </c>
      <c r="I948" s="15" t="s">
        <v>4818</v>
      </c>
      <c r="J948" s="15" t="s">
        <v>6204</v>
      </c>
      <c r="K948" s="15" t="s">
        <v>40</v>
      </c>
      <c r="L948" s="15" t="s">
        <v>41</v>
      </c>
      <c r="M948" s="15" t="s">
        <v>409</v>
      </c>
      <c r="N948" s="15" t="s">
        <v>410</v>
      </c>
      <c r="O948" s="15" t="s">
        <v>44</v>
      </c>
      <c r="P948" s="15" t="s">
        <v>6205</v>
      </c>
      <c r="Q948" s="15" t="s">
        <v>6206</v>
      </c>
      <c r="R948" s="16">
        <v>44329</v>
      </c>
      <c r="S948" s="17" t="s">
        <v>686</v>
      </c>
      <c r="T948" s="20">
        <f>HYPERLINK("https://vnm.spiral.com.vn//uploaded/20210513/cf0fa3d1-511d-4c0b-92e1-c319a0823c33.JPEG","15:10:41")</f>
      </c>
      <c r="U948" s="18"/>
      <c r="V948" s="18" t="s">
        <v>35</v>
      </c>
      <c r="W948" s="15" t="s">
        <v>6207</v>
      </c>
      <c r="X948" s="15" t="s">
        <v>35</v>
      </c>
      <c r="Y948" s="15" t="s">
        <v>35</v>
      </c>
      <c r="Z948" s="19">
        <v>0</v>
      </c>
      <c r="AA948" s="15">
        <v>0</v>
      </c>
      <c r="AB948" s="15" t="s">
        <v>35</v>
      </c>
    </row>
    <row r="949">
      <c r="A949" s="15">
        <v>945</v>
      </c>
      <c r="B949" s="15" t="s">
        <v>103</v>
      </c>
      <c r="C949" s="15" t="s">
        <v>186</v>
      </c>
      <c r="D949" s="15" t="s">
        <v>35</v>
      </c>
      <c r="E949" s="15" t="s">
        <v>35</v>
      </c>
      <c r="F949" s="15" t="s">
        <v>35</v>
      </c>
      <c r="G949" s="15" t="s">
        <v>36</v>
      </c>
      <c r="H949" s="15" t="s">
        <v>6208</v>
      </c>
      <c r="I949" s="15" t="s">
        <v>6209</v>
      </c>
      <c r="J949" s="15" t="s">
        <v>6210</v>
      </c>
      <c r="K949" s="15" t="s">
        <v>40</v>
      </c>
      <c r="L949" s="15" t="s">
        <v>41</v>
      </c>
      <c r="M949" s="15" t="s">
        <v>565</v>
      </c>
      <c r="N949" s="15" t="s">
        <v>566</v>
      </c>
      <c r="O949" s="15" t="s">
        <v>44</v>
      </c>
      <c r="P949" s="15" t="s">
        <v>6211</v>
      </c>
      <c r="Q949" s="15" t="s">
        <v>6212</v>
      </c>
      <c r="R949" s="16">
        <v>44329</v>
      </c>
      <c r="S949" s="17" t="s">
        <v>2703</v>
      </c>
      <c r="T949" s="20">
        <f>HYPERLINK("https://vnm.spiral.com.vn//uploaded/20210513/b059e72c-f35f-43b7-b8d1-253aed0ff39c.JPEG","15:10:37")</f>
      </c>
      <c r="U949" s="18"/>
      <c r="V949" s="18" t="s">
        <v>35</v>
      </c>
      <c r="W949" s="15" t="s">
        <v>6213</v>
      </c>
      <c r="X949" s="15" t="s">
        <v>35</v>
      </c>
      <c r="Y949" s="15" t="s">
        <v>35</v>
      </c>
      <c r="Z949" s="19">
        <v>0</v>
      </c>
      <c r="AA949" s="15">
        <v>0</v>
      </c>
      <c r="AB949" s="15" t="s">
        <v>35</v>
      </c>
    </row>
    <row r="950">
      <c r="A950" s="15">
        <v>946</v>
      </c>
      <c r="B950" s="15" t="s">
        <v>61</v>
      </c>
      <c r="C950" s="15" t="s">
        <v>320</v>
      </c>
      <c r="D950" s="15" t="s">
        <v>35</v>
      </c>
      <c r="E950" s="15" t="s">
        <v>35</v>
      </c>
      <c r="F950" s="15" t="s">
        <v>35</v>
      </c>
      <c r="G950" s="15" t="s">
        <v>36</v>
      </c>
      <c r="H950" s="15" t="s">
        <v>6214</v>
      </c>
      <c r="I950" s="15" t="s">
        <v>6215</v>
      </c>
      <c r="J950" s="15" t="s">
        <v>6216</v>
      </c>
      <c r="K950" s="15" t="s">
        <v>40</v>
      </c>
      <c r="L950" s="15" t="s">
        <v>41</v>
      </c>
      <c r="M950" s="15" t="s">
        <v>205</v>
      </c>
      <c r="N950" s="15" t="s">
        <v>206</v>
      </c>
      <c r="O950" s="15" t="s">
        <v>44</v>
      </c>
      <c r="P950" s="15" t="s">
        <v>6217</v>
      </c>
      <c r="Q950" s="15" t="s">
        <v>6218</v>
      </c>
      <c r="R950" s="16">
        <v>44329</v>
      </c>
      <c r="S950" s="17" t="s">
        <v>686</v>
      </c>
      <c r="T950" s="20">
        <f>HYPERLINK("https://vnm.spiral.com.vn//uploaded/20210513/ca6517e7-d6fe-412e-a635-d7b5ca509d19.JPEG","15:10:37")</f>
      </c>
      <c r="U950" s="18"/>
      <c r="V950" s="18" t="s">
        <v>35</v>
      </c>
      <c r="W950" s="15" t="s">
        <v>6219</v>
      </c>
      <c r="X950" s="15" t="s">
        <v>35</v>
      </c>
      <c r="Y950" s="15" t="s">
        <v>35</v>
      </c>
      <c r="Z950" s="19">
        <v>0</v>
      </c>
      <c r="AA950" s="15">
        <v>0</v>
      </c>
      <c r="AB950" s="15" t="s">
        <v>35</v>
      </c>
    </row>
    <row r="951">
      <c r="A951" s="15">
        <v>947</v>
      </c>
      <c r="B951" s="15" t="s">
        <v>246</v>
      </c>
      <c r="C951" s="15" t="s">
        <v>276</v>
      </c>
      <c r="D951" s="15" t="s">
        <v>35</v>
      </c>
      <c r="E951" s="15" t="s">
        <v>35</v>
      </c>
      <c r="F951" s="15" t="s">
        <v>1182</v>
      </c>
      <c r="G951" s="15" t="s">
        <v>36</v>
      </c>
      <c r="H951" s="15" t="s">
        <v>6220</v>
      </c>
      <c r="I951" s="15" t="s">
        <v>6221</v>
      </c>
      <c r="J951" s="15" t="s">
        <v>6222</v>
      </c>
      <c r="K951" s="15" t="s">
        <v>40</v>
      </c>
      <c r="L951" s="15" t="s">
        <v>41</v>
      </c>
      <c r="M951" s="15" t="s">
        <v>252</v>
      </c>
      <c r="N951" s="15" t="s">
        <v>253</v>
      </c>
      <c r="O951" s="15" t="s">
        <v>44</v>
      </c>
      <c r="P951" s="15" t="s">
        <v>6223</v>
      </c>
      <c r="Q951" s="15" t="s">
        <v>6224</v>
      </c>
      <c r="R951" s="16">
        <v>44329</v>
      </c>
      <c r="S951" s="17" t="s">
        <v>5968</v>
      </c>
      <c r="T951" s="20">
        <f>HYPERLINK("https://vnm.spiral.com.vn//uploaded/20210513/3B3C6B0C-18F2-4DBD-9980-3817C3A0B73C.jpg","15:10:29")</f>
      </c>
      <c r="U951" s="18"/>
      <c r="V951" s="18" t="s">
        <v>35</v>
      </c>
      <c r="W951" s="15" t="s">
        <v>6225</v>
      </c>
      <c r="X951" s="15" t="s">
        <v>35</v>
      </c>
      <c r="Y951" s="15" t="s">
        <v>35</v>
      </c>
      <c r="Z951" s="19">
        <v>0</v>
      </c>
      <c r="AA951" s="15">
        <v>0</v>
      </c>
      <c r="AB951" s="15" t="s">
        <v>35</v>
      </c>
    </row>
    <row r="952">
      <c r="A952" s="15">
        <v>948</v>
      </c>
      <c r="B952" s="15" t="s">
        <v>87</v>
      </c>
      <c r="C952" s="15" t="s">
        <v>88</v>
      </c>
      <c r="D952" s="15" t="s">
        <v>357</v>
      </c>
      <c r="E952" s="15" t="s">
        <v>90</v>
      </c>
      <c r="F952" s="15" t="s">
        <v>35</v>
      </c>
      <c r="G952" s="15" t="s">
        <v>74</v>
      </c>
      <c r="H952" s="15" t="s">
        <v>6226</v>
      </c>
      <c r="I952" s="15" t="s">
        <v>6227</v>
      </c>
      <c r="J952" s="15" t="s">
        <v>6228</v>
      </c>
      <c r="K952" s="15" t="s">
        <v>1570</v>
      </c>
      <c r="L952" s="15" t="s">
        <v>1571</v>
      </c>
      <c r="M952" s="15" t="s">
        <v>2024</v>
      </c>
      <c r="N952" s="15" t="s">
        <v>2025</v>
      </c>
      <c r="O952" s="15" t="s">
        <v>82</v>
      </c>
      <c r="P952" s="15" t="s">
        <v>2172</v>
      </c>
      <c r="Q952" s="15" t="s">
        <v>2173</v>
      </c>
      <c r="R952" s="16">
        <v>44329</v>
      </c>
      <c r="S952" s="17" t="s">
        <v>70</v>
      </c>
      <c r="T952" s="20">
        <f>HYPERLINK("https://vnm.spiral.com.vn//uploaded/20210513/1dc2fe7f-633e-4f33-a1c4-513fbafd4bc2.JPEG","14:47:41")</f>
      </c>
      <c r="U952" s="20">
        <f>HYPERLINK("https://vnm.spiral.com.vn//uploaded/20210513/6cf1d591-e209-4951-8643-9b19eaed9d2f.JPEG","15:10:10")</f>
      </c>
      <c r="V952" s="18">
        <v>0.015613425925925926</v>
      </c>
      <c r="W952" s="15" t="s">
        <v>6229</v>
      </c>
      <c r="X952" s="15" t="s">
        <v>6230</v>
      </c>
      <c r="Y952" s="15" t="s">
        <v>35</v>
      </c>
      <c r="Z952" s="19">
        <v>0</v>
      </c>
      <c r="AA952" s="15">
        <v>0</v>
      </c>
      <c r="AB952" s="15" t="s">
        <v>35</v>
      </c>
    </row>
    <row r="953">
      <c r="A953" s="15">
        <v>949</v>
      </c>
      <c r="B953" s="15" t="s">
        <v>87</v>
      </c>
      <c r="C953" s="15" t="s">
        <v>88</v>
      </c>
      <c r="D953" s="15" t="s">
        <v>304</v>
      </c>
      <c r="E953" s="15" t="s">
        <v>305</v>
      </c>
      <c r="F953" s="15" t="s">
        <v>35</v>
      </c>
      <c r="G953" s="15" t="s">
        <v>74</v>
      </c>
      <c r="H953" s="15" t="s">
        <v>1614</v>
      </c>
      <c r="I953" s="15" t="s">
        <v>1615</v>
      </c>
      <c r="J953" s="15" t="s">
        <v>1616</v>
      </c>
      <c r="K953" s="15" t="s">
        <v>94</v>
      </c>
      <c r="L953" s="15" t="s">
        <v>95</v>
      </c>
      <c r="M953" s="15" t="s">
        <v>748</v>
      </c>
      <c r="N953" s="15" t="s">
        <v>749</v>
      </c>
      <c r="O953" s="15" t="s">
        <v>98</v>
      </c>
      <c r="P953" s="15" t="s">
        <v>1617</v>
      </c>
      <c r="Q953" s="15" t="s">
        <v>1618</v>
      </c>
      <c r="R953" s="16">
        <v>44329</v>
      </c>
      <c r="S953" s="17" t="s">
        <v>70</v>
      </c>
      <c r="T953" s="20">
        <f>HYPERLINK("https://vnm.spiral.com.vn//uploaded/20210513/b647cb91-06b3-4d09-ba6e-3e20b6a9eaa1.JPEG","07:51:57")</f>
      </c>
      <c r="U953" s="20">
        <f>HYPERLINK("https://vnm.spiral.com.vn//uploaded/20210513/339d413d-2b0a-4894-b7c4-673a93bc5a37.JPEG","15:09:54")</f>
      </c>
      <c r="V953" s="18">
        <v>0.30413194444444447</v>
      </c>
      <c r="W953" s="15" t="s">
        <v>6231</v>
      </c>
      <c r="X953" s="15" t="s">
        <v>6232</v>
      </c>
      <c r="Y953" s="15" t="s">
        <v>35</v>
      </c>
      <c r="Z953" s="19">
        <v>0</v>
      </c>
      <c r="AA953" s="15">
        <v>0</v>
      </c>
      <c r="AB953" s="15" t="s">
        <v>35</v>
      </c>
    </row>
    <row r="954">
      <c r="A954" s="15">
        <v>950</v>
      </c>
      <c r="B954" s="15" t="s">
        <v>49</v>
      </c>
      <c r="C954" s="15" t="s">
        <v>369</v>
      </c>
      <c r="D954" s="15" t="s">
        <v>35</v>
      </c>
      <c r="E954" s="15" t="s">
        <v>35</v>
      </c>
      <c r="F954" s="15" t="s">
        <v>370</v>
      </c>
      <c r="G954" s="15" t="s">
        <v>36</v>
      </c>
      <c r="H954" s="15" t="s">
        <v>6233</v>
      </c>
      <c r="I954" s="15" t="s">
        <v>6234</v>
      </c>
      <c r="J954" s="15" t="s">
        <v>6235</v>
      </c>
      <c r="K954" s="15" t="s">
        <v>40</v>
      </c>
      <c r="L954" s="15" t="s">
        <v>41</v>
      </c>
      <c r="M954" s="15" t="s">
        <v>55</v>
      </c>
      <c r="N954" s="15" t="s">
        <v>56</v>
      </c>
      <c r="O954" s="15" t="s">
        <v>44</v>
      </c>
      <c r="P954" s="15" t="s">
        <v>6236</v>
      </c>
      <c r="Q954" s="15" t="s">
        <v>6237</v>
      </c>
      <c r="R954" s="16">
        <v>44329</v>
      </c>
      <c r="S954" s="17" t="s">
        <v>686</v>
      </c>
      <c r="T954" s="20">
        <f>HYPERLINK("https://vnm.spiral.com.vn//uploaded/20210513/810F70DE-3745-4F24-B50B-7CF9FC0B512B.jpg","15:09:40")</f>
      </c>
      <c r="U954" s="18"/>
      <c r="V954" s="18" t="s">
        <v>35</v>
      </c>
      <c r="W954" s="15" t="s">
        <v>6238</v>
      </c>
      <c r="X954" s="15" t="s">
        <v>35</v>
      </c>
      <c r="Y954" s="15" t="s">
        <v>35</v>
      </c>
      <c r="Z954" s="19">
        <v>0</v>
      </c>
      <c r="AA954" s="15">
        <v>0</v>
      </c>
      <c r="AB954" s="15" t="s">
        <v>35</v>
      </c>
    </row>
    <row r="955">
      <c r="A955" s="15">
        <v>951</v>
      </c>
      <c r="B955" s="15" t="s">
        <v>87</v>
      </c>
      <c r="C955" s="15" t="s">
        <v>88</v>
      </c>
      <c r="D955" s="15" t="s">
        <v>35</v>
      </c>
      <c r="E955" s="15" t="s">
        <v>35</v>
      </c>
      <c r="F955" s="15" t="s">
        <v>2077</v>
      </c>
      <c r="G955" s="15" t="s">
        <v>36</v>
      </c>
      <c r="H955" s="15" t="s">
        <v>6239</v>
      </c>
      <c r="I955" s="15" t="s">
        <v>6240</v>
      </c>
      <c r="J955" s="15" t="s">
        <v>6241</v>
      </c>
      <c r="K955" s="15" t="s">
        <v>40</v>
      </c>
      <c r="L955" s="15" t="s">
        <v>41</v>
      </c>
      <c r="M955" s="15" t="s">
        <v>289</v>
      </c>
      <c r="N955" s="15" t="s">
        <v>290</v>
      </c>
      <c r="O955" s="15" t="s">
        <v>44</v>
      </c>
      <c r="P955" s="15" t="s">
        <v>6242</v>
      </c>
      <c r="Q955" s="15" t="s">
        <v>6243</v>
      </c>
      <c r="R955" s="16">
        <v>44329</v>
      </c>
      <c r="S955" s="17" t="s">
        <v>686</v>
      </c>
      <c r="T955" s="20">
        <f>HYPERLINK("https://vnm.spiral.com.vn//uploaded/20210513/08A70646-A668-488A-8F0D-D9B08FE72B86.jpg","15:09:28")</f>
      </c>
      <c r="U955" s="18"/>
      <c r="V955" s="18" t="s">
        <v>35</v>
      </c>
      <c r="W955" s="15" t="s">
        <v>6244</v>
      </c>
      <c r="X955" s="15" t="s">
        <v>35</v>
      </c>
      <c r="Y955" s="15" t="s">
        <v>35</v>
      </c>
      <c r="Z955" s="19">
        <v>0</v>
      </c>
      <c r="AA955" s="15">
        <v>0</v>
      </c>
      <c r="AB955" s="15" t="s">
        <v>35</v>
      </c>
    </row>
    <row r="956">
      <c r="A956" s="15">
        <v>952</v>
      </c>
      <c r="B956" s="15" t="s">
        <v>343</v>
      </c>
      <c r="C956" s="15" t="s">
        <v>344</v>
      </c>
      <c r="D956" s="15" t="s">
        <v>536</v>
      </c>
      <c r="E956" s="15" t="s">
        <v>116</v>
      </c>
      <c r="F956" s="15" t="s">
        <v>35</v>
      </c>
      <c r="G956" s="15" t="s">
        <v>74</v>
      </c>
      <c r="H956" s="15" t="s">
        <v>6245</v>
      </c>
      <c r="I956" s="15" t="s">
        <v>6246</v>
      </c>
      <c r="J956" s="15" t="s">
        <v>6247</v>
      </c>
      <c r="K956" s="15" t="s">
        <v>997</v>
      </c>
      <c r="L956" s="15" t="s">
        <v>998</v>
      </c>
      <c r="M956" s="15" t="s">
        <v>1325</v>
      </c>
      <c r="N956" s="15" t="s">
        <v>1326</v>
      </c>
      <c r="O956" s="15" t="s">
        <v>82</v>
      </c>
      <c r="P956" s="15" t="s">
        <v>2576</v>
      </c>
      <c r="Q956" s="15" t="s">
        <v>2577</v>
      </c>
      <c r="R956" s="16">
        <v>44329</v>
      </c>
      <c r="S956" s="17" t="s">
        <v>70</v>
      </c>
      <c r="T956" s="20">
        <f>HYPERLINK("https://vnm.spiral.com.vn//uploaded/20210513/40b5ddf6-42cf-4eaa-9580-0685524dfac1.JPEG","14:28:00")</f>
      </c>
      <c r="U956" s="20">
        <f>HYPERLINK("https://vnm.spiral.com.vn//uploaded/20210513/1e9b3749-8358-4d06-bf6b-f94e6f0eda08.JPEG","15:09:23")</f>
      </c>
      <c r="V956" s="18">
        <v>0.028738425925925924</v>
      </c>
      <c r="W956" s="15" t="s">
        <v>6248</v>
      </c>
      <c r="X956" s="15" t="s">
        <v>6249</v>
      </c>
      <c r="Y956" s="15" t="s">
        <v>35</v>
      </c>
      <c r="Z956" s="19">
        <v>0</v>
      </c>
      <c r="AA956" s="15">
        <v>0</v>
      </c>
      <c r="AB956" s="15" t="s">
        <v>35</v>
      </c>
    </row>
    <row r="957">
      <c r="A957" s="15">
        <v>953</v>
      </c>
      <c r="B957" s="15" t="s">
        <v>49</v>
      </c>
      <c r="C957" s="15" t="s">
        <v>1715</v>
      </c>
      <c r="D957" s="15" t="s">
        <v>135</v>
      </c>
      <c r="E957" s="15" t="s">
        <v>116</v>
      </c>
      <c r="F957" s="15" t="s">
        <v>35</v>
      </c>
      <c r="G957" s="15" t="s">
        <v>74</v>
      </c>
      <c r="H957" s="15" t="s">
        <v>6250</v>
      </c>
      <c r="I957" s="15" t="s">
        <v>6251</v>
      </c>
      <c r="J957" s="15" t="s">
        <v>6252</v>
      </c>
      <c r="K957" s="15" t="s">
        <v>166</v>
      </c>
      <c r="L957" s="15" t="s">
        <v>167</v>
      </c>
      <c r="M957" s="15" t="s">
        <v>168</v>
      </c>
      <c r="N957" s="15" t="s">
        <v>169</v>
      </c>
      <c r="O957" s="15" t="s">
        <v>82</v>
      </c>
      <c r="P957" s="15" t="s">
        <v>2590</v>
      </c>
      <c r="Q957" s="15" t="s">
        <v>2591</v>
      </c>
      <c r="R957" s="16">
        <v>44329</v>
      </c>
      <c r="S957" s="17" t="s">
        <v>70</v>
      </c>
      <c r="T957" s="20">
        <f>HYPERLINK("https://vnm.spiral.com.vn//uploaded/20210513/7130c1b3-561b-4e40-8673-e405f4a93c0e.JPEG","13:34:55")</f>
      </c>
      <c r="U957" s="20">
        <f>HYPERLINK("https://vnm.spiral.com.vn//uploaded/20210513/1b521457-73ee-4126-b949-101f35d1b10f.JPEG","15:09:20")</f>
      </c>
      <c r="V957" s="18">
        <v>0.06556712962962963</v>
      </c>
      <c r="W957" s="15" t="s">
        <v>6253</v>
      </c>
      <c r="X957" s="15" t="s">
        <v>6254</v>
      </c>
      <c r="Y957" s="15" t="s">
        <v>35</v>
      </c>
      <c r="Z957" s="19">
        <v>0</v>
      </c>
      <c r="AA957" s="15">
        <v>0</v>
      </c>
      <c r="AB957" s="15" t="s">
        <v>35</v>
      </c>
    </row>
    <row r="958">
      <c r="A958" s="15">
        <v>954</v>
      </c>
      <c r="B958" s="15" t="s">
        <v>87</v>
      </c>
      <c r="C958" s="15" t="s">
        <v>88</v>
      </c>
      <c r="D958" s="15" t="s">
        <v>35</v>
      </c>
      <c r="E958" s="15" t="s">
        <v>35</v>
      </c>
      <c r="F958" s="15" t="s">
        <v>2373</v>
      </c>
      <c r="G958" s="15" t="s">
        <v>36</v>
      </c>
      <c r="H958" s="15" t="s">
        <v>6255</v>
      </c>
      <c r="I958" s="15" t="s">
        <v>6256</v>
      </c>
      <c r="J958" s="15" t="s">
        <v>6257</v>
      </c>
      <c r="K958" s="15" t="s">
        <v>40</v>
      </c>
      <c r="L958" s="15" t="s">
        <v>41</v>
      </c>
      <c r="M958" s="15" t="s">
        <v>810</v>
      </c>
      <c r="N958" s="15" t="s">
        <v>811</v>
      </c>
      <c r="O958" s="15" t="s">
        <v>44</v>
      </c>
      <c r="P958" s="15" t="s">
        <v>6258</v>
      </c>
      <c r="Q958" s="15" t="s">
        <v>6259</v>
      </c>
      <c r="R958" s="16">
        <v>44329</v>
      </c>
      <c r="S958" s="17" t="s">
        <v>6260</v>
      </c>
      <c r="T958" s="20">
        <f>HYPERLINK("https://vnm.spiral.com.vn//uploaded/20210513/b500f497-e732-4c61-8ce8-49ae67ba1167.JPEG","15:09:18")</f>
      </c>
      <c r="U958" s="18"/>
      <c r="V958" s="18" t="s">
        <v>35</v>
      </c>
      <c r="W958" s="15" t="s">
        <v>6261</v>
      </c>
      <c r="X958" s="15" t="s">
        <v>35</v>
      </c>
      <c r="Y958" s="15" t="s">
        <v>35</v>
      </c>
      <c r="Z958" s="19">
        <v>0</v>
      </c>
      <c r="AA958" s="15">
        <v>0</v>
      </c>
      <c r="AB958" s="15" t="s">
        <v>35</v>
      </c>
    </row>
    <row r="959">
      <c r="A959" s="15">
        <v>955</v>
      </c>
      <c r="B959" s="15" t="s">
        <v>246</v>
      </c>
      <c r="C959" s="15" t="s">
        <v>259</v>
      </c>
      <c r="D959" s="15" t="s">
        <v>35</v>
      </c>
      <c r="E959" s="15" t="s">
        <v>35</v>
      </c>
      <c r="F959" s="15" t="s">
        <v>1352</v>
      </c>
      <c r="G959" s="15" t="s">
        <v>36</v>
      </c>
      <c r="H959" s="15" t="s">
        <v>6262</v>
      </c>
      <c r="I959" s="15" t="s">
        <v>6263</v>
      </c>
      <c r="J959" s="15" t="s">
        <v>6264</v>
      </c>
      <c r="K959" s="15" t="s">
        <v>40</v>
      </c>
      <c r="L959" s="15" t="s">
        <v>41</v>
      </c>
      <c r="M959" s="15" t="s">
        <v>252</v>
      </c>
      <c r="N959" s="15" t="s">
        <v>253</v>
      </c>
      <c r="O959" s="15" t="s">
        <v>44</v>
      </c>
      <c r="P959" s="15" t="s">
        <v>6265</v>
      </c>
      <c r="Q959" s="15" t="s">
        <v>6266</v>
      </c>
      <c r="R959" s="16">
        <v>44329</v>
      </c>
      <c r="S959" s="17" t="s">
        <v>686</v>
      </c>
      <c r="T959" s="20">
        <f>HYPERLINK("https://vnm.spiral.com.vn//uploaded/20210513/3f225b8c-30b8-4a9e-b410-0ca4cba9596a.JPEG","15:08:58")</f>
      </c>
      <c r="U959" s="18"/>
      <c r="V959" s="18" t="s">
        <v>35</v>
      </c>
      <c r="W959" s="15" t="s">
        <v>6267</v>
      </c>
      <c r="X959" s="15" t="s">
        <v>35</v>
      </c>
      <c r="Y959" s="15" t="s">
        <v>35</v>
      </c>
      <c r="Z959" s="19">
        <v>0</v>
      </c>
      <c r="AA959" s="15">
        <v>0</v>
      </c>
      <c r="AB959" s="15" t="s">
        <v>35</v>
      </c>
    </row>
    <row r="960">
      <c r="A960" s="15">
        <v>956</v>
      </c>
      <c r="B960" s="15" t="s">
        <v>87</v>
      </c>
      <c r="C960" s="15" t="s">
        <v>88</v>
      </c>
      <c r="D960" s="15" t="s">
        <v>35</v>
      </c>
      <c r="E960" s="15" t="s">
        <v>35</v>
      </c>
      <c r="F960" s="15" t="s">
        <v>2077</v>
      </c>
      <c r="G960" s="15" t="s">
        <v>36</v>
      </c>
      <c r="H960" s="15" t="s">
        <v>6268</v>
      </c>
      <c r="I960" s="15" t="s">
        <v>6269</v>
      </c>
      <c r="J960" s="15" t="s">
        <v>6270</v>
      </c>
      <c r="K960" s="15" t="s">
        <v>40</v>
      </c>
      <c r="L960" s="15" t="s">
        <v>41</v>
      </c>
      <c r="M960" s="15" t="s">
        <v>289</v>
      </c>
      <c r="N960" s="15" t="s">
        <v>290</v>
      </c>
      <c r="O960" s="15" t="s">
        <v>44</v>
      </c>
      <c r="P960" s="15" t="s">
        <v>6271</v>
      </c>
      <c r="Q960" s="15" t="s">
        <v>6272</v>
      </c>
      <c r="R960" s="16">
        <v>44329</v>
      </c>
      <c r="S960" s="17" t="s">
        <v>686</v>
      </c>
      <c r="T960" s="20">
        <f>HYPERLINK("https://vnm.spiral.com.vn//uploaded/20210513/8A304272-6804-4244-91FF-5A39D0ED19C2.jpg","15:08:52")</f>
      </c>
      <c r="U960" s="18"/>
      <c r="V960" s="18" t="s">
        <v>35</v>
      </c>
      <c r="W960" s="15" t="s">
        <v>6273</v>
      </c>
      <c r="X960" s="15" t="s">
        <v>35</v>
      </c>
      <c r="Y960" s="15" t="s">
        <v>35</v>
      </c>
      <c r="Z960" s="19">
        <v>0</v>
      </c>
      <c r="AA960" s="15">
        <v>0</v>
      </c>
      <c r="AB960" s="15" t="s">
        <v>35</v>
      </c>
    </row>
    <row r="961">
      <c r="A961" s="15">
        <v>957</v>
      </c>
      <c r="B961" s="15" t="s">
        <v>61</v>
      </c>
      <c r="C961" s="15" t="s">
        <v>442</v>
      </c>
      <c r="D961" s="15" t="s">
        <v>35</v>
      </c>
      <c r="E961" s="15" t="s">
        <v>35</v>
      </c>
      <c r="F961" s="15" t="s">
        <v>35</v>
      </c>
      <c r="G961" s="15" t="s">
        <v>36</v>
      </c>
      <c r="H961" s="15" t="s">
        <v>6274</v>
      </c>
      <c r="I961" s="15" t="s">
        <v>6275</v>
      </c>
      <c r="J961" s="15" t="s">
        <v>6276</v>
      </c>
      <c r="K961" s="15" t="s">
        <v>40</v>
      </c>
      <c r="L961" s="15" t="s">
        <v>41</v>
      </c>
      <c r="M961" s="15" t="s">
        <v>205</v>
      </c>
      <c r="N961" s="15" t="s">
        <v>206</v>
      </c>
      <c r="O961" s="15" t="s">
        <v>44</v>
      </c>
      <c r="P961" s="15" t="s">
        <v>6277</v>
      </c>
      <c r="Q961" s="15" t="s">
        <v>6278</v>
      </c>
      <c r="R961" s="16">
        <v>44329</v>
      </c>
      <c r="S961" s="17" t="s">
        <v>686</v>
      </c>
      <c r="T961" s="20">
        <f>HYPERLINK("https://vnm.spiral.com.vn//uploaded/20210513/dc7eaa06-c73b-4728-a095-875ed89e9054.JPEG","15:08:25")</f>
      </c>
      <c r="U961" s="18"/>
      <c r="V961" s="18" t="s">
        <v>35</v>
      </c>
      <c r="W961" s="15" t="s">
        <v>6279</v>
      </c>
      <c r="X961" s="15" t="s">
        <v>35</v>
      </c>
      <c r="Y961" s="15" t="s">
        <v>35</v>
      </c>
      <c r="Z961" s="19">
        <v>0</v>
      </c>
      <c r="AA961" s="15">
        <v>0</v>
      </c>
      <c r="AB961" s="15" t="s">
        <v>35</v>
      </c>
    </row>
    <row r="962">
      <c r="A962" s="15">
        <v>958</v>
      </c>
      <c r="B962" s="15" t="s">
        <v>87</v>
      </c>
      <c r="C962" s="15" t="s">
        <v>88</v>
      </c>
      <c r="D962" s="15" t="s">
        <v>135</v>
      </c>
      <c r="E962" s="15" t="s">
        <v>116</v>
      </c>
      <c r="F962" s="15" t="s">
        <v>35</v>
      </c>
      <c r="G962" s="15" t="s">
        <v>74</v>
      </c>
      <c r="H962" s="15" t="s">
        <v>6280</v>
      </c>
      <c r="I962" s="15" t="s">
        <v>6281</v>
      </c>
      <c r="J962" s="15" t="s">
        <v>6282</v>
      </c>
      <c r="K962" s="15" t="s">
        <v>390</v>
      </c>
      <c r="L962" s="15" t="s">
        <v>391</v>
      </c>
      <c r="M962" s="15" t="s">
        <v>392</v>
      </c>
      <c r="N962" s="15" t="s">
        <v>393</v>
      </c>
      <c r="O962" s="15" t="s">
        <v>82</v>
      </c>
      <c r="P962" s="15" t="s">
        <v>481</v>
      </c>
      <c r="Q962" s="15" t="s">
        <v>482</v>
      </c>
      <c r="R962" s="16">
        <v>44329</v>
      </c>
      <c r="S962" s="17" t="s">
        <v>70</v>
      </c>
      <c r="T962" s="20">
        <f>HYPERLINK("https://vnm.spiral.com.vn//uploaded/20210513/c102790e-e505-446a-9244-a4680dd2a21b.JPEG","13:12:59")</f>
      </c>
      <c r="U962" s="20">
        <f>HYPERLINK("https://vnm.spiral.com.vn//uploaded/20210513/489cb890-602d-4b5c-8948-9e6a6f97e992.JPEG","15:08:15")</f>
      </c>
      <c r="V962" s="18">
        <v>0.0800462962962963</v>
      </c>
      <c r="W962" s="15" t="s">
        <v>6283</v>
      </c>
      <c r="X962" s="15" t="s">
        <v>6284</v>
      </c>
      <c r="Y962" s="15" t="s">
        <v>35</v>
      </c>
      <c r="Z962" s="19">
        <v>0</v>
      </c>
      <c r="AA962" s="15">
        <v>0</v>
      </c>
      <c r="AB962" s="15" t="s">
        <v>35</v>
      </c>
    </row>
    <row r="963">
      <c r="A963" s="15">
        <v>959</v>
      </c>
      <c r="B963" s="15" t="s">
        <v>61</v>
      </c>
      <c r="C963" s="15" t="s">
        <v>904</v>
      </c>
      <c r="D963" s="15" t="s">
        <v>35</v>
      </c>
      <c r="E963" s="15" t="s">
        <v>35</v>
      </c>
      <c r="F963" s="15" t="s">
        <v>35</v>
      </c>
      <c r="G963" s="15" t="s">
        <v>36</v>
      </c>
      <c r="H963" s="15" t="s">
        <v>6285</v>
      </c>
      <c r="I963" s="15" t="s">
        <v>6286</v>
      </c>
      <c r="J963" s="15" t="s">
        <v>6287</v>
      </c>
      <c r="K963" s="15" t="s">
        <v>40</v>
      </c>
      <c r="L963" s="15" t="s">
        <v>41</v>
      </c>
      <c r="M963" s="15" t="s">
        <v>66</v>
      </c>
      <c r="N963" s="15" t="s">
        <v>67</v>
      </c>
      <c r="O963" s="15" t="s">
        <v>44</v>
      </c>
      <c r="P963" s="15" t="s">
        <v>6288</v>
      </c>
      <c r="Q963" s="15" t="s">
        <v>6289</v>
      </c>
      <c r="R963" s="16">
        <v>44329</v>
      </c>
      <c r="S963" s="17" t="s">
        <v>686</v>
      </c>
      <c r="T963" s="20">
        <f>HYPERLINK("https://vnm.spiral.com.vn//uploaded/20210513/D45C3261-C9EC-4226-A685-3E71424A642F.jpg","15:07:47")</f>
      </c>
      <c r="U963" s="18"/>
      <c r="V963" s="18" t="s">
        <v>35</v>
      </c>
      <c r="W963" s="15" t="s">
        <v>6290</v>
      </c>
      <c r="X963" s="15" t="s">
        <v>35</v>
      </c>
      <c r="Y963" s="15" t="s">
        <v>35</v>
      </c>
      <c r="Z963" s="19">
        <v>0</v>
      </c>
      <c r="AA963" s="15">
        <v>0</v>
      </c>
      <c r="AB963" s="15" t="s">
        <v>35</v>
      </c>
    </row>
    <row r="964">
      <c r="A964" s="15">
        <v>960</v>
      </c>
      <c r="B964" s="15" t="s">
        <v>87</v>
      </c>
      <c r="C964" s="15" t="s">
        <v>88</v>
      </c>
      <c r="D964" s="15" t="s">
        <v>35</v>
      </c>
      <c r="E964" s="15" t="s">
        <v>35</v>
      </c>
      <c r="F964" s="15" t="s">
        <v>1091</v>
      </c>
      <c r="G964" s="15" t="s">
        <v>36</v>
      </c>
      <c r="H964" s="15" t="s">
        <v>6291</v>
      </c>
      <c r="I964" s="15" t="s">
        <v>6292</v>
      </c>
      <c r="J964" s="15" t="s">
        <v>6293</v>
      </c>
      <c r="K964" s="15" t="s">
        <v>40</v>
      </c>
      <c r="L964" s="15" t="s">
        <v>41</v>
      </c>
      <c r="M964" s="15" t="s">
        <v>810</v>
      </c>
      <c r="N964" s="15" t="s">
        <v>811</v>
      </c>
      <c r="O964" s="15" t="s">
        <v>44</v>
      </c>
      <c r="P964" s="15" t="s">
        <v>6294</v>
      </c>
      <c r="Q964" s="15" t="s">
        <v>6295</v>
      </c>
      <c r="R964" s="16">
        <v>44329</v>
      </c>
      <c r="S964" s="17" t="s">
        <v>5993</v>
      </c>
      <c r="T964" s="20">
        <f>HYPERLINK("https://vnm.spiral.com.vn//uploaded/20210513/79720b14-dab9-4d09-8319-9c73010f3fd4.JPEG","15:07:39")</f>
      </c>
      <c r="U964" s="18"/>
      <c r="V964" s="18" t="s">
        <v>35</v>
      </c>
      <c r="W964" s="15" t="s">
        <v>6296</v>
      </c>
      <c r="X964" s="15" t="s">
        <v>35</v>
      </c>
      <c r="Y964" s="15" t="s">
        <v>35</v>
      </c>
      <c r="Z964" s="19">
        <v>0</v>
      </c>
      <c r="AA964" s="15">
        <v>0</v>
      </c>
      <c r="AB964" s="15" t="s">
        <v>35</v>
      </c>
    </row>
    <row r="965">
      <c r="A965" s="15">
        <v>961</v>
      </c>
      <c r="B965" s="15" t="s">
        <v>61</v>
      </c>
      <c r="C965" s="15" t="s">
        <v>303</v>
      </c>
      <c r="D965" s="15" t="s">
        <v>35</v>
      </c>
      <c r="E965" s="15" t="s">
        <v>35</v>
      </c>
      <c r="F965" s="15" t="s">
        <v>1947</v>
      </c>
      <c r="G965" s="15" t="s">
        <v>36</v>
      </c>
      <c r="H965" s="15" t="s">
        <v>6297</v>
      </c>
      <c r="I965" s="15" t="s">
        <v>6298</v>
      </c>
      <c r="J965" s="15" t="s">
        <v>6299</v>
      </c>
      <c r="K965" s="15" t="s">
        <v>40</v>
      </c>
      <c r="L965" s="15" t="s">
        <v>41</v>
      </c>
      <c r="M965" s="15" t="s">
        <v>205</v>
      </c>
      <c r="N965" s="15" t="s">
        <v>206</v>
      </c>
      <c r="O965" s="15" t="s">
        <v>44</v>
      </c>
      <c r="P965" s="15" t="s">
        <v>6300</v>
      </c>
      <c r="Q965" s="15" t="s">
        <v>6301</v>
      </c>
      <c r="R965" s="16">
        <v>44329</v>
      </c>
      <c r="S965" s="17" t="s">
        <v>1199</v>
      </c>
      <c r="T965" s="20">
        <f>HYPERLINK("https://vnm.spiral.com.vn//uploaded/20210513/93b62ba5-5e80-416a-8feb-811252ec4495.JPEG","15:07:29")</f>
      </c>
      <c r="U965" s="18"/>
      <c r="V965" s="18" t="s">
        <v>35</v>
      </c>
      <c r="W965" s="15" t="s">
        <v>6302</v>
      </c>
      <c r="X965" s="15" t="s">
        <v>35</v>
      </c>
      <c r="Y965" s="15" t="s">
        <v>35</v>
      </c>
      <c r="Z965" s="19">
        <v>0</v>
      </c>
      <c r="AA965" s="15">
        <v>0</v>
      </c>
      <c r="AB965" s="15" t="s">
        <v>35</v>
      </c>
    </row>
    <row r="966">
      <c r="A966" s="15">
        <v>962</v>
      </c>
      <c r="B966" s="15" t="s">
        <v>246</v>
      </c>
      <c r="C966" s="15" t="s">
        <v>259</v>
      </c>
      <c r="D966" s="15" t="s">
        <v>89</v>
      </c>
      <c r="E966" s="15" t="s">
        <v>90</v>
      </c>
      <c r="F966" s="15" t="s">
        <v>35</v>
      </c>
      <c r="G966" s="15" t="s">
        <v>74</v>
      </c>
      <c r="H966" s="15" t="s">
        <v>336</v>
      </c>
      <c r="I966" s="15" t="s">
        <v>337</v>
      </c>
      <c r="J966" s="15" t="s">
        <v>338</v>
      </c>
      <c r="K966" s="15" t="s">
        <v>166</v>
      </c>
      <c r="L966" s="15" t="s">
        <v>167</v>
      </c>
      <c r="M966" s="15" t="s">
        <v>263</v>
      </c>
      <c r="N966" s="15" t="s">
        <v>264</v>
      </c>
      <c r="O966" s="15" t="s">
        <v>98</v>
      </c>
      <c r="P966" s="15" t="s">
        <v>339</v>
      </c>
      <c r="Q966" s="15" t="s">
        <v>340</v>
      </c>
      <c r="R966" s="16">
        <v>44329</v>
      </c>
      <c r="S966" s="17" t="s">
        <v>35</v>
      </c>
      <c r="T966" s="20">
        <f>HYPERLINK("https://vnm.spiral.com.vn//uploaded/20210513/62f722f8-0ecb-4b8d-8544-933e316d0e9e.JPEG","13:28:53")</f>
      </c>
      <c r="U966" s="20">
        <f>HYPERLINK("https://vnm.spiral.com.vn//uploaded/20210513/ad0a5601-09ac-43ee-85f0-ef9ebc0aca8e.JPEG","15:07:22")</f>
      </c>
      <c r="V966" s="18">
        <v>0.0683912037037037</v>
      </c>
      <c r="W966" s="15" t="s">
        <v>6303</v>
      </c>
      <c r="X966" s="15" t="s">
        <v>6304</v>
      </c>
      <c r="Y966" s="15" t="s">
        <v>35</v>
      </c>
      <c r="Z966" s="19">
        <v>0</v>
      </c>
      <c r="AA966" s="15">
        <v>0</v>
      </c>
      <c r="AB966" s="15" t="s">
        <v>35</v>
      </c>
    </row>
    <row r="967">
      <c r="A967" s="15">
        <v>963</v>
      </c>
      <c r="B967" s="15" t="s">
        <v>343</v>
      </c>
      <c r="C967" s="15" t="s">
        <v>344</v>
      </c>
      <c r="D967" s="15" t="s">
        <v>1644</v>
      </c>
      <c r="E967" s="15" t="s">
        <v>35</v>
      </c>
      <c r="F967" s="15" t="s">
        <v>35</v>
      </c>
      <c r="G967" s="15" t="s">
        <v>74</v>
      </c>
      <c r="H967" s="15" t="s">
        <v>6305</v>
      </c>
      <c r="I967" s="15" t="s">
        <v>6306</v>
      </c>
      <c r="J967" s="15" t="s">
        <v>6307</v>
      </c>
      <c r="K967" s="15" t="s">
        <v>584</v>
      </c>
      <c r="L967" s="15" t="s">
        <v>585</v>
      </c>
      <c r="M967" s="15" t="s">
        <v>827</v>
      </c>
      <c r="N967" s="15" t="s">
        <v>828</v>
      </c>
      <c r="O967" s="15" t="s">
        <v>82</v>
      </c>
      <c r="P967" s="15" t="s">
        <v>1648</v>
      </c>
      <c r="Q967" s="15" t="s">
        <v>1649</v>
      </c>
      <c r="R967" s="16">
        <v>44329</v>
      </c>
      <c r="S967" s="17" t="s">
        <v>70</v>
      </c>
      <c r="T967" s="20">
        <f>HYPERLINK("https://vnm.spiral.com.vn//uploaded/20210513/3f9b7ac5-9af7-47d3-a9e3-000c02984a76.JPEG","10:44:44")</f>
      </c>
      <c r="U967" s="20">
        <f>HYPERLINK("https://vnm.spiral.com.vn//uploaded/20210513/50e673a1-d73c-41e1-9c98-5edc6547e09c.JPEG","15:07:11")</f>
      </c>
      <c r="V967" s="18">
        <v>0.18225694444444446</v>
      </c>
      <c r="W967" s="15" t="s">
        <v>6308</v>
      </c>
      <c r="X967" s="15" t="s">
        <v>6309</v>
      </c>
      <c r="Y967" s="15" t="s">
        <v>35</v>
      </c>
      <c r="Z967" s="19">
        <v>0</v>
      </c>
      <c r="AA967" s="15">
        <v>0</v>
      </c>
      <c r="AB967" s="15" t="s">
        <v>35</v>
      </c>
    </row>
    <row r="968">
      <c r="A968" s="15">
        <v>964</v>
      </c>
      <c r="B968" s="15" t="s">
        <v>343</v>
      </c>
      <c r="C968" s="15" t="s">
        <v>344</v>
      </c>
      <c r="D968" s="15" t="s">
        <v>35</v>
      </c>
      <c r="E968" s="15" t="s">
        <v>35</v>
      </c>
      <c r="F968" s="15" t="s">
        <v>35</v>
      </c>
      <c r="G968" s="15" t="s">
        <v>36</v>
      </c>
      <c r="H968" s="15" t="s">
        <v>6310</v>
      </c>
      <c r="I968" s="15" t="s">
        <v>6311</v>
      </c>
      <c r="J968" s="15" t="s">
        <v>6312</v>
      </c>
      <c r="K968" s="15" t="s">
        <v>40</v>
      </c>
      <c r="L968" s="15" t="s">
        <v>41</v>
      </c>
      <c r="M968" s="15" t="s">
        <v>595</v>
      </c>
      <c r="N968" s="15" t="s">
        <v>596</v>
      </c>
      <c r="O968" s="15" t="s">
        <v>44</v>
      </c>
      <c r="P968" s="15" t="s">
        <v>6313</v>
      </c>
      <c r="Q968" s="15" t="s">
        <v>6314</v>
      </c>
      <c r="R968" s="16">
        <v>44329</v>
      </c>
      <c r="S968" s="17" t="s">
        <v>686</v>
      </c>
      <c r="T968" s="20">
        <f>HYPERLINK("https://vnm.spiral.com.vn//uploaded/20210513/5bee961b-91ae-42a0-9584-183359c00a89.JPEG","15:06:59")</f>
      </c>
      <c r="U968" s="18"/>
      <c r="V968" s="18" t="s">
        <v>35</v>
      </c>
      <c r="W968" s="15" t="s">
        <v>6315</v>
      </c>
      <c r="X968" s="15" t="s">
        <v>35</v>
      </c>
      <c r="Y968" s="15" t="s">
        <v>35</v>
      </c>
      <c r="Z968" s="19">
        <v>0</v>
      </c>
      <c r="AA968" s="15">
        <v>0</v>
      </c>
      <c r="AB968" s="15" t="s">
        <v>35</v>
      </c>
    </row>
    <row r="969">
      <c r="A969" s="15">
        <v>965</v>
      </c>
      <c r="B969" s="15" t="s">
        <v>246</v>
      </c>
      <c r="C969" s="15" t="s">
        <v>782</v>
      </c>
      <c r="D969" s="15" t="s">
        <v>35</v>
      </c>
      <c r="E969" s="15" t="s">
        <v>35</v>
      </c>
      <c r="F969" s="15" t="s">
        <v>5859</v>
      </c>
      <c r="G969" s="15" t="s">
        <v>36</v>
      </c>
      <c r="H969" s="15" t="s">
        <v>6316</v>
      </c>
      <c r="I969" s="15" t="s">
        <v>6317</v>
      </c>
      <c r="J969" s="15" t="s">
        <v>6318</v>
      </c>
      <c r="K969" s="15" t="s">
        <v>40</v>
      </c>
      <c r="L969" s="15" t="s">
        <v>41</v>
      </c>
      <c r="M969" s="15" t="s">
        <v>252</v>
      </c>
      <c r="N969" s="15" t="s">
        <v>253</v>
      </c>
      <c r="O969" s="15" t="s">
        <v>44</v>
      </c>
      <c r="P969" s="15" t="s">
        <v>6319</v>
      </c>
      <c r="Q969" s="15" t="s">
        <v>6320</v>
      </c>
      <c r="R969" s="16">
        <v>44329</v>
      </c>
      <c r="S969" s="17" t="s">
        <v>5968</v>
      </c>
      <c r="T969" s="20">
        <f>HYPERLINK("https://vnm.spiral.com.vn//uploaded/20210513/2F085DEB-4F43-4812-AE80-D91360424463.jpg","15:06:57")</f>
      </c>
      <c r="U969" s="18"/>
      <c r="V969" s="18" t="s">
        <v>35</v>
      </c>
      <c r="W969" s="15" t="s">
        <v>6321</v>
      </c>
      <c r="X969" s="15" t="s">
        <v>35</v>
      </c>
      <c r="Y969" s="15" t="s">
        <v>35</v>
      </c>
      <c r="Z969" s="19">
        <v>0</v>
      </c>
      <c r="AA969" s="15">
        <v>0</v>
      </c>
      <c r="AB969" s="15" t="s">
        <v>35</v>
      </c>
    </row>
    <row r="970">
      <c r="A970" s="15">
        <v>966</v>
      </c>
      <c r="B970" s="15" t="s">
        <v>246</v>
      </c>
      <c r="C970" s="15" t="s">
        <v>864</v>
      </c>
      <c r="D970" s="15" t="s">
        <v>35</v>
      </c>
      <c r="E970" s="15" t="s">
        <v>35</v>
      </c>
      <c r="F970" s="15" t="s">
        <v>3410</v>
      </c>
      <c r="G970" s="15" t="s">
        <v>36</v>
      </c>
      <c r="H970" s="15" t="s">
        <v>6322</v>
      </c>
      <c r="I970" s="15" t="s">
        <v>6323</v>
      </c>
      <c r="J970" s="15" t="s">
        <v>6324</v>
      </c>
      <c r="K970" s="15" t="s">
        <v>40</v>
      </c>
      <c r="L970" s="15" t="s">
        <v>41</v>
      </c>
      <c r="M970" s="15" t="s">
        <v>252</v>
      </c>
      <c r="N970" s="15" t="s">
        <v>253</v>
      </c>
      <c r="O970" s="15" t="s">
        <v>44</v>
      </c>
      <c r="P970" s="15" t="s">
        <v>6325</v>
      </c>
      <c r="Q970" s="15" t="s">
        <v>6326</v>
      </c>
      <c r="R970" s="16">
        <v>44329</v>
      </c>
      <c r="S970" s="17" t="s">
        <v>686</v>
      </c>
      <c r="T970" s="20">
        <f>HYPERLINK("https://vnm.spiral.com.vn//uploaded/20210513/F884DE22-2C5D-4815-9A9B-4BF46358B55D.jpg","15:06:28")</f>
      </c>
      <c r="U970" s="18"/>
      <c r="V970" s="18" t="s">
        <v>35</v>
      </c>
      <c r="W970" s="15" t="s">
        <v>6327</v>
      </c>
      <c r="X970" s="15" t="s">
        <v>35</v>
      </c>
      <c r="Y970" s="15" t="s">
        <v>35</v>
      </c>
      <c r="Z970" s="19">
        <v>0</v>
      </c>
      <c r="AA970" s="15">
        <v>0</v>
      </c>
      <c r="AB970" s="15" t="s">
        <v>35</v>
      </c>
    </row>
    <row r="971">
      <c r="A971" s="15">
        <v>967</v>
      </c>
      <c r="B971" s="15" t="s">
        <v>246</v>
      </c>
      <c r="C971" s="15" t="s">
        <v>782</v>
      </c>
      <c r="D971" s="15" t="s">
        <v>35</v>
      </c>
      <c r="E971" s="15" t="s">
        <v>35</v>
      </c>
      <c r="F971" s="15" t="s">
        <v>6328</v>
      </c>
      <c r="G971" s="15" t="s">
        <v>36</v>
      </c>
      <c r="H971" s="15" t="s">
        <v>6329</v>
      </c>
      <c r="I971" s="15" t="s">
        <v>6330</v>
      </c>
      <c r="J971" s="15" t="s">
        <v>6331</v>
      </c>
      <c r="K971" s="15" t="s">
        <v>40</v>
      </c>
      <c r="L971" s="15" t="s">
        <v>41</v>
      </c>
      <c r="M971" s="15" t="s">
        <v>252</v>
      </c>
      <c r="N971" s="15" t="s">
        <v>253</v>
      </c>
      <c r="O971" s="15" t="s">
        <v>44</v>
      </c>
      <c r="P971" s="15" t="s">
        <v>6332</v>
      </c>
      <c r="Q971" s="15" t="s">
        <v>6333</v>
      </c>
      <c r="R971" s="16">
        <v>44329</v>
      </c>
      <c r="S971" s="17" t="s">
        <v>686</v>
      </c>
      <c r="T971" s="20">
        <f>HYPERLINK("https://vnm.spiral.com.vn//uploaded/20210513/8829A2C3-8569-4743-9E41-7E289053ADD0.jpg","15:06:28")</f>
      </c>
      <c r="U971" s="18"/>
      <c r="V971" s="18" t="s">
        <v>35</v>
      </c>
      <c r="W971" s="15" t="s">
        <v>6334</v>
      </c>
      <c r="X971" s="15" t="s">
        <v>35</v>
      </c>
      <c r="Y971" s="15" t="s">
        <v>35</v>
      </c>
      <c r="Z971" s="19">
        <v>0</v>
      </c>
      <c r="AA971" s="15">
        <v>0</v>
      </c>
      <c r="AB971" s="15" t="s">
        <v>35</v>
      </c>
    </row>
    <row r="972">
      <c r="A972" s="15">
        <v>968</v>
      </c>
      <c r="B972" s="15" t="s">
        <v>87</v>
      </c>
      <c r="C972" s="15" t="s">
        <v>88</v>
      </c>
      <c r="D972" s="15" t="s">
        <v>35</v>
      </c>
      <c r="E972" s="15" t="s">
        <v>35</v>
      </c>
      <c r="F972" s="15" t="s">
        <v>2773</v>
      </c>
      <c r="G972" s="15" t="s">
        <v>36</v>
      </c>
      <c r="H972" s="15" t="s">
        <v>6335</v>
      </c>
      <c r="I972" s="15" t="s">
        <v>6336</v>
      </c>
      <c r="J972" s="15" t="s">
        <v>6337</v>
      </c>
      <c r="K972" s="15" t="s">
        <v>40</v>
      </c>
      <c r="L972" s="15" t="s">
        <v>41</v>
      </c>
      <c r="M972" s="15" t="s">
        <v>810</v>
      </c>
      <c r="N972" s="15" t="s">
        <v>811</v>
      </c>
      <c r="O972" s="15" t="s">
        <v>44</v>
      </c>
      <c r="P972" s="15" t="s">
        <v>6338</v>
      </c>
      <c r="Q972" s="15" t="s">
        <v>6339</v>
      </c>
      <c r="R972" s="16">
        <v>44329</v>
      </c>
      <c r="S972" s="17" t="s">
        <v>971</v>
      </c>
      <c r="T972" s="20">
        <f>HYPERLINK("https://vnm.spiral.com.vn//uploaded/20210513/ce312d66-6e27-486f-ae95-30757af232ba.JPEG","06:58:32")</f>
      </c>
      <c r="U972" s="20">
        <f>HYPERLINK("https://vnm.spiral.com.vn//uploaded/20210513/6269feac-ace7-4bc0-a93c-8925858daecc.JPEG","15:06:21")</f>
      </c>
      <c r="V972" s="18">
        <v>0.3387615740740741</v>
      </c>
      <c r="W972" s="15" t="s">
        <v>6340</v>
      </c>
      <c r="X972" s="15" t="s">
        <v>6341</v>
      </c>
      <c r="Y972" s="15" t="s">
        <v>35</v>
      </c>
      <c r="Z972" s="19">
        <v>0</v>
      </c>
      <c r="AA972" s="15">
        <v>0</v>
      </c>
      <c r="AB972" s="15" t="s">
        <v>35</v>
      </c>
    </row>
    <row r="973">
      <c r="A973" s="15">
        <v>969</v>
      </c>
      <c r="B973" s="15" t="s">
        <v>87</v>
      </c>
      <c r="C973" s="15" t="s">
        <v>88</v>
      </c>
      <c r="D973" s="15" t="s">
        <v>35</v>
      </c>
      <c r="E973" s="15" t="s">
        <v>35</v>
      </c>
      <c r="F973" s="15" t="s">
        <v>2667</v>
      </c>
      <c r="G973" s="15" t="s">
        <v>36</v>
      </c>
      <c r="H973" s="15" t="s">
        <v>6342</v>
      </c>
      <c r="I973" s="15" t="s">
        <v>6343</v>
      </c>
      <c r="J973" s="15" t="s">
        <v>6344</v>
      </c>
      <c r="K973" s="15" t="s">
        <v>40</v>
      </c>
      <c r="L973" s="15" t="s">
        <v>41</v>
      </c>
      <c r="M973" s="15" t="s">
        <v>1195</v>
      </c>
      <c r="N973" s="15" t="s">
        <v>1196</v>
      </c>
      <c r="O973" s="15" t="s">
        <v>44</v>
      </c>
      <c r="P973" s="15" t="s">
        <v>6345</v>
      </c>
      <c r="Q973" s="15" t="s">
        <v>6346</v>
      </c>
      <c r="R973" s="16">
        <v>44329</v>
      </c>
      <c r="S973" s="17" t="s">
        <v>686</v>
      </c>
      <c r="T973" s="20">
        <f>HYPERLINK("https://vnm.spiral.com.vn//uploaded/20210513/3CD0127A-A1F4-439E-9233-34507A6D815D.jpg","15:06:21")</f>
      </c>
      <c r="U973" s="18"/>
      <c r="V973" s="18" t="s">
        <v>35</v>
      </c>
      <c r="W973" s="15" t="s">
        <v>6347</v>
      </c>
      <c r="X973" s="15" t="s">
        <v>35</v>
      </c>
      <c r="Y973" s="15" t="s">
        <v>35</v>
      </c>
      <c r="Z973" s="19">
        <v>0</v>
      </c>
      <c r="AA973" s="15">
        <v>0</v>
      </c>
      <c r="AB973" s="15" t="s">
        <v>35</v>
      </c>
    </row>
    <row r="974">
      <c r="A974" s="15">
        <v>970</v>
      </c>
      <c r="B974" s="15" t="s">
        <v>87</v>
      </c>
      <c r="C974" s="15" t="s">
        <v>88</v>
      </c>
      <c r="D974" s="15" t="s">
        <v>35</v>
      </c>
      <c r="E974" s="15" t="s">
        <v>35</v>
      </c>
      <c r="F974" s="15" t="s">
        <v>2667</v>
      </c>
      <c r="G974" s="15" t="s">
        <v>36</v>
      </c>
      <c r="H974" s="15" t="s">
        <v>6348</v>
      </c>
      <c r="I974" s="15" t="s">
        <v>6349</v>
      </c>
      <c r="J974" s="15" t="s">
        <v>6350</v>
      </c>
      <c r="K974" s="15" t="s">
        <v>40</v>
      </c>
      <c r="L974" s="15" t="s">
        <v>41</v>
      </c>
      <c r="M974" s="15" t="s">
        <v>1195</v>
      </c>
      <c r="N974" s="15" t="s">
        <v>1196</v>
      </c>
      <c r="O974" s="15" t="s">
        <v>44</v>
      </c>
      <c r="P974" s="15" t="s">
        <v>6351</v>
      </c>
      <c r="Q974" s="15" t="s">
        <v>6352</v>
      </c>
      <c r="R974" s="16">
        <v>44329</v>
      </c>
      <c r="S974" s="17" t="s">
        <v>4912</v>
      </c>
      <c r="T974" s="20">
        <f>HYPERLINK("https://vnm.spiral.com.vn//uploaded/20210513/0D9357F8-6DA5-4B5D-973A-A219C6D151E8.jpg","15:06:07")</f>
      </c>
      <c r="U974" s="18"/>
      <c r="V974" s="18" t="s">
        <v>35</v>
      </c>
      <c r="W974" s="15" t="s">
        <v>6353</v>
      </c>
      <c r="X974" s="15" t="s">
        <v>35</v>
      </c>
      <c r="Y974" s="15" t="s">
        <v>35</v>
      </c>
      <c r="Z974" s="19">
        <v>0</v>
      </c>
      <c r="AA974" s="15">
        <v>0</v>
      </c>
      <c r="AB974" s="15" t="s">
        <v>35</v>
      </c>
    </row>
    <row r="975">
      <c r="A975" s="15">
        <v>971</v>
      </c>
      <c r="B975" s="15" t="s">
        <v>343</v>
      </c>
      <c r="C975" s="15" t="s">
        <v>344</v>
      </c>
      <c r="D975" s="15" t="s">
        <v>432</v>
      </c>
      <c r="E975" s="15" t="s">
        <v>116</v>
      </c>
      <c r="F975" s="15" t="s">
        <v>35</v>
      </c>
      <c r="G975" s="15" t="s">
        <v>74</v>
      </c>
      <c r="H975" s="15" t="s">
        <v>6354</v>
      </c>
      <c r="I975" s="15" t="s">
        <v>6355</v>
      </c>
      <c r="J975" s="15" t="s">
        <v>6356</v>
      </c>
      <c r="K975" s="15" t="s">
        <v>512</v>
      </c>
      <c r="L975" s="15" t="s">
        <v>513</v>
      </c>
      <c r="M975" s="15" t="s">
        <v>514</v>
      </c>
      <c r="N975" s="15" t="s">
        <v>515</v>
      </c>
      <c r="O975" s="15" t="s">
        <v>82</v>
      </c>
      <c r="P975" s="15" t="s">
        <v>2342</v>
      </c>
      <c r="Q975" s="15" t="s">
        <v>2343</v>
      </c>
      <c r="R975" s="16">
        <v>44329</v>
      </c>
      <c r="S975" s="17" t="s">
        <v>70</v>
      </c>
      <c r="T975" s="20">
        <f>HYPERLINK("https://vnm.spiral.com.vn//uploaded/20210513/093cf267-4d84-49fc-a7c1-f7fe6e85c072.JPEG","13:59:01")</f>
      </c>
      <c r="U975" s="20">
        <f>HYPERLINK("https://vnm.spiral.com.vn//uploaded/20210513/2b2d2ba7-bb72-4b7a-9e59-541a9bcf2f26.JPEG","15:05:53")</f>
      </c>
      <c r="V975" s="18">
        <v>0.046435185185185184</v>
      </c>
      <c r="W975" s="15" t="s">
        <v>6357</v>
      </c>
      <c r="X975" s="15" t="s">
        <v>6358</v>
      </c>
      <c r="Y975" s="15" t="s">
        <v>35</v>
      </c>
      <c r="Z975" s="19">
        <v>0</v>
      </c>
      <c r="AA975" s="15">
        <v>0</v>
      </c>
      <c r="AB975" s="15" t="s">
        <v>35</v>
      </c>
    </row>
    <row r="976">
      <c r="A976" s="15">
        <v>972</v>
      </c>
      <c r="B976" s="15" t="s">
        <v>87</v>
      </c>
      <c r="C976" s="15" t="s">
        <v>88</v>
      </c>
      <c r="D976" s="15" t="s">
        <v>35</v>
      </c>
      <c r="E976" s="15" t="s">
        <v>35</v>
      </c>
      <c r="F976" s="15" t="s">
        <v>806</v>
      </c>
      <c r="G976" s="15" t="s">
        <v>36</v>
      </c>
      <c r="H976" s="15" t="s">
        <v>6359</v>
      </c>
      <c r="I976" s="15" t="s">
        <v>6360</v>
      </c>
      <c r="J976" s="15" t="s">
        <v>6361</v>
      </c>
      <c r="K976" s="15" t="s">
        <v>40</v>
      </c>
      <c r="L976" s="15" t="s">
        <v>41</v>
      </c>
      <c r="M976" s="15" t="s">
        <v>810</v>
      </c>
      <c r="N976" s="15" t="s">
        <v>811</v>
      </c>
      <c r="O976" s="15" t="s">
        <v>44</v>
      </c>
      <c r="P976" s="15" t="s">
        <v>6362</v>
      </c>
      <c r="Q976" s="15" t="s">
        <v>6363</v>
      </c>
      <c r="R976" s="16">
        <v>44329</v>
      </c>
      <c r="S976" s="17" t="s">
        <v>971</v>
      </c>
      <c r="T976" s="20">
        <f>HYPERLINK("https://vnm.spiral.com.vn//uploaded/20210513/F50F5ADF-5E8C-4C2D-9267-0441F9CC1D15.jpg","07:01:56")</f>
      </c>
      <c r="U976" s="20">
        <f>HYPERLINK("https://vnm.spiral.com.vn//uploaded/20210513/EC70FA90-4D25-4BDB-B667-22589EC1D77B.jpg","15:05:19")</f>
      </c>
      <c r="V976" s="18">
        <v>0.33568287037037037</v>
      </c>
      <c r="W976" s="15" t="s">
        <v>6364</v>
      </c>
      <c r="X976" s="15" t="s">
        <v>6365</v>
      </c>
      <c r="Y976" s="15" t="s">
        <v>35</v>
      </c>
      <c r="Z976" s="19">
        <v>0</v>
      </c>
      <c r="AA976" s="15">
        <v>0</v>
      </c>
      <c r="AB976" s="15" t="s">
        <v>35</v>
      </c>
    </row>
    <row r="977">
      <c r="A977" s="15">
        <v>973</v>
      </c>
      <c r="B977" s="15" t="s">
        <v>61</v>
      </c>
      <c r="C977" s="15" t="s">
        <v>1106</v>
      </c>
      <c r="D977" s="15" t="s">
        <v>35</v>
      </c>
      <c r="E977" s="15" t="s">
        <v>35</v>
      </c>
      <c r="F977" s="15" t="s">
        <v>35</v>
      </c>
      <c r="G977" s="15" t="s">
        <v>36</v>
      </c>
      <c r="H977" s="15" t="s">
        <v>6366</v>
      </c>
      <c r="I977" s="15" t="s">
        <v>6367</v>
      </c>
      <c r="J977" s="15" t="s">
        <v>6368</v>
      </c>
      <c r="K977" s="15" t="s">
        <v>40</v>
      </c>
      <c r="L977" s="15" t="s">
        <v>41</v>
      </c>
      <c r="M977" s="15" t="s">
        <v>66</v>
      </c>
      <c r="N977" s="15" t="s">
        <v>67</v>
      </c>
      <c r="O977" s="15" t="s">
        <v>44</v>
      </c>
      <c r="P977" s="15" t="s">
        <v>6369</v>
      </c>
      <c r="Q977" s="15" t="s">
        <v>6370</v>
      </c>
      <c r="R977" s="16">
        <v>44329</v>
      </c>
      <c r="S977" s="17" t="s">
        <v>686</v>
      </c>
      <c r="T977" s="20">
        <f>HYPERLINK("https://vnm.spiral.com.vn//uploaded/20210513/636d7015-5193-41ae-963a-e8d4ace6b6d9.JPEG","15:05:18")</f>
      </c>
      <c r="U977" s="18"/>
      <c r="V977" s="18" t="s">
        <v>35</v>
      </c>
      <c r="W977" s="15" t="s">
        <v>6371</v>
      </c>
      <c r="X977" s="15" t="s">
        <v>35</v>
      </c>
      <c r="Y977" s="15" t="s">
        <v>35</v>
      </c>
      <c r="Z977" s="19">
        <v>0</v>
      </c>
      <c r="AA977" s="15">
        <v>0</v>
      </c>
      <c r="AB977" s="15" t="s">
        <v>35</v>
      </c>
    </row>
    <row r="978">
      <c r="A978" s="15">
        <v>974</v>
      </c>
      <c r="B978" s="15" t="s">
        <v>87</v>
      </c>
      <c r="C978" s="15" t="s">
        <v>88</v>
      </c>
      <c r="D978" s="15" t="s">
        <v>357</v>
      </c>
      <c r="E978" s="15" t="s">
        <v>90</v>
      </c>
      <c r="F978" s="15" t="s">
        <v>35</v>
      </c>
      <c r="G978" s="15" t="s">
        <v>74</v>
      </c>
      <c r="H978" s="15" t="s">
        <v>6372</v>
      </c>
      <c r="I978" s="15" t="s">
        <v>6373</v>
      </c>
      <c r="J978" s="15" t="s">
        <v>6374</v>
      </c>
      <c r="K978" s="15" t="s">
        <v>94</v>
      </c>
      <c r="L978" s="15" t="s">
        <v>95</v>
      </c>
      <c r="M978" s="15" t="s">
        <v>1570</v>
      </c>
      <c r="N978" s="15" t="s">
        <v>1571</v>
      </c>
      <c r="O978" s="15" t="s">
        <v>98</v>
      </c>
      <c r="P978" s="15" t="s">
        <v>2024</v>
      </c>
      <c r="Q978" s="15" t="s">
        <v>2025</v>
      </c>
      <c r="R978" s="16">
        <v>44329</v>
      </c>
      <c r="S978" s="17" t="s">
        <v>70</v>
      </c>
      <c r="T978" s="20">
        <f>HYPERLINK("https://vnm.spiral.com.vn//uploaded/20210513/f9c2a2f3-f06c-4108-9055-34becf541467.JPEG","14:45:25")</f>
      </c>
      <c r="U978" s="20">
        <f>HYPERLINK("https://vnm.spiral.com.vn//uploaded/20210513/f4ca45dd-54b5-41ed-a51b-c6ed7ecc84ec.JPEG","15:05:17")</f>
      </c>
      <c r="V978" s="18">
        <v>0.013796296296296296</v>
      </c>
      <c r="W978" s="15" t="s">
        <v>6375</v>
      </c>
      <c r="X978" s="15" t="s">
        <v>6376</v>
      </c>
      <c r="Y978" s="15" t="s">
        <v>35</v>
      </c>
      <c r="Z978" s="19">
        <v>0</v>
      </c>
      <c r="AA978" s="15">
        <v>0</v>
      </c>
      <c r="AB978" s="15" t="s">
        <v>35</v>
      </c>
    </row>
    <row r="979">
      <c r="A979" s="15">
        <v>975</v>
      </c>
      <c r="B979" s="15" t="s">
        <v>343</v>
      </c>
      <c r="C979" s="15" t="s">
        <v>344</v>
      </c>
      <c r="D979" s="15" t="s">
        <v>35</v>
      </c>
      <c r="E979" s="15" t="s">
        <v>35</v>
      </c>
      <c r="F979" s="15" t="s">
        <v>35</v>
      </c>
      <c r="G979" s="15" t="s">
        <v>36</v>
      </c>
      <c r="H979" s="15" t="s">
        <v>6377</v>
      </c>
      <c r="I979" s="15" t="s">
        <v>6378</v>
      </c>
      <c r="J979" s="15" t="s">
        <v>6379</v>
      </c>
      <c r="K979" s="15" t="s">
        <v>40</v>
      </c>
      <c r="L979" s="15" t="s">
        <v>41</v>
      </c>
      <c r="M979" s="15" t="s">
        <v>595</v>
      </c>
      <c r="N979" s="15" t="s">
        <v>596</v>
      </c>
      <c r="O979" s="15" t="s">
        <v>44</v>
      </c>
      <c r="P979" s="15" t="s">
        <v>6380</v>
      </c>
      <c r="Q979" s="15" t="s">
        <v>6381</v>
      </c>
      <c r="R979" s="16">
        <v>44329</v>
      </c>
      <c r="S979" s="17" t="s">
        <v>686</v>
      </c>
      <c r="T979" s="20">
        <f>HYPERLINK("https://vnm.spiral.com.vn//uploaded/20210513/531EE772-94A7-4652-9BC6-803F05B92359.jpg","15:05:16")</f>
      </c>
      <c r="U979" s="18"/>
      <c r="V979" s="18" t="s">
        <v>35</v>
      </c>
      <c r="W979" s="15" t="s">
        <v>6382</v>
      </c>
      <c r="X979" s="15" t="s">
        <v>35</v>
      </c>
      <c r="Y979" s="15" t="s">
        <v>35</v>
      </c>
      <c r="Z979" s="19">
        <v>0</v>
      </c>
      <c r="AA979" s="15">
        <v>0</v>
      </c>
      <c r="AB979" s="15" t="s">
        <v>35</v>
      </c>
    </row>
    <row r="980">
      <c r="A980" s="15">
        <v>976</v>
      </c>
      <c r="B980" s="15" t="s">
        <v>87</v>
      </c>
      <c r="C980" s="15" t="s">
        <v>88</v>
      </c>
      <c r="D980" s="15" t="s">
        <v>357</v>
      </c>
      <c r="E980" s="15" t="s">
        <v>90</v>
      </c>
      <c r="F980" s="15" t="s">
        <v>35</v>
      </c>
      <c r="G980" s="15" t="s">
        <v>74</v>
      </c>
      <c r="H980" s="15" t="s">
        <v>6383</v>
      </c>
      <c r="I980" s="15" t="s">
        <v>6384</v>
      </c>
      <c r="J980" s="15" t="s">
        <v>6385</v>
      </c>
      <c r="K980" s="15" t="s">
        <v>1570</v>
      </c>
      <c r="L980" s="15" t="s">
        <v>1571</v>
      </c>
      <c r="M980" s="15" t="s">
        <v>2024</v>
      </c>
      <c r="N980" s="15" t="s">
        <v>2025</v>
      </c>
      <c r="O980" s="15" t="s">
        <v>82</v>
      </c>
      <c r="P980" s="15" t="s">
        <v>2026</v>
      </c>
      <c r="Q980" s="15" t="s">
        <v>2027</v>
      </c>
      <c r="R980" s="16">
        <v>44329</v>
      </c>
      <c r="S980" s="17" t="s">
        <v>70</v>
      </c>
      <c r="T980" s="20">
        <f>HYPERLINK("https://vnm.spiral.com.vn//uploaded/20210513/7d38db48-4d1a-4a0d-8bc6-aef6e21fc461.JPEG","14:26:53")</f>
      </c>
      <c r="U980" s="20">
        <f>HYPERLINK("https://vnm.spiral.com.vn//uploaded/20210513/572a6734-d3fc-4b8f-b5c6-96f5a5fff2d9.JPEG","15:05:14")</f>
      </c>
      <c r="V980" s="18">
        <v>0.026631944444444444</v>
      </c>
      <c r="W980" s="15" t="s">
        <v>6386</v>
      </c>
      <c r="X980" s="15" t="s">
        <v>6387</v>
      </c>
      <c r="Y980" s="15" t="s">
        <v>35</v>
      </c>
      <c r="Z980" s="19">
        <v>0</v>
      </c>
      <c r="AA980" s="15">
        <v>0</v>
      </c>
      <c r="AB980" s="15" t="s">
        <v>35</v>
      </c>
    </row>
    <row r="981">
      <c r="A981" s="15">
        <v>977</v>
      </c>
      <c r="B981" s="15" t="s">
        <v>87</v>
      </c>
      <c r="C981" s="15" t="s">
        <v>88</v>
      </c>
      <c r="D981" s="15" t="s">
        <v>35</v>
      </c>
      <c r="E981" s="15" t="s">
        <v>35</v>
      </c>
      <c r="F981" s="15" t="s">
        <v>1191</v>
      </c>
      <c r="G981" s="15" t="s">
        <v>36</v>
      </c>
      <c r="H981" s="15" t="s">
        <v>6388</v>
      </c>
      <c r="I981" s="15" t="s">
        <v>6389</v>
      </c>
      <c r="J981" s="15" t="s">
        <v>6390</v>
      </c>
      <c r="K981" s="15" t="s">
        <v>40</v>
      </c>
      <c r="L981" s="15" t="s">
        <v>41</v>
      </c>
      <c r="M981" s="15" t="s">
        <v>1195</v>
      </c>
      <c r="N981" s="15" t="s">
        <v>1196</v>
      </c>
      <c r="O981" s="15" t="s">
        <v>44</v>
      </c>
      <c r="P981" s="15" t="s">
        <v>6391</v>
      </c>
      <c r="Q981" s="15" t="s">
        <v>6392</v>
      </c>
      <c r="R981" s="16">
        <v>44329</v>
      </c>
      <c r="S981" s="17" t="s">
        <v>2925</v>
      </c>
      <c r="T981" s="20">
        <f>HYPERLINK("https://vnm.spiral.com.vn//uploaded/20210513/46ae48db-e103-401d-a670-c53e2a9fb761.JPEG","15:05:12")</f>
      </c>
      <c r="U981" s="18"/>
      <c r="V981" s="18" t="s">
        <v>35</v>
      </c>
      <c r="W981" s="15" t="s">
        <v>6393</v>
      </c>
      <c r="X981" s="15" t="s">
        <v>35</v>
      </c>
      <c r="Y981" s="15" t="s">
        <v>35</v>
      </c>
      <c r="Z981" s="19">
        <v>0</v>
      </c>
      <c r="AA981" s="15">
        <v>0</v>
      </c>
      <c r="AB981" s="15" t="s">
        <v>35</v>
      </c>
    </row>
    <row r="982">
      <c r="A982" s="15">
        <v>978</v>
      </c>
      <c r="B982" s="15" t="s">
        <v>87</v>
      </c>
      <c r="C982" s="15" t="s">
        <v>88</v>
      </c>
      <c r="D982" s="15" t="s">
        <v>35</v>
      </c>
      <c r="E982" s="15" t="s">
        <v>35</v>
      </c>
      <c r="F982" s="15" t="s">
        <v>35</v>
      </c>
      <c r="G982" s="15" t="s">
        <v>74</v>
      </c>
      <c r="H982" s="15" t="s">
        <v>6394</v>
      </c>
      <c r="I982" s="15" t="s">
        <v>6395</v>
      </c>
      <c r="J982" s="15" t="s">
        <v>6396</v>
      </c>
      <c r="K982" s="15" t="s">
        <v>120</v>
      </c>
      <c r="L982" s="15" t="s">
        <v>121</v>
      </c>
      <c r="M982" s="15" t="s">
        <v>1073</v>
      </c>
      <c r="N982" s="15" t="s">
        <v>1074</v>
      </c>
      <c r="O982" s="15" t="s">
        <v>82</v>
      </c>
      <c r="P982" s="15" t="s">
        <v>6397</v>
      </c>
      <c r="Q982" s="15" t="s">
        <v>6398</v>
      </c>
      <c r="R982" s="16">
        <v>44329</v>
      </c>
      <c r="S982" s="17" t="s">
        <v>70</v>
      </c>
      <c r="T982" s="20">
        <f>HYPERLINK("https://vnm.spiral.com.vn//uploaded/20210513/bff3def3-d088-44ad-9a27-03e37295a69d.JPEG","14:39:51")</f>
      </c>
      <c r="U982" s="20">
        <f>HYPERLINK("https://vnm.spiral.com.vn//uploaded/20210513/4f0888f4-ac4c-45ad-8203-6efb8d23ed92.JPEG","15:05:12")</f>
      </c>
      <c r="V982" s="18">
        <v>0.017604166666666667</v>
      </c>
      <c r="W982" s="15" t="s">
        <v>6399</v>
      </c>
      <c r="X982" s="15" t="s">
        <v>6400</v>
      </c>
      <c r="Y982" s="15" t="s">
        <v>35</v>
      </c>
      <c r="Z982" s="19">
        <v>0</v>
      </c>
      <c r="AA982" s="15">
        <v>0</v>
      </c>
      <c r="AB982" s="15" t="s">
        <v>35</v>
      </c>
    </row>
    <row r="983">
      <c r="A983" s="15">
        <v>979</v>
      </c>
      <c r="B983" s="15" t="s">
        <v>103</v>
      </c>
      <c r="C983" s="15" t="s">
        <v>186</v>
      </c>
      <c r="D983" s="15" t="s">
        <v>35</v>
      </c>
      <c r="E983" s="15" t="s">
        <v>35</v>
      </c>
      <c r="F983" s="15" t="s">
        <v>35</v>
      </c>
      <c r="G983" s="15" t="s">
        <v>36</v>
      </c>
      <c r="H983" s="15" t="s">
        <v>6401</v>
      </c>
      <c r="I983" s="15" t="s">
        <v>6402</v>
      </c>
      <c r="J983" s="15" t="s">
        <v>6403</v>
      </c>
      <c r="K983" s="15" t="s">
        <v>40</v>
      </c>
      <c r="L983" s="15" t="s">
        <v>41</v>
      </c>
      <c r="M983" s="15" t="s">
        <v>565</v>
      </c>
      <c r="N983" s="15" t="s">
        <v>566</v>
      </c>
      <c r="O983" s="15" t="s">
        <v>44</v>
      </c>
      <c r="P983" s="15" t="s">
        <v>6404</v>
      </c>
      <c r="Q983" s="15" t="s">
        <v>6405</v>
      </c>
      <c r="R983" s="16">
        <v>44329</v>
      </c>
      <c r="S983" s="17" t="s">
        <v>686</v>
      </c>
      <c r="T983" s="20">
        <f>HYPERLINK("https://vnm.spiral.com.vn//uploaded/20210513/D4DA7150-2B0F-4DD8-B5B1-8093E3655FE9.jpg","15:05:08")</f>
      </c>
      <c r="U983" s="18"/>
      <c r="V983" s="18" t="s">
        <v>35</v>
      </c>
      <c r="W983" s="15" t="s">
        <v>6406</v>
      </c>
      <c r="X983" s="15" t="s">
        <v>35</v>
      </c>
      <c r="Y983" s="15" t="s">
        <v>35</v>
      </c>
      <c r="Z983" s="19">
        <v>0</v>
      </c>
      <c r="AA983" s="15">
        <v>0</v>
      </c>
      <c r="AB983" s="15" t="s">
        <v>35</v>
      </c>
    </row>
    <row r="984">
      <c r="A984" s="15">
        <v>980</v>
      </c>
      <c r="B984" s="15" t="s">
        <v>246</v>
      </c>
      <c r="C984" s="15" t="s">
        <v>247</v>
      </c>
      <c r="D984" s="15" t="s">
        <v>35</v>
      </c>
      <c r="E984" s="15" t="s">
        <v>35</v>
      </c>
      <c r="F984" s="15" t="s">
        <v>248</v>
      </c>
      <c r="G984" s="15" t="s">
        <v>36</v>
      </c>
      <c r="H984" s="15" t="s">
        <v>6407</v>
      </c>
      <c r="I984" s="15" t="s">
        <v>6408</v>
      </c>
      <c r="J984" s="15" t="s">
        <v>6409</v>
      </c>
      <c r="K984" s="15" t="s">
        <v>40</v>
      </c>
      <c r="L984" s="15" t="s">
        <v>41</v>
      </c>
      <c r="M984" s="15" t="s">
        <v>252</v>
      </c>
      <c r="N984" s="15" t="s">
        <v>253</v>
      </c>
      <c r="O984" s="15" t="s">
        <v>44</v>
      </c>
      <c r="P984" s="15" t="s">
        <v>6410</v>
      </c>
      <c r="Q984" s="15" t="s">
        <v>6411</v>
      </c>
      <c r="R984" s="16">
        <v>44329</v>
      </c>
      <c r="S984" s="17" t="s">
        <v>686</v>
      </c>
      <c r="T984" s="20">
        <f>HYPERLINK("https://vnm.spiral.com.vn//uploaded/20210513/B8BC0F68-6A0C-448E-B11B-AFCA2A3E1289.jpg","15:05:04")</f>
      </c>
      <c r="U984" s="18"/>
      <c r="V984" s="18" t="s">
        <v>35</v>
      </c>
      <c r="W984" s="15" t="s">
        <v>6412</v>
      </c>
      <c r="X984" s="15" t="s">
        <v>35</v>
      </c>
      <c r="Y984" s="15" t="s">
        <v>35</v>
      </c>
      <c r="Z984" s="19">
        <v>0</v>
      </c>
      <c r="AA984" s="15">
        <v>0</v>
      </c>
      <c r="AB984" s="15" t="s">
        <v>35</v>
      </c>
    </row>
    <row r="985">
      <c r="A985" s="15">
        <v>981</v>
      </c>
      <c r="B985" s="15" t="s">
        <v>103</v>
      </c>
      <c r="C985" s="15" t="s">
        <v>2116</v>
      </c>
      <c r="D985" s="15" t="s">
        <v>35</v>
      </c>
      <c r="E985" s="15" t="s">
        <v>35</v>
      </c>
      <c r="F985" s="15" t="s">
        <v>35</v>
      </c>
      <c r="G985" s="15" t="s">
        <v>35</v>
      </c>
      <c r="H985" s="15" t="s">
        <v>6413</v>
      </c>
      <c r="I985" s="15" t="s">
        <v>6414</v>
      </c>
      <c r="J985" s="15" t="s">
        <v>6415</v>
      </c>
      <c r="K985" s="15" t="s">
        <v>40</v>
      </c>
      <c r="L985" s="15" t="s">
        <v>41</v>
      </c>
      <c r="M985" s="15" t="s">
        <v>108</v>
      </c>
      <c r="N985" s="15" t="s">
        <v>109</v>
      </c>
      <c r="O985" s="15" t="s">
        <v>44</v>
      </c>
      <c r="P985" s="15" t="s">
        <v>6416</v>
      </c>
      <c r="Q985" s="15" t="s">
        <v>6417</v>
      </c>
      <c r="R985" s="16">
        <v>44329</v>
      </c>
      <c r="S985" s="17" t="s">
        <v>5993</v>
      </c>
      <c r="T985" s="20">
        <f>HYPERLINK("https://vnm.spiral.com.vn//uploaded/20210513/184FD431-93D9-4651-8C68-52370F056A33.jpg","15:04:13")</f>
      </c>
      <c r="U985" s="18"/>
      <c r="V985" s="18" t="s">
        <v>35</v>
      </c>
      <c r="W985" s="15" t="s">
        <v>6418</v>
      </c>
      <c r="X985" s="15" t="s">
        <v>35</v>
      </c>
      <c r="Y985" s="15" t="s">
        <v>35</v>
      </c>
      <c r="Z985" s="19">
        <v>0</v>
      </c>
      <c r="AA985" s="15">
        <v>0</v>
      </c>
      <c r="AB985" s="15" t="s">
        <v>35</v>
      </c>
    </row>
    <row r="986">
      <c r="A986" s="15">
        <v>982</v>
      </c>
      <c r="B986" s="15" t="s">
        <v>103</v>
      </c>
      <c r="C986" s="15" t="s">
        <v>186</v>
      </c>
      <c r="D986" s="15" t="s">
        <v>35</v>
      </c>
      <c r="E986" s="15" t="s">
        <v>35</v>
      </c>
      <c r="F986" s="15" t="s">
        <v>35</v>
      </c>
      <c r="G986" s="15" t="s">
        <v>36</v>
      </c>
      <c r="H986" s="15" t="s">
        <v>6419</v>
      </c>
      <c r="I986" s="15" t="s">
        <v>6420</v>
      </c>
      <c r="J986" s="15" t="s">
        <v>6421</v>
      </c>
      <c r="K986" s="15" t="s">
        <v>40</v>
      </c>
      <c r="L986" s="15" t="s">
        <v>41</v>
      </c>
      <c r="M986" s="15" t="s">
        <v>565</v>
      </c>
      <c r="N986" s="15" t="s">
        <v>566</v>
      </c>
      <c r="O986" s="15" t="s">
        <v>44</v>
      </c>
      <c r="P986" s="15" t="s">
        <v>6422</v>
      </c>
      <c r="Q986" s="15" t="s">
        <v>4541</v>
      </c>
      <c r="R986" s="16">
        <v>44329</v>
      </c>
      <c r="S986" s="17" t="s">
        <v>686</v>
      </c>
      <c r="T986" s="20">
        <f>HYPERLINK("https://vnm.spiral.com.vn//uploaded/20210513/FC254CF3-2499-4E98-A6B2-02293A761731.jpg","15:04:13")</f>
      </c>
      <c r="U986" s="18"/>
      <c r="V986" s="18" t="s">
        <v>35</v>
      </c>
      <c r="W986" s="15" t="s">
        <v>6423</v>
      </c>
      <c r="X986" s="15" t="s">
        <v>35</v>
      </c>
      <c r="Y986" s="15" t="s">
        <v>35</v>
      </c>
      <c r="Z986" s="19">
        <v>0</v>
      </c>
      <c r="AA986" s="15">
        <v>0</v>
      </c>
      <c r="AB986" s="15" t="s">
        <v>35</v>
      </c>
    </row>
    <row r="987">
      <c r="A987" s="15">
        <v>983</v>
      </c>
      <c r="B987" s="15" t="s">
        <v>246</v>
      </c>
      <c r="C987" s="15" t="s">
        <v>259</v>
      </c>
      <c r="D987" s="15" t="s">
        <v>35</v>
      </c>
      <c r="E987" s="15" t="s">
        <v>35</v>
      </c>
      <c r="F987" s="15" t="s">
        <v>4355</v>
      </c>
      <c r="G987" s="15" t="s">
        <v>36</v>
      </c>
      <c r="H987" s="15" t="s">
        <v>6424</v>
      </c>
      <c r="I987" s="15" t="s">
        <v>6425</v>
      </c>
      <c r="J987" s="15" t="s">
        <v>6426</v>
      </c>
      <c r="K987" s="15" t="s">
        <v>40</v>
      </c>
      <c r="L987" s="15" t="s">
        <v>41</v>
      </c>
      <c r="M987" s="15" t="s">
        <v>252</v>
      </c>
      <c r="N987" s="15" t="s">
        <v>253</v>
      </c>
      <c r="O987" s="15" t="s">
        <v>44</v>
      </c>
      <c r="P987" s="15" t="s">
        <v>6427</v>
      </c>
      <c r="Q987" s="15" t="s">
        <v>6428</v>
      </c>
      <c r="R987" s="16">
        <v>44329</v>
      </c>
      <c r="S987" s="17" t="s">
        <v>5993</v>
      </c>
      <c r="T987" s="20">
        <f>HYPERLINK("https://vnm.spiral.com.vn//uploaded/20210513/7425e8b2-1ea7-4d9f-ab8a-2f650916ad00.JPEG","15:04:09")</f>
      </c>
      <c r="U987" s="18"/>
      <c r="V987" s="18" t="s">
        <v>35</v>
      </c>
      <c r="W987" s="15" t="s">
        <v>6429</v>
      </c>
      <c r="X987" s="15" t="s">
        <v>35</v>
      </c>
      <c r="Y987" s="15" t="s">
        <v>35</v>
      </c>
      <c r="Z987" s="19">
        <v>0</v>
      </c>
      <c r="AA987" s="15">
        <v>0</v>
      </c>
      <c r="AB987" s="15" t="s">
        <v>35</v>
      </c>
    </row>
    <row r="988">
      <c r="A988" s="15">
        <v>984</v>
      </c>
      <c r="B988" s="15" t="s">
        <v>61</v>
      </c>
      <c r="C988" s="15" t="s">
        <v>62</v>
      </c>
      <c r="D988" s="15" t="s">
        <v>35</v>
      </c>
      <c r="E988" s="15" t="s">
        <v>35</v>
      </c>
      <c r="F988" s="15" t="s">
        <v>3325</v>
      </c>
      <c r="G988" s="15" t="s">
        <v>36</v>
      </c>
      <c r="H988" s="15" t="s">
        <v>6430</v>
      </c>
      <c r="I988" s="15" t="s">
        <v>6431</v>
      </c>
      <c r="J988" s="15" t="s">
        <v>6432</v>
      </c>
      <c r="K988" s="15" t="s">
        <v>40</v>
      </c>
      <c r="L988" s="15" t="s">
        <v>41</v>
      </c>
      <c r="M988" s="15" t="s">
        <v>66</v>
      </c>
      <c r="N988" s="15" t="s">
        <v>67</v>
      </c>
      <c r="O988" s="15" t="s">
        <v>44</v>
      </c>
      <c r="P988" s="15" t="s">
        <v>6433</v>
      </c>
      <c r="Q988" s="15" t="s">
        <v>6434</v>
      </c>
      <c r="R988" s="16">
        <v>44329</v>
      </c>
      <c r="S988" s="17" t="s">
        <v>686</v>
      </c>
      <c r="T988" s="20">
        <f>HYPERLINK("https://vnm.spiral.com.vn//uploaded/20210513/CC89D3D9-35B5-4078-AFBB-73636D3FA802.jpg","15:04:04")</f>
      </c>
      <c r="U988" s="18"/>
      <c r="V988" s="18" t="s">
        <v>35</v>
      </c>
      <c r="W988" s="15" t="s">
        <v>6435</v>
      </c>
      <c r="X988" s="15" t="s">
        <v>35</v>
      </c>
      <c r="Y988" s="15" t="s">
        <v>35</v>
      </c>
      <c r="Z988" s="19">
        <v>0</v>
      </c>
      <c r="AA988" s="15">
        <v>0</v>
      </c>
      <c r="AB988" s="15" t="s">
        <v>35</v>
      </c>
    </row>
    <row r="989">
      <c r="A989" s="15">
        <v>985</v>
      </c>
      <c r="B989" s="15" t="s">
        <v>343</v>
      </c>
      <c r="C989" s="15" t="s">
        <v>344</v>
      </c>
      <c r="D989" s="15" t="s">
        <v>35</v>
      </c>
      <c r="E989" s="15" t="s">
        <v>35</v>
      </c>
      <c r="F989" s="15" t="s">
        <v>1954</v>
      </c>
      <c r="G989" s="15" t="s">
        <v>36</v>
      </c>
      <c r="H989" s="15" t="s">
        <v>6436</v>
      </c>
      <c r="I989" s="15" t="s">
        <v>2375</v>
      </c>
      <c r="J989" s="15" t="s">
        <v>6437</v>
      </c>
      <c r="K989" s="15" t="s">
        <v>40</v>
      </c>
      <c r="L989" s="15" t="s">
        <v>41</v>
      </c>
      <c r="M989" s="15" t="s">
        <v>409</v>
      </c>
      <c r="N989" s="15" t="s">
        <v>410</v>
      </c>
      <c r="O989" s="15" t="s">
        <v>44</v>
      </c>
      <c r="P989" s="15" t="s">
        <v>6438</v>
      </c>
      <c r="Q989" s="15" t="s">
        <v>650</v>
      </c>
      <c r="R989" s="16">
        <v>44329</v>
      </c>
      <c r="S989" s="17" t="s">
        <v>70</v>
      </c>
      <c r="T989" s="20">
        <f>HYPERLINK("https://vnm.spiral.com.vn//uploaded/20210513/5d305f35-4713-463e-b6f3-f076b325fa51.JPEG","07:53:03")</f>
      </c>
      <c r="U989" s="20">
        <f>HYPERLINK("https://vnm.spiral.com.vn//uploaded/20210513/8659bc0a-daad-4d69-9223-a0673f7722a1.JPEG","15:03:51")</f>
      </c>
      <c r="V989" s="18">
        <v>0.2991666666666667</v>
      </c>
      <c r="W989" s="15" t="s">
        <v>6439</v>
      </c>
      <c r="X989" s="15" t="s">
        <v>6440</v>
      </c>
      <c r="Y989" s="15" t="s">
        <v>35</v>
      </c>
      <c r="Z989" s="19">
        <v>0</v>
      </c>
      <c r="AA989" s="15">
        <v>0</v>
      </c>
      <c r="AB989" s="15" t="s">
        <v>35</v>
      </c>
    </row>
    <row r="990">
      <c r="A990" s="15">
        <v>986</v>
      </c>
      <c r="B990" s="15" t="s">
        <v>103</v>
      </c>
      <c r="C990" s="15" t="s">
        <v>1078</v>
      </c>
      <c r="D990" s="15" t="s">
        <v>35</v>
      </c>
      <c r="E990" s="15" t="s">
        <v>35</v>
      </c>
      <c r="F990" s="15" t="s">
        <v>35</v>
      </c>
      <c r="G990" s="15" t="s">
        <v>35</v>
      </c>
      <c r="H990" s="15" t="s">
        <v>6441</v>
      </c>
      <c r="I990" s="15" t="s">
        <v>6442</v>
      </c>
      <c r="J990" s="15" t="s">
        <v>6443</v>
      </c>
      <c r="K990" s="15" t="s">
        <v>40</v>
      </c>
      <c r="L990" s="15" t="s">
        <v>41</v>
      </c>
      <c r="M990" s="15" t="s">
        <v>565</v>
      </c>
      <c r="N990" s="15" t="s">
        <v>566</v>
      </c>
      <c r="O990" s="15" t="s">
        <v>44</v>
      </c>
      <c r="P990" s="15" t="s">
        <v>6444</v>
      </c>
      <c r="Q990" s="15" t="s">
        <v>6445</v>
      </c>
      <c r="R990" s="16">
        <v>44329</v>
      </c>
      <c r="S990" s="17" t="s">
        <v>686</v>
      </c>
      <c r="T990" s="20">
        <f>HYPERLINK("https://vnm.spiral.com.vn//uploaded/20210513/07cf194a-033f-4e33-8652-d5a5adb88c21.JPEG","15:03:44")</f>
      </c>
      <c r="U990" s="18"/>
      <c r="V990" s="18" t="s">
        <v>35</v>
      </c>
      <c r="W990" s="15" t="s">
        <v>6446</v>
      </c>
      <c r="X990" s="15" t="s">
        <v>35</v>
      </c>
      <c r="Y990" s="15" t="s">
        <v>35</v>
      </c>
      <c r="Z990" s="19">
        <v>0</v>
      </c>
      <c r="AA990" s="15">
        <v>0</v>
      </c>
      <c r="AB990" s="15" t="s">
        <v>35</v>
      </c>
    </row>
    <row r="991">
      <c r="A991" s="15">
        <v>987</v>
      </c>
      <c r="B991" s="15" t="s">
        <v>61</v>
      </c>
      <c r="C991" s="15" t="s">
        <v>1106</v>
      </c>
      <c r="D991" s="15" t="s">
        <v>35</v>
      </c>
      <c r="E991" s="15" t="s">
        <v>35</v>
      </c>
      <c r="F991" s="15" t="s">
        <v>1479</v>
      </c>
      <c r="G991" s="15" t="s">
        <v>36</v>
      </c>
      <c r="H991" s="15" t="s">
        <v>6447</v>
      </c>
      <c r="I991" s="15" t="s">
        <v>6448</v>
      </c>
      <c r="J991" s="15" t="s">
        <v>6449</v>
      </c>
      <c r="K991" s="15" t="s">
        <v>40</v>
      </c>
      <c r="L991" s="15" t="s">
        <v>41</v>
      </c>
      <c r="M991" s="15" t="s">
        <v>66</v>
      </c>
      <c r="N991" s="15" t="s">
        <v>67</v>
      </c>
      <c r="O991" s="15" t="s">
        <v>44</v>
      </c>
      <c r="P991" s="15" t="s">
        <v>6450</v>
      </c>
      <c r="Q991" s="15" t="s">
        <v>6451</v>
      </c>
      <c r="R991" s="16">
        <v>44329</v>
      </c>
      <c r="S991" s="17" t="s">
        <v>686</v>
      </c>
      <c r="T991" s="20">
        <f>HYPERLINK("https://vnm.spiral.com.vn//uploaded/20210513/EE40CBBA-A0CC-4A48-8153-8C02209F2DFF.jpg","15:03:38")</f>
      </c>
      <c r="U991" s="18"/>
      <c r="V991" s="18" t="s">
        <v>35</v>
      </c>
      <c r="W991" s="15" t="s">
        <v>6452</v>
      </c>
      <c r="X991" s="15" t="s">
        <v>35</v>
      </c>
      <c r="Y991" s="15" t="s">
        <v>35</v>
      </c>
      <c r="Z991" s="19">
        <v>0</v>
      </c>
      <c r="AA991" s="15">
        <v>0</v>
      </c>
      <c r="AB991" s="15" t="s">
        <v>35</v>
      </c>
    </row>
    <row r="992">
      <c r="A992" s="15">
        <v>988</v>
      </c>
      <c r="B992" s="15" t="s">
        <v>103</v>
      </c>
      <c r="C992" s="15" t="s">
        <v>1078</v>
      </c>
      <c r="D992" s="15" t="s">
        <v>35</v>
      </c>
      <c r="E992" s="15" t="s">
        <v>35</v>
      </c>
      <c r="F992" s="15" t="s">
        <v>35</v>
      </c>
      <c r="G992" s="15" t="s">
        <v>35</v>
      </c>
      <c r="H992" s="15" t="s">
        <v>6453</v>
      </c>
      <c r="I992" s="15" t="s">
        <v>6454</v>
      </c>
      <c r="J992" s="15" t="s">
        <v>6455</v>
      </c>
      <c r="K992" s="15" t="s">
        <v>40</v>
      </c>
      <c r="L992" s="15" t="s">
        <v>41</v>
      </c>
      <c r="M992" s="15" t="s">
        <v>565</v>
      </c>
      <c r="N992" s="15" t="s">
        <v>566</v>
      </c>
      <c r="O992" s="15" t="s">
        <v>44</v>
      </c>
      <c r="P992" s="15" t="s">
        <v>6456</v>
      </c>
      <c r="Q992" s="15" t="s">
        <v>6457</v>
      </c>
      <c r="R992" s="16">
        <v>44329</v>
      </c>
      <c r="S992" s="17" t="s">
        <v>686</v>
      </c>
      <c r="T992" s="20">
        <f>HYPERLINK("https://vnm.spiral.com.vn//uploaded/20210513/d225ba99-ea1f-4dd8-a158-c1b05f36704b.JPEG","15:03:31")</f>
      </c>
      <c r="U992" s="18"/>
      <c r="V992" s="18" t="s">
        <v>35</v>
      </c>
      <c r="W992" s="15" t="s">
        <v>6458</v>
      </c>
      <c r="X992" s="15" t="s">
        <v>35</v>
      </c>
      <c r="Y992" s="15" t="s">
        <v>35</v>
      </c>
      <c r="Z992" s="19">
        <v>0</v>
      </c>
      <c r="AA992" s="15">
        <v>0</v>
      </c>
      <c r="AB992" s="15" t="s">
        <v>35</v>
      </c>
    </row>
    <row r="993">
      <c r="A993" s="15">
        <v>989</v>
      </c>
      <c r="B993" s="15" t="s">
        <v>87</v>
      </c>
      <c r="C993" s="15" t="s">
        <v>88</v>
      </c>
      <c r="D993" s="15" t="s">
        <v>35</v>
      </c>
      <c r="E993" s="15" t="s">
        <v>35</v>
      </c>
      <c r="F993" s="15" t="s">
        <v>806</v>
      </c>
      <c r="G993" s="15" t="s">
        <v>36</v>
      </c>
      <c r="H993" s="15" t="s">
        <v>6459</v>
      </c>
      <c r="I993" s="15" t="s">
        <v>6460</v>
      </c>
      <c r="J993" s="15" t="s">
        <v>6461</v>
      </c>
      <c r="K993" s="15" t="s">
        <v>40</v>
      </c>
      <c r="L993" s="15" t="s">
        <v>41</v>
      </c>
      <c r="M993" s="15" t="s">
        <v>810</v>
      </c>
      <c r="N993" s="15" t="s">
        <v>811</v>
      </c>
      <c r="O993" s="15" t="s">
        <v>44</v>
      </c>
      <c r="P993" s="15" t="s">
        <v>6462</v>
      </c>
      <c r="Q993" s="15" t="s">
        <v>6463</v>
      </c>
      <c r="R993" s="16">
        <v>44329</v>
      </c>
      <c r="S993" s="17" t="s">
        <v>686</v>
      </c>
      <c r="T993" s="20">
        <f>HYPERLINK("https://vnm.spiral.com.vn//uploaded/20210513/426915B9-3B10-4140-8BA9-8F8967BA9EAF.jpg","15:03:26")</f>
      </c>
      <c r="U993" s="18"/>
      <c r="V993" s="18" t="s">
        <v>35</v>
      </c>
      <c r="W993" s="15" t="s">
        <v>6464</v>
      </c>
      <c r="X993" s="15" t="s">
        <v>35</v>
      </c>
      <c r="Y993" s="15" t="s">
        <v>35</v>
      </c>
      <c r="Z993" s="19">
        <v>0</v>
      </c>
      <c r="AA993" s="15">
        <v>0</v>
      </c>
      <c r="AB993" s="15" t="s">
        <v>35</v>
      </c>
    </row>
    <row r="994">
      <c r="A994" s="15">
        <v>990</v>
      </c>
      <c r="B994" s="15" t="s">
        <v>87</v>
      </c>
      <c r="C994" s="15" t="s">
        <v>88</v>
      </c>
      <c r="D994" s="15" t="s">
        <v>135</v>
      </c>
      <c r="E994" s="15" t="s">
        <v>116</v>
      </c>
      <c r="F994" s="15" t="s">
        <v>35</v>
      </c>
      <c r="G994" s="15" t="s">
        <v>74</v>
      </c>
      <c r="H994" s="15" t="s">
        <v>6465</v>
      </c>
      <c r="I994" s="15" t="s">
        <v>6466</v>
      </c>
      <c r="J994" s="15" t="s">
        <v>6467</v>
      </c>
      <c r="K994" s="15" t="s">
        <v>139</v>
      </c>
      <c r="L994" s="15" t="s">
        <v>140</v>
      </c>
      <c r="M994" s="15" t="s">
        <v>141</v>
      </c>
      <c r="N994" s="15" t="s">
        <v>142</v>
      </c>
      <c r="O994" s="15" t="s">
        <v>82</v>
      </c>
      <c r="P994" s="15" t="s">
        <v>143</v>
      </c>
      <c r="Q994" s="15" t="s">
        <v>144</v>
      </c>
      <c r="R994" s="16">
        <v>44329</v>
      </c>
      <c r="S994" s="17" t="s">
        <v>70</v>
      </c>
      <c r="T994" s="20">
        <f>HYPERLINK("https://vnm.spiral.com.vn//uploaded/20210513/1d6f6abd-f7f2-447d-bad0-13c812d1423b.JPEG","13:58:19")</f>
      </c>
      <c r="U994" s="20">
        <f>HYPERLINK("https://vnm.spiral.com.vn//uploaded/20210513/c2854b50-e435-48dd-b448-65a01966ee52.JPEG","15:03:24")</f>
      </c>
      <c r="V994" s="18">
        <v>0.045196759259259256</v>
      </c>
      <c r="W994" s="15" t="s">
        <v>6468</v>
      </c>
      <c r="X994" s="15" t="s">
        <v>6469</v>
      </c>
      <c r="Y994" s="15" t="s">
        <v>35</v>
      </c>
      <c r="Z994" s="19">
        <v>0</v>
      </c>
      <c r="AA994" s="15">
        <v>0</v>
      </c>
      <c r="AB994" s="15" t="s">
        <v>35</v>
      </c>
    </row>
    <row r="995">
      <c r="A995" s="15">
        <v>991</v>
      </c>
      <c r="B995" s="15" t="s">
        <v>87</v>
      </c>
      <c r="C995" s="15" t="s">
        <v>88</v>
      </c>
      <c r="D995" s="15" t="s">
        <v>35</v>
      </c>
      <c r="E995" s="15" t="s">
        <v>35</v>
      </c>
      <c r="F995" s="15" t="s">
        <v>2077</v>
      </c>
      <c r="G995" s="15" t="s">
        <v>36</v>
      </c>
      <c r="H995" s="15" t="s">
        <v>6470</v>
      </c>
      <c r="I995" s="15" t="s">
        <v>6471</v>
      </c>
      <c r="J995" s="15" t="s">
        <v>6472</v>
      </c>
      <c r="K995" s="15" t="s">
        <v>40</v>
      </c>
      <c r="L995" s="15" t="s">
        <v>41</v>
      </c>
      <c r="M995" s="15" t="s">
        <v>289</v>
      </c>
      <c r="N995" s="15" t="s">
        <v>290</v>
      </c>
      <c r="O995" s="15" t="s">
        <v>44</v>
      </c>
      <c r="P995" s="15" t="s">
        <v>6473</v>
      </c>
      <c r="Q995" s="15" t="s">
        <v>6474</v>
      </c>
      <c r="R995" s="16">
        <v>44329</v>
      </c>
      <c r="S995" s="17" t="s">
        <v>686</v>
      </c>
      <c r="T995" s="20">
        <f>HYPERLINK("https://vnm.spiral.com.vn//uploaded/20210513/34276f79-63dd-4ff7-8c50-5c4349cc3c7f.JPEG","15:03:14")</f>
      </c>
      <c r="U995" s="18"/>
      <c r="V995" s="18" t="s">
        <v>35</v>
      </c>
      <c r="W995" s="15" t="s">
        <v>6475</v>
      </c>
      <c r="X995" s="15" t="s">
        <v>35</v>
      </c>
      <c r="Y995" s="15" t="s">
        <v>35</v>
      </c>
      <c r="Z995" s="19">
        <v>0</v>
      </c>
      <c r="AA995" s="15">
        <v>0</v>
      </c>
      <c r="AB995" s="15" t="s">
        <v>35</v>
      </c>
    </row>
    <row r="996">
      <c r="A996" s="15">
        <v>992</v>
      </c>
      <c r="B996" s="15" t="s">
        <v>33</v>
      </c>
      <c r="C996" s="15" t="s">
        <v>34</v>
      </c>
      <c r="D996" s="15" t="s">
        <v>35</v>
      </c>
      <c r="E996" s="15" t="s">
        <v>35</v>
      </c>
      <c r="F996" s="15" t="s">
        <v>35</v>
      </c>
      <c r="G996" s="15" t="s">
        <v>36</v>
      </c>
      <c r="H996" s="15" t="s">
        <v>6476</v>
      </c>
      <c r="I996" s="15" t="s">
        <v>6477</v>
      </c>
      <c r="J996" s="15" t="s">
        <v>6478</v>
      </c>
      <c r="K996" s="15" t="s">
        <v>40</v>
      </c>
      <c r="L996" s="15" t="s">
        <v>41</v>
      </c>
      <c r="M996" s="15" t="s">
        <v>42</v>
      </c>
      <c r="N996" s="15" t="s">
        <v>43</v>
      </c>
      <c r="O996" s="15" t="s">
        <v>44</v>
      </c>
      <c r="P996" s="15" t="s">
        <v>6479</v>
      </c>
      <c r="Q996" s="15" t="s">
        <v>6480</v>
      </c>
      <c r="R996" s="16">
        <v>44329</v>
      </c>
      <c r="S996" s="17" t="s">
        <v>686</v>
      </c>
      <c r="T996" s="20">
        <f>HYPERLINK("https://vnm.spiral.com.vn//uploaded/20210513/F16916A5-49A6-48B2-A50F-3299CFA99F68.jpg","15:03:14")</f>
      </c>
      <c r="U996" s="18"/>
      <c r="V996" s="18" t="s">
        <v>35</v>
      </c>
      <c r="W996" s="15" t="s">
        <v>6481</v>
      </c>
      <c r="X996" s="15" t="s">
        <v>35</v>
      </c>
      <c r="Y996" s="15" t="s">
        <v>35</v>
      </c>
      <c r="Z996" s="19">
        <v>0</v>
      </c>
      <c r="AA996" s="15">
        <v>0</v>
      </c>
      <c r="AB996" s="15" t="s">
        <v>35</v>
      </c>
    </row>
    <row r="997">
      <c r="A997" s="15">
        <v>993</v>
      </c>
      <c r="B997" s="15" t="s">
        <v>103</v>
      </c>
      <c r="C997" s="15" t="s">
        <v>1078</v>
      </c>
      <c r="D997" s="15" t="s">
        <v>35</v>
      </c>
      <c r="E997" s="15" t="s">
        <v>35</v>
      </c>
      <c r="F997" s="15" t="s">
        <v>35</v>
      </c>
      <c r="G997" s="15" t="s">
        <v>36</v>
      </c>
      <c r="H997" s="15" t="s">
        <v>6482</v>
      </c>
      <c r="I997" s="15" t="s">
        <v>6483</v>
      </c>
      <c r="J997" s="15" t="s">
        <v>6484</v>
      </c>
      <c r="K997" s="15" t="s">
        <v>40</v>
      </c>
      <c r="L997" s="15" t="s">
        <v>41</v>
      </c>
      <c r="M997" s="15" t="s">
        <v>565</v>
      </c>
      <c r="N997" s="15" t="s">
        <v>566</v>
      </c>
      <c r="O997" s="15" t="s">
        <v>44</v>
      </c>
      <c r="P997" s="15" t="s">
        <v>6485</v>
      </c>
      <c r="Q997" s="15" t="s">
        <v>6486</v>
      </c>
      <c r="R997" s="16">
        <v>44329</v>
      </c>
      <c r="S997" s="17" t="s">
        <v>686</v>
      </c>
      <c r="T997" s="20">
        <f>HYPERLINK("https://vnm.spiral.com.vn//uploaded/20210513/af1ef6b2-b226-47b1-9aac-0bf43d746db4.JPEG","15:03:10")</f>
      </c>
      <c r="U997" s="18"/>
      <c r="V997" s="18" t="s">
        <v>35</v>
      </c>
      <c r="W997" s="15" t="s">
        <v>6487</v>
      </c>
      <c r="X997" s="15" t="s">
        <v>35</v>
      </c>
      <c r="Y997" s="15" t="s">
        <v>35</v>
      </c>
      <c r="Z997" s="19">
        <v>0</v>
      </c>
      <c r="AA997" s="15">
        <v>0</v>
      </c>
      <c r="AB997" s="15" t="s">
        <v>35</v>
      </c>
    </row>
    <row r="998">
      <c r="A998" s="15">
        <v>994</v>
      </c>
      <c r="B998" s="15" t="s">
        <v>33</v>
      </c>
      <c r="C998" s="15" t="s">
        <v>951</v>
      </c>
      <c r="D998" s="15" t="s">
        <v>35</v>
      </c>
      <c r="E998" s="15" t="s">
        <v>35</v>
      </c>
      <c r="F998" s="15" t="s">
        <v>35</v>
      </c>
      <c r="G998" s="15" t="s">
        <v>36</v>
      </c>
      <c r="H998" s="15" t="s">
        <v>6488</v>
      </c>
      <c r="I998" s="15" t="s">
        <v>6489</v>
      </c>
      <c r="J998" s="15" t="s">
        <v>6490</v>
      </c>
      <c r="K998" s="15" t="s">
        <v>40</v>
      </c>
      <c r="L998" s="15" t="s">
        <v>41</v>
      </c>
      <c r="M998" s="15" t="s">
        <v>42</v>
      </c>
      <c r="N998" s="15" t="s">
        <v>43</v>
      </c>
      <c r="O998" s="15" t="s">
        <v>44</v>
      </c>
      <c r="P998" s="15" t="s">
        <v>6491</v>
      </c>
      <c r="Q998" s="15" t="s">
        <v>3286</v>
      </c>
      <c r="R998" s="16">
        <v>44329</v>
      </c>
      <c r="S998" s="17" t="s">
        <v>686</v>
      </c>
      <c r="T998" s="20">
        <f>HYPERLINK("https://vnm.spiral.com.vn//uploaded/20210513/979bd588-cc64-49c5-9433-c9c1ed1cee3e.JPEG","15:03:05")</f>
      </c>
      <c r="U998" s="18"/>
      <c r="V998" s="18" t="s">
        <v>35</v>
      </c>
      <c r="W998" s="15" t="s">
        <v>6492</v>
      </c>
      <c r="X998" s="15" t="s">
        <v>35</v>
      </c>
      <c r="Y998" s="15" t="s">
        <v>35</v>
      </c>
      <c r="Z998" s="19">
        <v>0</v>
      </c>
      <c r="AA998" s="15">
        <v>0</v>
      </c>
      <c r="AB998" s="15" t="s">
        <v>35</v>
      </c>
    </row>
    <row r="999">
      <c r="A999" s="15">
        <v>995</v>
      </c>
      <c r="B999" s="15" t="s">
        <v>103</v>
      </c>
      <c r="C999" s="15" t="s">
        <v>186</v>
      </c>
      <c r="D999" s="15" t="s">
        <v>432</v>
      </c>
      <c r="E999" s="15" t="s">
        <v>116</v>
      </c>
      <c r="F999" s="15" t="s">
        <v>35</v>
      </c>
      <c r="G999" s="15" t="s">
        <v>74</v>
      </c>
      <c r="H999" s="15" t="s">
        <v>6493</v>
      </c>
      <c r="I999" s="15" t="s">
        <v>6494</v>
      </c>
      <c r="J999" s="15" t="s">
        <v>6495</v>
      </c>
      <c r="K999" s="15" t="s">
        <v>436</v>
      </c>
      <c r="L999" s="15" t="s">
        <v>437</v>
      </c>
      <c r="M999" s="15" t="s">
        <v>438</v>
      </c>
      <c r="N999" s="15" t="s">
        <v>439</v>
      </c>
      <c r="O999" s="15" t="s">
        <v>82</v>
      </c>
      <c r="P999" s="15" t="s">
        <v>2554</v>
      </c>
      <c r="Q999" s="15" t="s">
        <v>2555</v>
      </c>
      <c r="R999" s="16">
        <v>44329</v>
      </c>
      <c r="S999" s="17" t="s">
        <v>70</v>
      </c>
      <c r="T999" s="20">
        <f>HYPERLINK("https://vnm.spiral.com.vn//uploaded/20210513/D9FB2A14-AC6D-4F4B-98A3-F4E1DAAB0006.jpg","14:20:06")</f>
      </c>
      <c r="U999" s="20">
        <f>HYPERLINK("https://vnm.spiral.com.vn//uploaded/20210513/D55E7633-0245-4D8D-9399-324CEE562254.jpg","15:02:56")</f>
      </c>
      <c r="V999" s="18">
        <v>0.02974537037037037</v>
      </c>
      <c r="W999" s="15" t="s">
        <v>6496</v>
      </c>
      <c r="X999" s="15" t="s">
        <v>6497</v>
      </c>
      <c r="Y999" s="15" t="s">
        <v>35</v>
      </c>
      <c r="Z999" s="19">
        <v>0</v>
      </c>
      <c r="AA999" s="15">
        <v>0</v>
      </c>
      <c r="AB999" s="15" t="s">
        <v>35</v>
      </c>
    </row>
    <row r="1000">
      <c r="A1000" s="15">
        <v>996</v>
      </c>
      <c r="B1000" s="15" t="s">
        <v>49</v>
      </c>
      <c r="C1000" s="15" t="s">
        <v>369</v>
      </c>
      <c r="D1000" s="15" t="s">
        <v>35</v>
      </c>
      <c r="E1000" s="15" t="s">
        <v>35</v>
      </c>
      <c r="F1000" s="15" t="s">
        <v>370</v>
      </c>
      <c r="G1000" s="15" t="s">
        <v>36</v>
      </c>
      <c r="H1000" s="15" t="s">
        <v>6498</v>
      </c>
      <c r="I1000" s="15" t="s">
        <v>6499</v>
      </c>
      <c r="J1000" s="15" t="s">
        <v>6500</v>
      </c>
      <c r="K1000" s="15" t="s">
        <v>40</v>
      </c>
      <c r="L1000" s="15" t="s">
        <v>41</v>
      </c>
      <c r="M1000" s="15" t="s">
        <v>55</v>
      </c>
      <c r="N1000" s="15" t="s">
        <v>56</v>
      </c>
      <c r="O1000" s="15" t="s">
        <v>44</v>
      </c>
      <c r="P1000" s="15" t="s">
        <v>6501</v>
      </c>
      <c r="Q1000" s="15" t="s">
        <v>6502</v>
      </c>
      <c r="R1000" s="16">
        <v>44329</v>
      </c>
      <c r="S1000" s="17" t="s">
        <v>686</v>
      </c>
      <c r="T1000" s="20">
        <f>HYPERLINK("https://vnm.spiral.com.vn//uploaded/20210513/9B2CCFD0-EC54-438C-81CB-AB4D3DEB6390.jpg","15:02:48")</f>
      </c>
      <c r="U1000" s="18"/>
      <c r="V1000" s="18" t="s">
        <v>35</v>
      </c>
      <c r="W1000" s="15" t="s">
        <v>6503</v>
      </c>
      <c r="X1000" s="15" t="s">
        <v>35</v>
      </c>
      <c r="Y1000" s="15" t="s">
        <v>35</v>
      </c>
      <c r="Z1000" s="19">
        <v>0</v>
      </c>
      <c r="AA1000" s="15">
        <v>0</v>
      </c>
      <c r="AB1000" s="15" t="s">
        <v>35</v>
      </c>
    </row>
    <row r="1001">
      <c r="A1001" s="15">
        <v>997</v>
      </c>
      <c r="B1001" s="15" t="s">
        <v>246</v>
      </c>
      <c r="C1001" s="15" t="s">
        <v>247</v>
      </c>
      <c r="D1001" s="15" t="s">
        <v>35</v>
      </c>
      <c r="E1001" s="15" t="s">
        <v>35</v>
      </c>
      <c r="F1001" s="15" t="s">
        <v>248</v>
      </c>
      <c r="G1001" s="15" t="s">
        <v>36</v>
      </c>
      <c r="H1001" s="15" t="s">
        <v>6504</v>
      </c>
      <c r="I1001" s="15" t="s">
        <v>6505</v>
      </c>
      <c r="J1001" s="15" t="s">
        <v>6506</v>
      </c>
      <c r="K1001" s="15" t="s">
        <v>40</v>
      </c>
      <c r="L1001" s="15" t="s">
        <v>41</v>
      </c>
      <c r="M1001" s="15" t="s">
        <v>252</v>
      </c>
      <c r="N1001" s="15" t="s">
        <v>253</v>
      </c>
      <c r="O1001" s="15" t="s">
        <v>44</v>
      </c>
      <c r="P1001" s="15" t="s">
        <v>6507</v>
      </c>
      <c r="Q1001" s="15" t="s">
        <v>2664</v>
      </c>
      <c r="R1001" s="16">
        <v>44329</v>
      </c>
      <c r="S1001" s="17" t="s">
        <v>686</v>
      </c>
      <c r="T1001" s="20">
        <f>HYPERLINK("https://vnm.spiral.com.vn//uploaded/20210513/85fd63e6-e124-4eba-8b73-e8ec1665650c.JPEG","15:02:43")</f>
      </c>
      <c r="U1001" s="18"/>
      <c r="V1001" s="18" t="s">
        <v>35</v>
      </c>
      <c r="W1001" s="15" t="s">
        <v>6508</v>
      </c>
      <c r="X1001" s="15" t="s">
        <v>35</v>
      </c>
      <c r="Y1001" s="15" t="s">
        <v>35</v>
      </c>
      <c r="Z1001" s="19">
        <v>0</v>
      </c>
      <c r="AA1001" s="15">
        <v>0</v>
      </c>
      <c r="AB1001" s="15" t="s">
        <v>35</v>
      </c>
    </row>
    <row r="1002">
      <c r="A1002" s="15">
        <v>998</v>
      </c>
      <c r="B1002" s="15" t="s">
        <v>343</v>
      </c>
      <c r="C1002" s="15" t="s">
        <v>344</v>
      </c>
      <c r="D1002" s="15" t="s">
        <v>35</v>
      </c>
      <c r="E1002" s="15" t="s">
        <v>35</v>
      </c>
      <c r="F1002" s="15" t="s">
        <v>35</v>
      </c>
      <c r="G1002" s="15" t="s">
        <v>36</v>
      </c>
      <c r="H1002" s="15" t="s">
        <v>6509</v>
      </c>
      <c r="I1002" s="15" t="s">
        <v>5197</v>
      </c>
      <c r="J1002" s="15" t="s">
        <v>6510</v>
      </c>
      <c r="K1002" s="15" t="s">
        <v>40</v>
      </c>
      <c r="L1002" s="15" t="s">
        <v>41</v>
      </c>
      <c r="M1002" s="15" t="s">
        <v>409</v>
      </c>
      <c r="N1002" s="15" t="s">
        <v>410</v>
      </c>
      <c r="O1002" s="15" t="s">
        <v>44</v>
      </c>
      <c r="P1002" s="15" t="s">
        <v>6511</v>
      </c>
      <c r="Q1002" s="15" t="s">
        <v>2743</v>
      </c>
      <c r="R1002" s="16">
        <v>44329</v>
      </c>
      <c r="S1002" s="17" t="s">
        <v>686</v>
      </c>
      <c r="T1002" s="20">
        <f>HYPERLINK("https://vnm.spiral.com.vn//uploaded/20210513/42b932d8-8131-4a17-b4a4-21c44aed793b.JPEG","15:02:38")</f>
      </c>
      <c r="U1002" s="18"/>
      <c r="V1002" s="18" t="s">
        <v>35</v>
      </c>
      <c r="W1002" s="15" t="s">
        <v>6512</v>
      </c>
      <c r="X1002" s="15" t="s">
        <v>35</v>
      </c>
      <c r="Y1002" s="15" t="s">
        <v>35</v>
      </c>
      <c r="Z1002" s="19">
        <v>0</v>
      </c>
      <c r="AA1002" s="15">
        <v>0</v>
      </c>
      <c r="AB1002" s="15" t="s">
        <v>35</v>
      </c>
    </row>
    <row r="1003">
      <c r="A1003" s="15">
        <v>999</v>
      </c>
      <c r="B1003" s="15" t="s">
        <v>87</v>
      </c>
      <c r="C1003" s="15" t="s">
        <v>88</v>
      </c>
      <c r="D1003" s="15" t="s">
        <v>35</v>
      </c>
      <c r="E1003" s="15" t="s">
        <v>35</v>
      </c>
      <c r="F1003" s="15" t="s">
        <v>35</v>
      </c>
      <c r="G1003" s="15" t="s">
        <v>74</v>
      </c>
      <c r="H1003" s="15" t="s">
        <v>6513</v>
      </c>
      <c r="I1003" s="15" t="s">
        <v>6514</v>
      </c>
      <c r="J1003" s="15" t="s">
        <v>6515</v>
      </c>
      <c r="K1003" s="15" t="s">
        <v>888</v>
      </c>
      <c r="L1003" s="15" t="s">
        <v>889</v>
      </c>
      <c r="M1003" s="15" t="s">
        <v>890</v>
      </c>
      <c r="N1003" s="15" t="s">
        <v>891</v>
      </c>
      <c r="O1003" s="15" t="s">
        <v>82</v>
      </c>
      <c r="P1003" s="15" t="s">
        <v>2094</v>
      </c>
      <c r="Q1003" s="15" t="s">
        <v>2095</v>
      </c>
      <c r="R1003" s="16">
        <v>44329</v>
      </c>
      <c r="S1003" s="17" t="s">
        <v>70</v>
      </c>
      <c r="T1003" s="20">
        <f>HYPERLINK("https://vnm.spiral.com.vn//uploaded/20210513/1AC1A713-D46A-4F32-A268-D54C08407340.jpg","14:31:14")</f>
      </c>
      <c r="U1003" s="20">
        <f>HYPERLINK("https://vnm.spiral.com.vn//uploaded/20210513/0F793923-5E34-459B-9997-4F8C4133C2BA.jpg","15:02:29")</f>
      </c>
      <c r="V1003" s="18">
        <v>0.021701388888888888</v>
      </c>
      <c r="W1003" s="15" t="s">
        <v>6516</v>
      </c>
      <c r="X1003" s="15" t="s">
        <v>6517</v>
      </c>
      <c r="Y1003" s="15" t="s">
        <v>35</v>
      </c>
      <c r="Z1003" s="19">
        <v>0</v>
      </c>
      <c r="AA1003" s="15">
        <v>0</v>
      </c>
      <c r="AB1003" s="15" t="s">
        <v>35</v>
      </c>
    </row>
    <row r="1004">
      <c r="A1004" s="15">
        <v>1000</v>
      </c>
      <c r="B1004" s="15" t="s">
        <v>103</v>
      </c>
      <c r="C1004" s="15" t="s">
        <v>186</v>
      </c>
      <c r="D1004" s="15" t="s">
        <v>35</v>
      </c>
      <c r="E1004" s="15" t="s">
        <v>35</v>
      </c>
      <c r="F1004" s="15" t="s">
        <v>35</v>
      </c>
      <c r="G1004" s="15" t="s">
        <v>36</v>
      </c>
      <c r="H1004" s="15" t="s">
        <v>6518</v>
      </c>
      <c r="I1004" s="15" t="s">
        <v>6519</v>
      </c>
      <c r="J1004" s="15" t="s">
        <v>6520</v>
      </c>
      <c r="K1004" s="15" t="s">
        <v>40</v>
      </c>
      <c r="L1004" s="15" t="s">
        <v>41</v>
      </c>
      <c r="M1004" s="15" t="s">
        <v>565</v>
      </c>
      <c r="N1004" s="15" t="s">
        <v>566</v>
      </c>
      <c r="O1004" s="15" t="s">
        <v>44</v>
      </c>
      <c r="P1004" s="15" t="s">
        <v>6521</v>
      </c>
      <c r="Q1004" s="15" t="s">
        <v>6522</v>
      </c>
      <c r="R1004" s="16">
        <v>44329</v>
      </c>
      <c r="S1004" s="17" t="s">
        <v>686</v>
      </c>
      <c r="T1004" s="20">
        <f>HYPERLINK("https://vnm.spiral.com.vn//uploaded/20210513/395d5a2d-719b-46aa-95f0-1ca901acffe0.JPEG","15:02:24")</f>
      </c>
      <c r="U1004" s="18"/>
      <c r="V1004" s="18" t="s">
        <v>35</v>
      </c>
      <c r="W1004" s="15" t="s">
        <v>6523</v>
      </c>
      <c r="X1004" s="15" t="s">
        <v>35</v>
      </c>
      <c r="Y1004" s="15" t="s">
        <v>35</v>
      </c>
      <c r="Z1004" s="19">
        <v>0</v>
      </c>
      <c r="AA1004" s="15">
        <v>0</v>
      </c>
      <c r="AB1004" s="15" t="s">
        <v>35</v>
      </c>
    </row>
    <row r="1005">
      <c r="A1005" s="15">
        <v>1001</v>
      </c>
      <c r="B1005" s="15" t="s">
        <v>246</v>
      </c>
      <c r="C1005" s="15" t="s">
        <v>2845</v>
      </c>
      <c r="D1005" s="15" t="s">
        <v>35</v>
      </c>
      <c r="E1005" s="15" t="s">
        <v>35</v>
      </c>
      <c r="F1005" s="15" t="s">
        <v>4265</v>
      </c>
      <c r="G1005" s="15" t="s">
        <v>36</v>
      </c>
      <c r="H1005" s="15" t="s">
        <v>6524</v>
      </c>
      <c r="I1005" s="15" t="s">
        <v>6525</v>
      </c>
      <c r="J1005" s="15" t="s">
        <v>6526</v>
      </c>
      <c r="K1005" s="15" t="s">
        <v>40</v>
      </c>
      <c r="L1005" s="15" t="s">
        <v>41</v>
      </c>
      <c r="M1005" s="15" t="s">
        <v>252</v>
      </c>
      <c r="N1005" s="15" t="s">
        <v>253</v>
      </c>
      <c r="O1005" s="15" t="s">
        <v>44</v>
      </c>
      <c r="P1005" s="15" t="s">
        <v>6527</v>
      </c>
      <c r="Q1005" s="15" t="s">
        <v>6528</v>
      </c>
      <c r="R1005" s="16">
        <v>44329</v>
      </c>
      <c r="S1005" s="17" t="s">
        <v>686</v>
      </c>
      <c r="T1005" s="20">
        <f>HYPERLINK("https://vnm.spiral.com.vn//uploaded/20210513/a1bf568f-128a-4069-8646-ca82649a8b42.JPEG","15:02:23")</f>
      </c>
      <c r="U1005" s="18"/>
      <c r="V1005" s="18" t="s">
        <v>35</v>
      </c>
      <c r="W1005" s="15" t="s">
        <v>6529</v>
      </c>
      <c r="X1005" s="15" t="s">
        <v>35</v>
      </c>
      <c r="Y1005" s="15" t="s">
        <v>35</v>
      </c>
      <c r="Z1005" s="19">
        <v>0</v>
      </c>
      <c r="AA1005" s="15">
        <v>0</v>
      </c>
      <c r="AB1005" s="15" t="s">
        <v>35</v>
      </c>
    </row>
    <row r="1006">
      <c r="A1006" s="15">
        <v>1002</v>
      </c>
      <c r="B1006" s="15" t="s">
        <v>87</v>
      </c>
      <c r="C1006" s="15" t="s">
        <v>88</v>
      </c>
      <c r="D1006" s="15" t="s">
        <v>115</v>
      </c>
      <c r="E1006" s="15" t="s">
        <v>116</v>
      </c>
      <c r="F1006" s="15" t="s">
        <v>35</v>
      </c>
      <c r="G1006" s="15" t="s">
        <v>74</v>
      </c>
      <c r="H1006" s="15" t="s">
        <v>6530</v>
      </c>
      <c r="I1006" s="15" t="s">
        <v>6531</v>
      </c>
      <c r="J1006" s="15" t="s">
        <v>6532</v>
      </c>
      <c r="K1006" s="15" t="s">
        <v>120</v>
      </c>
      <c r="L1006" s="15" t="s">
        <v>121</v>
      </c>
      <c r="M1006" s="15" t="s">
        <v>122</v>
      </c>
      <c r="N1006" s="15" t="s">
        <v>123</v>
      </c>
      <c r="O1006" s="15" t="s">
        <v>82</v>
      </c>
      <c r="P1006" s="15" t="s">
        <v>124</v>
      </c>
      <c r="Q1006" s="15" t="s">
        <v>125</v>
      </c>
      <c r="R1006" s="16">
        <v>44329</v>
      </c>
      <c r="S1006" s="17" t="s">
        <v>70</v>
      </c>
      <c r="T1006" s="20">
        <f>HYPERLINK("https://vnm.spiral.com.vn//uploaded/20210513/ffebf8fd-0acb-4f81-a66d-91017cd59c87.JPEG","13:27:17")</f>
      </c>
      <c r="U1006" s="20">
        <f>HYPERLINK("https://vnm.spiral.com.vn//uploaded/20210513/e633432a-cb50-4eda-91d3-8270b0fccdf7.JPEG","15:02:21")</f>
      </c>
      <c r="V1006" s="18">
        <v>0.06601851851851852</v>
      </c>
      <c r="W1006" s="15" t="s">
        <v>6533</v>
      </c>
      <c r="X1006" s="15" t="s">
        <v>6534</v>
      </c>
      <c r="Y1006" s="15" t="s">
        <v>35</v>
      </c>
      <c r="Z1006" s="19">
        <v>0</v>
      </c>
      <c r="AA1006" s="15">
        <v>0</v>
      </c>
      <c r="AB1006" s="15" t="s">
        <v>35</v>
      </c>
    </row>
    <row r="1007">
      <c r="A1007" s="15">
        <v>1003</v>
      </c>
      <c r="B1007" s="15" t="s">
        <v>33</v>
      </c>
      <c r="C1007" s="15" t="s">
        <v>765</v>
      </c>
      <c r="D1007" s="15" t="s">
        <v>35</v>
      </c>
      <c r="E1007" s="15" t="s">
        <v>35</v>
      </c>
      <c r="F1007" s="15" t="s">
        <v>35</v>
      </c>
      <c r="G1007" s="15" t="s">
        <v>74</v>
      </c>
      <c r="H1007" s="15" t="s">
        <v>6535</v>
      </c>
      <c r="I1007" s="15" t="s">
        <v>6536</v>
      </c>
      <c r="J1007" s="15" t="s">
        <v>6537</v>
      </c>
      <c r="K1007" s="15" t="s">
        <v>769</v>
      </c>
      <c r="L1007" s="15" t="s">
        <v>770</v>
      </c>
      <c r="M1007" s="15" t="s">
        <v>1532</v>
      </c>
      <c r="N1007" s="15" t="s">
        <v>1533</v>
      </c>
      <c r="O1007" s="15" t="s">
        <v>156</v>
      </c>
      <c r="P1007" s="15" t="s">
        <v>6538</v>
      </c>
      <c r="Q1007" s="15" t="s">
        <v>6539</v>
      </c>
      <c r="R1007" s="16">
        <v>44329</v>
      </c>
      <c r="S1007" s="17" t="s">
        <v>3768</v>
      </c>
      <c r="T1007" s="20">
        <f>HYPERLINK("https://vnm.spiral.com.vn//uploaded/20210513/0B5BFCEE-8C93-446B-A675-86984A95BE1A.jpg","05:56:10")</f>
      </c>
      <c r="U1007" s="20">
        <f>HYPERLINK("https://vnm.spiral.com.vn//uploaded/20210513/050A1338-69D2-4CA5-A0EE-435581004972.jpg","15:02:20")</f>
      </c>
      <c r="V1007" s="18">
        <v>0.37928240740740743</v>
      </c>
      <c r="W1007" s="15" t="s">
        <v>6540</v>
      </c>
      <c r="X1007" s="15" t="s">
        <v>6541</v>
      </c>
      <c r="Y1007" s="15" t="s">
        <v>35</v>
      </c>
      <c r="Z1007" s="19">
        <v>0</v>
      </c>
      <c r="AA1007" s="15">
        <v>0</v>
      </c>
      <c r="AB1007" s="15" t="s">
        <v>35</v>
      </c>
    </row>
    <row r="1008">
      <c r="A1008" s="15">
        <v>1004</v>
      </c>
      <c r="B1008" s="15" t="s">
        <v>87</v>
      </c>
      <c r="C1008" s="15" t="s">
        <v>88</v>
      </c>
      <c r="D1008" s="15" t="s">
        <v>35</v>
      </c>
      <c r="E1008" s="15" t="s">
        <v>35</v>
      </c>
      <c r="F1008" s="15" t="s">
        <v>1091</v>
      </c>
      <c r="G1008" s="15" t="s">
        <v>36</v>
      </c>
      <c r="H1008" s="15" t="s">
        <v>6542</v>
      </c>
      <c r="I1008" s="15" t="s">
        <v>6543</v>
      </c>
      <c r="J1008" s="15" t="s">
        <v>6544</v>
      </c>
      <c r="K1008" s="15" t="s">
        <v>40</v>
      </c>
      <c r="L1008" s="15" t="s">
        <v>41</v>
      </c>
      <c r="M1008" s="15" t="s">
        <v>810</v>
      </c>
      <c r="N1008" s="15" t="s">
        <v>811</v>
      </c>
      <c r="O1008" s="15" t="s">
        <v>44</v>
      </c>
      <c r="P1008" s="15" t="s">
        <v>6545</v>
      </c>
      <c r="Q1008" s="15" t="s">
        <v>6546</v>
      </c>
      <c r="R1008" s="16">
        <v>44329</v>
      </c>
      <c r="S1008" s="17" t="s">
        <v>971</v>
      </c>
      <c r="T1008" s="20">
        <f>HYPERLINK("https://vnm.spiral.com.vn//uploaded/20210513/BCCB07A4-E844-4420-8AAB-0ACEBBD4EE19.jpg","06:56:39")</f>
      </c>
      <c r="U1008" s="20">
        <f>HYPERLINK("https://vnm.spiral.com.vn//uploaded/20210513/D2ED9CFD-AA41-41DB-896E-CC0808198BEA.jpg","15:02:18")</f>
      </c>
      <c r="V1008" s="18">
        <v>0.33725694444444443</v>
      </c>
      <c r="W1008" s="15" t="s">
        <v>6547</v>
      </c>
      <c r="X1008" s="15" t="s">
        <v>6548</v>
      </c>
      <c r="Y1008" s="15" t="s">
        <v>35</v>
      </c>
      <c r="Z1008" s="19">
        <v>0</v>
      </c>
      <c r="AA1008" s="15">
        <v>0</v>
      </c>
      <c r="AB1008" s="15" t="s">
        <v>35</v>
      </c>
    </row>
    <row r="1009">
      <c r="A1009" s="15">
        <v>1005</v>
      </c>
      <c r="B1009" s="15" t="s">
        <v>49</v>
      </c>
      <c r="C1009" s="15" t="s">
        <v>1389</v>
      </c>
      <c r="D1009" s="15" t="s">
        <v>35</v>
      </c>
      <c r="E1009" s="15" t="s">
        <v>35</v>
      </c>
      <c r="F1009" s="15" t="s">
        <v>4452</v>
      </c>
      <c r="G1009" s="15" t="s">
        <v>36</v>
      </c>
      <c r="H1009" s="15" t="s">
        <v>6549</v>
      </c>
      <c r="I1009" s="15" t="s">
        <v>6550</v>
      </c>
      <c r="J1009" s="15" t="s">
        <v>6551</v>
      </c>
      <c r="K1009" s="15" t="s">
        <v>40</v>
      </c>
      <c r="L1009" s="15" t="s">
        <v>41</v>
      </c>
      <c r="M1009" s="15" t="s">
        <v>55</v>
      </c>
      <c r="N1009" s="15" t="s">
        <v>56</v>
      </c>
      <c r="O1009" s="15" t="s">
        <v>44</v>
      </c>
      <c r="P1009" s="15" t="s">
        <v>6552</v>
      </c>
      <c r="Q1009" s="15" t="s">
        <v>6553</v>
      </c>
      <c r="R1009" s="16">
        <v>44329</v>
      </c>
      <c r="S1009" s="17" t="s">
        <v>686</v>
      </c>
      <c r="T1009" s="20">
        <f>HYPERLINK("https://vnm.spiral.com.vn//uploaded/20210513/F736F83F-4692-46F6-BE50-09BC67FFC704.jpg","15:02:13")</f>
      </c>
      <c r="U1009" s="18"/>
      <c r="V1009" s="18" t="s">
        <v>35</v>
      </c>
      <c r="W1009" s="15" t="s">
        <v>6554</v>
      </c>
      <c r="X1009" s="15" t="s">
        <v>35</v>
      </c>
      <c r="Y1009" s="15" t="s">
        <v>35</v>
      </c>
      <c r="Z1009" s="19">
        <v>0</v>
      </c>
      <c r="AA1009" s="15">
        <v>0</v>
      </c>
      <c r="AB1009" s="15" t="s">
        <v>35</v>
      </c>
    </row>
    <row r="1010">
      <c r="A1010" s="15">
        <v>1006</v>
      </c>
      <c r="B1010" s="15" t="s">
        <v>87</v>
      </c>
      <c r="C1010" s="15" t="s">
        <v>88</v>
      </c>
      <c r="D1010" s="15" t="s">
        <v>432</v>
      </c>
      <c r="E1010" s="15" t="s">
        <v>116</v>
      </c>
      <c r="F1010" s="15" t="s">
        <v>35</v>
      </c>
      <c r="G1010" s="15" t="s">
        <v>74</v>
      </c>
      <c r="H1010" s="15" t="s">
        <v>6555</v>
      </c>
      <c r="I1010" s="15" t="s">
        <v>6556</v>
      </c>
      <c r="J1010" s="15" t="s">
        <v>6557</v>
      </c>
      <c r="K1010" s="15" t="s">
        <v>625</v>
      </c>
      <c r="L1010" s="15" t="s">
        <v>626</v>
      </c>
      <c r="M1010" s="15" t="s">
        <v>1022</v>
      </c>
      <c r="N1010" s="15" t="s">
        <v>1023</v>
      </c>
      <c r="O1010" s="15" t="s">
        <v>82</v>
      </c>
      <c r="P1010" s="15" t="s">
        <v>2241</v>
      </c>
      <c r="Q1010" s="15" t="s">
        <v>2242</v>
      </c>
      <c r="R1010" s="16">
        <v>44329</v>
      </c>
      <c r="S1010" s="17" t="s">
        <v>70</v>
      </c>
      <c r="T1010" s="20">
        <f>HYPERLINK("https://vnm.spiral.com.vn//uploaded/20210513/E8204658-8CD1-4CF4-AC99-2A67A6D48302.jpg","14:12:13")</f>
      </c>
      <c r="U1010" s="20">
        <f>HYPERLINK("https://vnm.spiral.com.vn//uploaded/20210513/7CD35D65-07A8-4D49-BFB6-2F183A928FCC.jpg","15:02:12")</f>
      </c>
      <c r="V1010" s="18">
        <v>0.03471064814814815</v>
      </c>
      <c r="W1010" s="15" t="s">
        <v>6558</v>
      </c>
      <c r="X1010" s="15" t="s">
        <v>6559</v>
      </c>
      <c r="Y1010" s="15" t="s">
        <v>35</v>
      </c>
      <c r="Z1010" s="19">
        <v>0</v>
      </c>
      <c r="AA1010" s="15">
        <v>0</v>
      </c>
      <c r="AB1010" s="15" t="s">
        <v>35</v>
      </c>
    </row>
    <row r="1011">
      <c r="A1011" s="15">
        <v>1007</v>
      </c>
      <c r="B1011" s="15" t="s">
        <v>103</v>
      </c>
      <c r="C1011" s="15" t="s">
        <v>186</v>
      </c>
      <c r="D1011" s="15" t="s">
        <v>35</v>
      </c>
      <c r="E1011" s="15" t="s">
        <v>35</v>
      </c>
      <c r="F1011" s="15" t="s">
        <v>35</v>
      </c>
      <c r="G1011" s="15" t="s">
        <v>36</v>
      </c>
      <c r="H1011" s="15" t="s">
        <v>6560</v>
      </c>
      <c r="I1011" s="15" t="s">
        <v>6561</v>
      </c>
      <c r="J1011" s="15" t="s">
        <v>6562</v>
      </c>
      <c r="K1011" s="15" t="s">
        <v>40</v>
      </c>
      <c r="L1011" s="15" t="s">
        <v>41</v>
      </c>
      <c r="M1011" s="15" t="s">
        <v>565</v>
      </c>
      <c r="N1011" s="15" t="s">
        <v>566</v>
      </c>
      <c r="O1011" s="15" t="s">
        <v>44</v>
      </c>
      <c r="P1011" s="15" t="s">
        <v>6563</v>
      </c>
      <c r="Q1011" s="15" t="s">
        <v>6564</v>
      </c>
      <c r="R1011" s="16">
        <v>44329</v>
      </c>
      <c r="S1011" s="17" t="s">
        <v>6565</v>
      </c>
      <c r="T1011" s="20">
        <f>HYPERLINK("https://vnm.spiral.com.vn//uploaded/20210513/B9F32159-952A-41ED-89BD-2B2ED286E807.jpg","15:02:12")</f>
      </c>
      <c r="U1011" s="18"/>
      <c r="V1011" s="18" t="s">
        <v>35</v>
      </c>
      <c r="W1011" s="15" t="s">
        <v>6566</v>
      </c>
      <c r="X1011" s="15" t="s">
        <v>35</v>
      </c>
      <c r="Y1011" s="15" t="s">
        <v>35</v>
      </c>
      <c r="Z1011" s="19">
        <v>0</v>
      </c>
      <c r="AA1011" s="15">
        <v>0</v>
      </c>
      <c r="AB1011" s="15" t="s">
        <v>35</v>
      </c>
    </row>
    <row r="1012">
      <c r="A1012" s="15">
        <v>1008</v>
      </c>
      <c r="B1012" s="15" t="s">
        <v>87</v>
      </c>
      <c r="C1012" s="15" t="s">
        <v>88</v>
      </c>
      <c r="D1012" s="15" t="s">
        <v>35</v>
      </c>
      <c r="E1012" s="15" t="s">
        <v>35</v>
      </c>
      <c r="F1012" s="15" t="s">
        <v>35</v>
      </c>
      <c r="G1012" s="15" t="s">
        <v>74</v>
      </c>
      <c r="H1012" s="15" t="s">
        <v>6567</v>
      </c>
      <c r="I1012" s="15" t="s">
        <v>6568</v>
      </c>
      <c r="J1012" s="15" t="s">
        <v>6569</v>
      </c>
      <c r="K1012" s="15" t="s">
        <v>888</v>
      </c>
      <c r="L1012" s="15" t="s">
        <v>889</v>
      </c>
      <c r="M1012" s="15" t="s">
        <v>1666</v>
      </c>
      <c r="N1012" s="15" t="s">
        <v>1667</v>
      </c>
      <c r="O1012" s="15" t="s">
        <v>82</v>
      </c>
      <c r="P1012" s="15" t="s">
        <v>6570</v>
      </c>
      <c r="Q1012" s="15" t="s">
        <v>6571</v>
      </c>
      <c r="R1012" s="16">
        <v>44329</v>
      </c>
      <c r="S1012" s="17" t="s">
        <v>70</v>
      </c>
      <c r="T1012" s="20">
        <f>HYPERLINK("https://vnm.spiral.com.vn//uploaded/20210513/1AEF1BED-4D29-4EC7-A4A2-2DBAF001E374.jpg","15:02:12")</f>
      </c>
      <c r="U1012" s="18"/>
      <c r="V1012" s="18" t="s">
        <v>35</v>
      </c>
      <c r="W1012" s="15" t="s">
        <v>6572</v>
      </c>
      <c r="X1012" s="15" t="s">
        <v>35</v>
      </c>
      <c r="Y1012" s="15" t="s">
        <v>35</v>
      </c>
      <c r="Z1012" s="19">
        <v>0</v>
      </c>
      <c r="AA1012" s="15">
        <v>0</v>
      </c>
      <c r="AB1012" s="15" t="s">
        <v>35</v>
      </c>
    </row>
    <row r="1013">
      <c r="A1013" s="15">
        <v>1009</v>
      </c>
      <c r="B1013" s="15" t="s">
        <v>103</v>
      </c>
      <c r="C1013" s="15" t="s">
        <v>2116</v>
      </c>
      <c r="D1013" s="15" t="s">
        <v>35</v>
      </c>
      <c r="E1013" s="15" t="s">
        <v>35</v>
      </c>
      <c r="F1013" s="15" t="s">
        <v>35</v>
      </c>
      <c r="G1013" s="15" t="s">
        <v>35</v>
      </c>
      <c r="H1013" s="15" t="s">
        <v>6573</v>
      </c>
      <c r="I1013" s="15" t="s">
        <v>6574</v>
      </c>
      <c r="J1013" s="15" t="s">
        <v>6575</v>
      </c>
      <c r="K1013" s="15" t="s">
        <v>40</v>
      </c>
      <c r="L1013" s="15" t="s">
        <v>41</v>
      </c>
      <c r="M1013" s="15" t="s">
        <v>108</v>
      </c>
      <c r="N1013" s="15" t="s">
        <v>109</v>
      </c>
      <c r="O1013" s="15" t="s">
        <v>44</v>
      </c>
      <c r="P1013" s="15" t="s">
        <v>6576</v>
      </c>
      <c r="Q1013" s="15" t="s">
        <v>6577</v>
      </c>
      <c r="R1013" s="16">
        <v>44329</v>
      </c>
      <c r="S1013" s="17" t="s">
        <v>686</v>
      </c>
      <c r="T1013" s="20">
        <f>HYPERLINK("https://vnm.spiral.com.vn//uploaded/20210513/C0D27791-34D6-4E66-B15C-0741D6AA2201.jpg","15:02:08")</f>
      </c>
      <c r="U1013" s="18"/>
      <c r="V1013" s="18" t="s">
        <v>35</v>
      </c>
      <c r="W1013" s="15" t="s">
        <v>6578</v>
      </c>
      <c r="X1013" s="15" t="s">
        <v>35</v>
      </c>
      <c r="Y1013" s="15" t="s">
        <v>35</v>
      </c>
      <c r="Z1013" s="19">
        <v>0</v>
      </c>
      <c r="AA1013" s="15">
        <v>0</v>
      </c>
      <c r="AB1013" s="15" t="s">
        <v>35</v>
      </c>
    </row>
    <row r="1014">
      <c r="A1014" s="15">
        <v>1010</v>
      </c>
      <c r="B1014" s="15" t="s">
        <v>49</v>
      </c>
      <c r="C1014" s="15" t="s">
        <v>162</v>
      </c>
      <c r="D1014" s="15" t="s">
        <v>135</v>
      </c>
      <c r="E1014" s="15" t="s">
        <v>116</v>
      </c>
      <c r="F1014" s="15" t="s">
        <v>35</v>
      </c>
      <c r="G1014" s="15" t="s">
        <v>74</v>
      </c>
      <c r="H1014" s="15" t="s">
        <v>6579</v>
      </c>
      <c r="I1014" s="15" t="s">
        <v>6580</v>
      </c>
      <c r="J1014" s="15" t="s">
        <v>6581</v>
      </c>
      <c r="K1014" s="15" t="s">
        <v>166</v>
      </c>
      <c r="L1014" s="15" t="s">
        <v>167</v>
      </c>
      <c r="M1014" s="15" t="s">
        <v>168</v>
      </c>
      <c r="N1014" s="15" t="s">
        <v>169</v>
      </c>
      <c r="O1014" s="15" t="s">
        <v>82</v>
      </c>
      <c r="P1014" s="15" t="s">
        <v>3365</v>
      </c>
      <c r="Q1014" s="15" t="s">
        <v>3366</v>
      </c>
      <c r="R1014" s="16">
        <v>44329</v>
      </c>
      <c r="S1014" s="17" t="s">
        <v>70</v>
      </c>
      <c r="T1014" s="20">
        <f>HYPERLINK("https://vnm.spiral.com.vn//uploaded/20210513/0f652c88-61ea-473f-b717-afe0618754e9.JPEG","14:30:14")</f>
      </c>
      <c r="U1014" s="20">
        <f>HYPERLINK("https://vnm.spiral.com.vn//uploaded/20210513/3067efae-8595-4113-9deb-2a5d1a525a2c.JPEG","15:02:08")</f>
      </c>
      <c r="V1014" s="18">
        <v>0.022152777777777778</v>
      </c>
      <c r="W1014" s="15" t="s">
        <v>6582</v>
      </c>
      <c r="X1014" s="15" t="s">
        <v>6583</v>
      </c>
      <c r="Y1014" s="15" t="s">
        <v>35</v>
      </c>
      <c r="Z1014" s="19">
        <v>0</v>
      </c>
      <c r="AA1014" s="15">
        <v>0</v>
      </c>
      <c r="AB1014" s="15" t="s">
        <v>35</v>
      </c>
    </row>
    <row r="1015">
      <c r="A1015" s="15">
        <v>1011</v>
      </c>
      <c r="B1015" s="15" t="s">
        <v>61</v>
      </c>
      <c r="C1015" s="15" t="s">
        <v>320</v>
      </c>
      <c r="D1015" s="15" t="s">
        <v>35</v>
      </c>
      <c r="E1015" s="15" t="s">
        <v>35</v>
      </c>
      <c r="F1015" s="15" t="s">
        <v>35</v>
      </c>
      <c r="G1015" s="15" t="s">
        <v>36</v>
      </c>
      <c r="H1015" s="15" t="s">
        <v>6584</v>
      </c>
      <c r="I1015" s="15" t="s">
        <v>6585</v>
      </c>
      <c r="J1015" s="15" t="s">
        <v>6586</v>
      </c>
      <c r="K1015" s="15" t="s">
        <v>40</v>
      </c>
      <c r="L1015" s="15" t="s">
        <v>41</v>
      </c>
      <c r="M1015" s="15" t="s">
        <v>205</v>
      </c>
      <c r="N1015" s="15" t="s">
        <v>206</v>
      </c>
      <c r="O1015" s="15" t="s">
        <v>44</v>
      </c>
      <c r="P1015" s="15" t="s">
        <v>6587</v>
      </c>
      <c r="Q1015" s="15" t="s">
        <v>6588</v>
      </c>
      <c r="R1015" s="16">
        <v>44329</v>
      </c>
      <c r="S1015" s="17" t="s">
        <v>686</v>
      </c>
      <c r="T1015" s="20">
        <f>HYPERLINK("https://vnm.spiral.com.vn//uploaded/20210513/16fb3e2c-eff5-4841-a1f3-a5424a7ef751.JPEG","15:02:05")</f>
      </c>
      <c r="U1015" s="18"/>
      <c r="V1015" s="18" t="s">
        <v>35</v>
      </c>
      <c r="W1015" s="15" t="s">
        <v>6589</v>
      </c>
      <c r="X1015" s="15" t="s">
        <v>35</v>
      </c>
      <c r="Y1015" s="15" t="s">
        <v>35</v>
      </c>
      <c r="Z1015" s="19">
        <v>0</v>
      </c>
      <c r="AA1015" s="15">
        <v>0</v>
      </c>
      <c r="AB1015" s="15" t="s">
        <v>35</v>
      </c>
    </row>
    <row r="1016">
      <c r="A1016" s="15">
        <v>1012</v>
      </c>
      <c r="B1016" s="15" t="s">
        <v>87</v>
      </c>
      <c r="C1016" s="15" t="s">
        <v>88</v>
      </c>
      <c r="D1016" s="15" t="s">
        <v>35</v>
      </c>
      <c r="E1016" s="15" t="s">
        <v>35</v>
      </c>
      <c r="F1016" s="15" t="s">
        <v>2773</v>
      </c>
      <c r="G1016" s="15" t="s">
        <v>36</v>
      </c>
      <c r="H1016" s="15" t="s">
        <v>6590</v>
      </c>
      <c r="I1016" s="15" t="s">
        <v>6591</v>
      </c>
      <c r="J1016" s="15" t="s">
        <v>6592</v>
      </c>
      <c r="K1016" s="15" t="s">
        <v>40</v>
      </c>
      <c r="L1016" s="15" t="s">
        <v>41</v>
      </c>
      <c r="M1016" s="15" t="s">
        <v>810</v>
      </c>
      <c r="N1016" s="15" t="s">
        <v>811</v>
      </c>
      <c r="O1016" s="15" t="s">
        <v>44</v>
      </c>
      <c r="P1016" s="15" t="s">
        <v>6593</v>
      </c>
      <c r="Q1016" s="15" t="s">
        <v>6594</v>
      </c>
      <c r="R1016" s="16">
        <v>44329</v>
      </c>
      <c r="S1016" s="17" t="s">
        <v>971</v>
      </c>
      <c r="T1016" s="20">
        <f>HYPERLINK("https://vnm.spiral.com.vn//uploaded/20210513/7abe752e-779b-4c6f-b182-e987cb9551a6.JPEG","06:54:13")</f>
      </c>
      <c r="U1016" s="20">
        <f>HYPERLINK("https://vnm.spiral.com.vn//uploaded/20210513/ec6ba25b-627d-4c84-8c33-5a0f05fa57c6.JPEG","15:02:01")</f>
      </c>
      <c r="V1016" s="18">
        <v>0.33875</v>
      </c>
      <c r="W1016" s="15" t="s">
        <v>6595</v>
      </c>
      <c r="X1016" s="15" t="s">
        <v>6596</v>
      </c>
      <c r="Y1016" s="15" t="s">
        <v>35</v>
      </c>
      <c r="Z1016" s="19">
        <v>0</v>
      </c>
      <c r="AA1016" s="15">
        <v>0</v>
      </c>
      <c r="AB1016" s="15" t="s">
        <v>35</v>
      </c>
    </row>
    <row r="1017">
      <c r="A1017" s="15">
        <v>1013</v>
      </c>
      <c r="B1017" s="15" t="s">
        <v>103</v>
      </c>
      <c r="C1017" s="15" t="s">
        <v>186</v>
      </c>
      <c r="D1017" s="15" t="s">
        <v>35</v>
      </c>
      <c r="E1017" s="15" t="s">
        <v>35</v>
      </c>
      <c r="F1017" s="15" t="s">
        <v>6597</v>
      </c>
      <c r="G1017" s="15" t="s">
        <v>36</v>
      </c>
      <c r="H1017" s="15" t="s">
        <v>6598</v>
      </c>
      <c r="I1017" s="15" t="s">
        <v>6599</v>
      </c>
      <c r="J1017" s="15" t="s">
        <v>6600</v>
      </c>
      <c r="K1017" s="15" t="s">
        <v>40</v>
      </c>
      <c r="L1017" s="15" t="s">
        <v>41</v>
      </c>
      <c r="M1017" s="15" t="s">
        <v>565</v>
      </c>
      <c r="N1017" s="15" t="s">
        <v>566</v>
      </c>
      <c r="O1017" s="15" t="s">
        <v>44</v>
      </c>
      <c r="P1017" s="15" t="s">
        <v>6601</v>
      </c>
      <c r="Q1017" s="15" t="s">
        <v>2691</v>
      </c>
      <c r="R1017" s="16">
        <v>44329</v>
      </c>
      <c r="S1017" s="17" t="s">
        <v>686</v>
      </c>
      <c r="T1017" s="20">
        <f>HYPERLINK("https://vnm.spiral.com.vn//uploaded/20210513/AB824921-CF6F-4BE6-8825-68D69323B494.jpg","15:01:51")</f>
      </c>
      <c r="U1017" s="18"/>
      <c r="V1017" s="18" t="s">
        <v>35</v>
      </c>
      <c r="W1017" s="15" t="s">
        <v>6602</v>
      </c>
      <c r="X1017" s="15" t="s">
        <v>35</v>
      </c>
      <c r="Y1017" s="15" t="s">
        <v>35</v>
      </c>
      <c r="Z1017" s="19">
        <v>0</v>
      </c>
      <c r="AA1017" s="15">
        <v>0</v>
      </c>
      <c r="AB1017" s="15" t="s">
        <v>35</v>
      </c>
    </row>
    <row r="1018">
      <c r="A1018" s="15">
        <v>1014</v>
      </c>
      <c r="B1018" s="15" t="s">
        <v>103</v>
      </c>
      <c r="C1018" s="15" t="s">
        <v>186</v>
      </c>
      <c r="D1018" s="15" t="s">
        <v>35</v>
      </c>
      <c r="E1018" s="15" t="s">
        <v>35</v>
      </c>
      <c r="F1018" s="15" t="s">
        <v>35</v>
      </c>
      <c r="G1018" s="15" t="s">
        <v>36</v>
      </c>
      <c r="H1018" s="15" t="s">
        <v>6603</v>
      </c>
      <c r="I1018" s="15" t="s">
        <v>2498</v>
      </c>
      <c r="J1018" s="15" t="s">
        <v>6604</v>
      </c>
      <c r="K1018" s="15" t="s">
        <v>40</v>
      </c>
      <c r="L1018" s="15" t="s">
        <v>41</v>
      </c>
      <c r="M1018" s="15" t="s">
        <v>565</v>
      </c>
      <c r="N1018" s="15" t="s">
        <v>566</v>
      </c>
      <c r="O1018" s="15" t="s">
        <v>44</v>
      </c>
      <c r="P1018" s="15" t="s">
        <v>6605</v>
      </c>
      <c r="Q1018" s="15" t="s">
        <v>6606</v>
      </c>
      <c r="R1018" s="16">
        <v>44329</v>
      </c>
      <c r="S1018" s="17" t="s">
        <v>686</v>
      </c>
      <c r="T1018" s="20">
        <f>HYPERLINK("https://vnm.spiral.com.vn//uploaded/20210513/37767662-8A19-48CC-ADC3-68FEDD049671.jpg","15:01:42")</f>
      </c>
      <c r="U1018" s="18"/>
      <c r="V1018" s="18" t="s">
        <v>35</v>
      </c>
      <c r="W1018" s="15" t="s">
        <v>6607</v>
      </c>
      <c r="X1018" s="15" t="s">
        <v>35</v>
      </c>
      <c r="Y1018" s="15" t="s">
        <v>35</v>
      </c>
      <c r="Z1018" s="19">
        <v>0</v>
      </c>
      <c r="AA1018" s="15">
        <v>0</v>
      </c>
      <c r="AB1018" s="15" t="s">
        <v>35</v>
      </c>
    </row>
    <row r="1019">
      <c r="A1019" s="15">
        <v>1015</v>
      </c>
      <c r="B1019" s="15" t="s">
        <v>343</v>
      </c>
      <c r="C1019" s="15" t="s">
        <v>344</v>
      </c>
      <c r="D1019" s="15" t="s">
        <v>35</v>
      </c>
      <c r="E1019" s="15" t="s">
        <v>35</v>
      </c>
      <c r="F1019" s="15" t="s">
        <v>6608</v>
      </c>
      <c r="G1019" s="15" t="s">
        <v>36</v>
      </c>
      <c r="H1019" s="15" t="s">
        <v>6609</v>
      </c>
      <c r="I1019" s="15" t="s">
        <v>6610</v>
      </c>
      <c r="J1019" s="15" t="s">
        <v>6611</v>
      </c>
      <c r="K1019" s="15" t="s">
        <v>40</v>
      </c>
      <c r="L1019" s="15" t="s">
        <v>41</v>
      </c>
      <c r="M1019" s="15" t="s">
        <v>595</v>
      </c>
      <c r="N1019" s="15" t="s">
        <v>596</v>
      </c>
      <c r="O1019" s="15" t="s">
        <v>44</v>
      </c>
      <c r="P1019" s="15" t="s">
        <v>6612</v>
      </c>
      <c r="Q1019" s="15" t="s">
        <v>685</v>
      </c>
      <c r="R1019" s="16">
        <v>44329</v>
      </c>
      <c r="S1019" s="17" t="s">
        <v>686</v>
      </c>
      <c r="T1019" s="20">
        <f>HYPERLINK("https://vnm.spiral.com.vn//uploaded/20210513/ce1fbd4c-c260-4f2b-b0f8-3b1e11a59de9.JPEG","15:01:36")</f>
      </c>
      <c r="U1019" s="18"/>
      <c r="V1019" s="18" t="s">
        <v>35</v>
      </c>
      <c r="W1019" s="15" t="s">
        <v>6613</v>
      </c>
      <c r="X1019" s="15" t="s">
        <v>35</v>
      </c>
      <c r="Y1019" s="15" t="s">
        <v>35</v>
      </c>
      <c r="Z1019" s="19">
        <v>0</v>
      </c>
      <c r="AA1019" s="15">
        <v>0</v>
      </c>
      <c r="AB1019" s="15" t="s">
        <v>35</v>
      </c>
    </row>
    <row r="1020">
      <c r="A1020" s="15">
        <v>1016</v>
      </c>
      <c r="B1020" s="15" t="s">
        <v>246</v>
      </c>
      <c r="C1020" s="15" t="s">
        <v>2005</v>
      </c>
      <c r="D1020" s="15" t="s">
        <v>35</v>
      </c>
      <c r="E1020" s="15" t="s">
        <v>35</v>
      </c>
      <c r="F1020" s="15" t="s">
        <v>6614</v>
      </c>
      <c r="G1020" s="15" t="s">
        <v>36</v>
      </c>
      <c r="H1020" s="15" t="s">
        <v>6615</v>
      </c>
      <c r="I1020" s="15" t="s">
        <v>6616</v>
      </c>
      <c r="J1020" s="15" t="s">
        <v>6617</v>
      </c>
      <c r="K1020" s="15" t="s">
        <v>40</v>
      </c>
      <c r="L1020" s="15" t="s">
        <v>41</v>
      </c>
      <c r="M1020" s="15" t="s">
        <v>252</v>
      </c>
      <c r="N1020" s="15" t="s">
        <v>253</v>
      </c>
      <c r="O1020" s="15" t="s">
        <v>44</v>
      </c>
      <c r="P1020" s="15" t="s">
        <v>6618</v>
      </c>
      <c r="Q1020" s="15" t="s">
        <v>587</v>
      </c>
      <c r="R1020" s="16">
        <v>44329</v>
      </c>
      <c r="S1020" s="17" t="s">
        <v>686</v>
      </c>
      <c r="T1020" s="20">
        <f>HYPERLINK("https://vnm.spiral.com.vn//uploaded/20210513/A54C88B2-4D3F-4286-886B-78E49F58CEB2.jpg","15:01:30")</f>
      </c>
      <c r="U1020" s="18"/>
      <c r="V1020" s="18" t="s">
        <v>35</v>
      </c>
      <c r="W1020" s="15" t="s">
        <v>6619</v>
      </c>
      <c r="X1020" s="15" t="s">
        <v>35</v>
      </c>
      <c r="Y1020" s="15" t="s">
        <v>35</v>
      </c>
      <c r="Z1020" s="19">
        <v>0</v>
      </c>
      <c r="AA1020" s="15">
        <v>0</v>
      </c>
      <c r="AB1020" s="15" t="s">
        <v>35</v>
      </c>
    </row>
    <row r="1021">
      <c r="A1021" s="15">
        <v>1017</v>
      </c>
      <c r="B1021" s="15" t="s">
        <v>61</v>
      </c>
      <c r="C1021" s="15" t="s">
        <v>320</v>
      </c>
      <c r="D1021" s="15" t="s">
        <v>35</v>
      </c>
      <c r="E1021" s="15" t="s">
        <v>35</v>
      </c>
      <c r="F1021" s="15" t="s">
        <v>35</v>
      </c>
      <c r="G1021" s="15" t="s">
        <v>36</v>
      </c>
      <c r="H1021" s="15" t="s">
        <v>6620</v>
      </c>
      <c r="I1021" s="15" t="s">
        <v>6621</v>
      </c>
      <c r="J1021" s="15" t="s">
        <v>6622</v>
      </c>
      <c r="K1021" s="15" t="s">
        <v>40</v>
      </c>
      <c r="L1021" s="15" t="s">
        <v>41</v>
      </c>
      <c r="M1021" s="15" t="s">
        <v>205</v>
      </c>
      <c r="N1021" s="15" t="s">
        <v>206</v>
      </c>
      <c r="O1021" s="15" t="s">
        <v>44</v>
      </c>
      <c r="P1021" s="15" t="s">
        <v>6623</v>
      </c>
      <c r="Q1021" s="15" t="s">
        <v>6624</v>
      </c>
      <c r="R1021" s="16">
        <v>44329</v>
      </c>
      <c r="S1021" s="17" t="s">
        <v>686</v>
      </c>
      <c r="T1021" s="20">
        <f>HYPERLINK("https://vnm.spiral.com.vn//uploaded/20210513/2c26b5a9-4188-4de9-8e77-36da2fe369f2.JPEG","15:01:22")</f>
      </c>
      <c r="U1021" s="18"/>
      <c r="V1021" s="18" t="s">
        <v>35</v>
      </c>
      <c r="W1021" s="15" t="s">
        <v>6625</v>
      </c>
      <c r="X1021" s="15" t="s">
        <v>35</v>
      </c>
      <c r="Y1021" s="15" t="s">
        <v>35</v>
      </c>
      <c r="Z1021" s="19">
        <v>0</v>
      </c>
      <c r="AA1021" s="15">
        <v>0</v>
      </c>
      <c r="AB1021" s="15" t="s">
        <v>35</v>
      </c>
    </row>
    <row r="1022">
      <c r="A1022" s="15">
        <v>1018</v>
      </c>
      <c r="B1022" s="15" t="s">
        <v>49</v>
      </c>
      <c r="C1022" s="15" t="s">
        <v>1389</v>
      </c>
      <c r="D1022" s="15" t="s">
        <v>35</v>
      </c>
      <c r="E1022" s="15" t="s">
        <v>35</v>
      </c>
      <c r="F1022" s="15" t="s">
        <v>35</v>
      </c>
      <c r="G1022" s="15" t="s">
        <v>35</v>
      </c>
      <c r="H1022" s="15" t="s">
        <v>6626</v>
      </c>
      <c r="I1022" s="15" t="s">
        <v>6627</v>
      </c>
      <c r="J1022" s="15" t="s">
        <v>6628</v>
      </c>
      <c r="K1022" s="15" t="s">
        <v>40</v>
      </c>
      <c r="L1022" s="15" t="s">
        <v>41</v>
      </c>
      <c r="M1022" s="15" t="s">
        <v>55</v>
      </c>
      <c r="N1022" s="15" t="s">
        <v>56</v>
      </c>
      <c r="O1022" s="15" t="s">
        <v>44</v>
      </c>
      <c r="P1022" s="15" t="s">
        <v>6629</v>
      </c>
      <c r="Q1022" s="15" t="s">
        <v>6630</v>
      </c>
      <c r="R1022" s="16">
        <v>44329</v>
      </c>
      <c r="S1022" s="17" t="s">
        <v>4912</v>
      </c>
      <c r="T1022" s="20">
        <f>HYPERLINK("https://vnm.spiral.com.vn//uploaded/20210513/83d741d7-5fdc-43c7-aa36-f21f4ed053bb.JPEG","15:01:05")</f>
      </c>
      <c r="U1022" s="18"/>
      <c r="V1022" s="18" t="s">
        <v>35</v>
      </c>
      <c r="W1022" s="15" t="s">
        <v>6631</v>
      </c>
      <c r="X1022" s="15" t="s">
        <v>35</v>
      </c>
      <c r="Y1022" s="15" t="s">
        <v>35</v>
      </c>
      <c r="Z1022" s="19">
        <v>0</v>
      </c>
      <c r="AA1022" s="15">
        <v>0</v>
      </c>
      <c r="AB1022" s="15" t="s">
        <v>35</v>
      </c>
    </row>
    <row r="1023">
      <c r="A1023" s="15">
        <v>1019</v>
      </c>
      <c r="B1023" s="15" t="s">
        <v>103</v>
      </c>
      <c r="C1023" s="15" t="s">
        <v>104</v>
      </c>
      <c r="D1023" s="15" t="s">
        <v>35</v>
      </c>
      <c r="E1023" s="15" t="s">
        <v>35</v>
      </c>
      <c r="F1023" s="15" t="s">
        <v>35</v>
      </c>
      <c r="G1023" s="15" t="s">
        <v>36</v>
      </c>
      <c r="H1023" s="15" t="s">
        <v>6632</v>
      </c>
      <c r="I1023" s="15" t="s">
        <v>6633</v>
      </c>
      <c r="J1023" s="15" t="s">
        <v>6634</v>
      </c>
      <c r="K1023" s="15" t="s">
        <v>40</v>
      </c>
      <c r="L1023" s="15" t="s">
        <v>41</v>
      </c>
      <c r="M1023" s="15" t="s">
        <v>108</v>
      </c>
      <c r="N1023" s="15" t="s">
        <v>109</v>
      </c>
      <c r="O1023" s="15" t="s">
        <v>44</v>
      </c>
      <c r="P1023" s="15" t="s">
        <v>6635</v>
      </c>
      <c r="Q1023" s="15" t="s">
        <v>6636</v>
      </c>
      <c r="R1023" s="16">
        <v>44329</v>
      </c>
      <c r="S1023" s="17" t="s">
        <v>686</v>
      </c>
      <c r="T1023" s="20">
        <f>HYPERLINK("https://vnm.spiral.com.vn//uploaded/20210513/D93F2272-22CE-4DCF-A163-774167F16903.jpg","15:00:53")</f>
      </c>
      <c r="U1023" s="18"/>
      <c r="V1023" s="18" t="s">
        <v>35</v>
      </c>
      <c r="W1023" s="15" t="s">
        <v>6637</v>
      </c>
      <c r="X1023" s="15" t="s">
        <v>35</v>
      </c>
      <c r="Y1023" s="15" t="s">
        <v>35</v>
      </c>
      <c r="Z1023" s="19">
        <v>0</v>
      </c>
      <c r="AA1023" s="15">
        <v>0</v>
      </c>
      <c r="AB1023" s="15" t="s">
        <v>35</v>
      </c>
    </row>
    <row r="1024">
      <c r="A1024" s="15">
        <v>1020</v>
      </c>
      <c r="B1024" s="15" t="s">
        <v>49</v>
      </c>
      <c r="C1024" s="15" t="s">
        <v>162</v>
      </c>
      <c r="D1024" s="15" t="s">
        <v>148</v>
      </c>
      <c r="E1024" s="15" t="s">
        <v>90</v>
      </c>
      <c r="F1024" s="15" t="s">
        <v>35</v>
      </c>
      <c r="G1024" s="15" t="s">
        <v>74</v>
      </c>
      <c r="H1024" s="15" t="s">
        <v>4914</v>
      </c>
      <c r="I1024" s="15" t="s">
        <v>4915</v>
      </c>
      <c r="J1024" s="15" t="s">
        <v>4916</v>
      </c>
      <c r="K1024" s="15" t="s">
        <v>166</v>
      </c>
      <c r="L1024" s="15" t="s">
        <v>167</v>
      </c>
      <c r="M1024" s="15" t="s">
        <v>168</v>
      </c>
      <c r="N1024" s="15" t="s">
        <v>169</v>
      </c>
      <c r="O1024" s="15" t="s">
        <v>156</v>
      </c>
      <c r="P1024" s="15" t="s">
        <v>6638</v>
      </c>
      <c r="Q1024" s="15" t="s">
        <v>46</v>
      </c>
      <c r="R1024" s="16">
        <v>44329</v>
      </c>
      <c r="S1024" s="17" t="s">
        <v>971</v>
      </c>
      <c r="T1024" s="20">
        <f>HYPERLINK("https://vnm.spiral.com.vn//uploaded/20210513/25D2FA23-C57B-4A6C-B150-46123FC3F14B.jpg","06:50:51")</f>
      </c>
      <c r="U1024" s="20">
        <f>HYPERLINK("https://vnm.spiral.com.vn//uploaded/20210513/FDAAD389-988C-49AA-AED9-606398A6CB90.jpg","15:00:51")</f>
      </c>
      <c r="V1024" s="18">
        <v>0.3402777777777778</v>
      </c>
      <c r="W1024" s="15" t="s">
        <v>6639</v>
      </c>
      <c r="X1024" s="15" t="s">
        <v>6640</v>
      </c>
      <c r="Y1024" s="15" t="s">
        <v>35</v>
      </c>
      <c r="Z1024" s="19">
        <v>0</v>
      </c>
      <c r="AA1024" s="15">
        <v>0</v>
      </c>
      <c r="AB1024" s="15" t="s">
        <v>35</v>
      </c>
    </row>
    <row r="1025">
      <c r="A1025" s="15">
        <v>1021</v>
      </c>
      <c r="B1025" s="15" t="s">
        <v>87</v>
      </c>
      <c r="C1025" s="15" t="s">
        <v>88</v>
      </c>
      <c r="D1025" s="15" t="s">
        <v>35</v>
      </c>
      <c r="E1025" s="15" t="s">
        <v>35</v>
      </c>
      <c r="F1025" s="15" t="s">
        <v>2789</v>
      </c>
      <c r="G1025" s="15" t="s">
        <v>36</v>
      </c>
      <c r="H1025" s="15" t="s">
        <v>6641</v>
      </c>
      <c r="I1025" s="15" t="s">
        <v>6642</v>
      </c>
      <c r="J1025" s="15" t="s">
        <v>6643</v>
      </c>
      <c r="K1025" s="15" t="s">
        <v>40</v>
      </c>
      <c r="L1025" s="15" t="s">
        <v>41</v>
      </c>
      <c r="M1025" s="15" t="s">
        <v>289</v>
      </c>
      <c r="N1025" s="15" t="s">
        <v>290</v>
      </c>
      <c r="O1025" s="15" t="s">
        <v>44</v>
      </c>
      <c r="P1025" s="15" t="s">
        <v>6644</v>
      </c>
      <c r="Q1025" s="15" t="s">
        <v>6645</v>
      </c>
      <c r="R1025" s="16">
        <v>44329</v>
      </c>
      <c r="S1025" s="17" t="s">
        <v>686</v>
      </c>
      <c r="T1025" s="20">
        <f>HYPERLINK("https://vnm.spiral.com.vn//uploaded/20210513/be11ffa5-b959-4f33-82d3-4dca10ccbf23.JPEG","15:00:48")</f>
      </c>
      <c r="U1025" s="18"/>
      <c r="V1025" s="18" t="s">
        <v>35</v>
      </c>
      <c r="W1025" s="15" t="s">
        <v>6646</v>
      </c>
      <c r="X1025" s="15" t="s">
        <v>35</v>
      </c>
      <c r="Y1025" s="15" t="s">
        <v>35</v>
      </c>
      <c r="Z1025" s="19">
        <v>0</v>
      </c>
      <c r="AA1025" s="15">
        <v>0</v>
      </c>
      <c r="AB1025" s="15" t="s">
        <v>35</v>
      </c>
    </row>
    <row r="1026">
      <c r="A1026" s="15">
        <v>1022</v>
      </c>
      <c r="B1026" s="15" t="s">
        <v>87</v>
      </c>
      <c r="C1026" s="15" t="s">
        <v>88</v>
      </c>
      <c r="D1026" s="15" t="s">
        <v>35</v>
      </c>
      <c r="E1026" s="15" t="s">
        <v>35</v>
      </c>
      <c r="F1026" s="15" t="s">
        <v>2789</v>
      </c>
      <c r="G1026" s="15" t="s">
        <v>36</v>
      </c>
      <c r="H1026" s="15" t="s">
        <v>6647</v>
      </c>
      <c r="I1026" s="15" t="s">
        <v>6648</v>
      </c>
      <c r="J1026" s="15" t="s">
        <v>6649</v>
      </c>
      <c r="K1026" s="15" t="s">
        <v>40</v>
      </c>
      <c r="L1026" s="15" t="s">
        <v>41</v>
      </c>
      <c r="M1026" s="15" t="s">
        <v>289</v>
      </c>
      <c r="N1026" s="15" t="s">
        <v>290</v>
      </c>
      <c r="O1026" s="15" t="s">
        <v>44</v>
      </c>
      <c r="P1026" s="15" t="s">
        <v>6650</v>
      </c>
      <c r="Q1026" s="15" t="s">
        <v>6651</v>
      </c>
      <c r="R1026" s="16">
        <v>44329</v>
      </c>
      <c r="S1026" s="17" t="s">
        <v>686</v>
      </c>
      <c r="T1026" s="20">
        <f>HYPERLINK("https://vnm.spiral.com.vn//uploaded/20210513/C7A8FC24-CA40-4F8B-80AC-FDA135352874.jpg","15:00:47")</f>
      </c>
      <c r="U1026" s="18"/>
      <c r="V1026" s="18" t="s">
        <v>35</v>
      </c>
      <c r="W1026" s="15" t="s">
        <v>6652</v>
      </c>
      <c r="X1026" s="15" t="s">
        <v>35</v>
      </c>
      <c r="Y1026" s="15" t="s">
        <v>35</v>
      </c>
      <c r="Z1026" s="19">
        <v>0</v>
      </c>
      <c r="AA1026" s="15">
        <v>0</v>
      </c>
      <c r="AB1026" s="15" t="s">
        <v>35</v>
      </c>
    </row>
    <row r="1027">
      <c r="A1027" s="15">
        <v>1023</v>
      </c>
      <c r="B1027" s="15" t="s">
        <v>33</v>
      </c>
      <c r="C1027" s="15" t="s">
        <v>34</v>
      </c>
      <c r="D1027" s="15" t="s">
        <v>35</v>
      </c>
      <c r="E1027" s="15" t="s">
        <v>35</v>
      </c>
      <c r="F1027" s="15" t="s">
        <v>6653</v>
      </c>
      <c r="G1027" s="15" t="s">
        <v>36</v>
      </c>
      <c r="H1027" s="15" t="s">
        <v>6654</v>
      </c>
      <c r="I1027" s="15" t="s">
        <v>6655</v>
      </c>
      <c r="J1027" s="15" t="s">
        <v>6656</v>
      </c>
      <c r="K1027" s="15" t="s">
        <v>40</v>
      </c>
      <c r="L1027" s="15" t="s">
        <v>41</v>
      </c>
      <c r="M1027" s="15" t="s">
        <v>42</v>
      </c>
      <c r="N1027" s="15" t="s">
        <v>43</v>
      </c>
      <c r="O1027" s="15" t="s">
        <v>44</v>
      </c>
      <c r="P1027" s="15" t="s">
        <v>6657</v>
      </c>
      <c r="Q1027" s="15" t="s">
        <v>6658</v>
      </c>
      <c r="R1027" s="16">
        <v>44329</v>
      </c>
      <c r="S1027" s="17" t="s">
        <v>686</v>
      </c>
      <c r="T1027" s="20">
        <f>HYPERLINK("https://vnm.spiral.com.vn//uploaded/20210513/393C428D-482C-474C-99C8-15A34DE34CC6.jpg","15:00:40")</f>
      </c>
      <c r="U1027" s="18"/>
      <c r="V1027" s="18" t="s">
        <v>35</v>
      </c>
      <c r="W1027" s="15" t="s">
        <v>6659</v>
      </c>
      <c r="X1027" s="15" t="s">
        <v>35</v>
      </c>
      <c r="Y1027" s="15" t="s">
        <v>35</v>
      </c>
      <c r="Z1027" s="19">
        <v>0</v>
      </c>
      <c r="AA1027" s="15">
        <v>0</v>
      </c>
      <c r="AB1027" s="15" t="s">
        <v>35</v>
      </c>
    </row>
    <row r="1028">
      <c r="A1028" s="15">
        <v>1024</v>
      </c>
      <c r="B1028" s="15" t="s">
        <v>246</v>
      </c>
      <c r="C1028" s="15" t="s">
        <v>782</v>
      </c>
      <c r="D1028" s="15" t="s">
        <v>35</v>
      </c>
      <c r="E1028" s="15" t="s">
        <v>35</v>
      </c>
      <c r="F1028" s="15" t="s">
        <v>5859</v>
      </c>
      <c r="G1028" s="15" t="s">
        <v>36</v>
      </c>
      <c r="H1028" s="15" t="s">
        <v>6660</v>
      </c>
      <c r="I1028" s="15" t="s">
        <v>6661</v>
      </c>
      <c r="J1028" s="15" t="s">
        <v>6662</v>
      </c>
      <c r="K1028" s="15" t="s">
        <v>40</v>
      </c>
      <c r="L1028" s="15" t="s">
        <v>41</v>
      </c>
      <c r="M1028" s="15" t="s">
        <v>252</v>
      </c>
      <c r="N1028" s="15" t="s">
        <v>253</v>
      </c>
      <c r="O1028" s="15" t="s">
        <v>44</v>
      </c>
      <c r="P1028" s="15" t="s">
        <v>6663</v>
      </c>
      <c r="Q1028" s="15" t="s">
        <v>6664</v>
      </c>
      <c r="R1028" s="16">
        <v>44329</v>
      </c>
      <c r="S1028" s="17" t="s">
        <v>686</v>
      </c>
      <c r="T1028" s="20">
        <f>HYPERLINK("https://vnm.spiral.com.vn//uploaded/20210513/57e3b050-3e86-4996-83d5-ce553efee50c.JPEG","15:00:37")</f>
      </c>
      <c r="U1028" s="18"/>
      <c r="V1028" s="18" t="s">
        <v>35</v>
      </c>
      <c r="W1028" s="15" t="s">
        <v>6665</v>
      </c>
      <c r="X1028" s="15" t="s">
        <v>35</v>
      </c>
      <c r="Y1028" s="15" t="s">
        <v>35</v>
      </c>
      <c r="Z1028" s="19">
        <v>0</v>
      </c>
      <c r="AA1028" s="15">
        <v>0</v>
      </c>
      <c r="AB1028" s="15" t="s">
        <v>35</v>
      </c>
    </row>
    <row r="1029">
      <c r="A1029" s="15">
        <v>1025</v>
      </c>
      <c r="B1029" s="15" t="s">
        <v>33</v>
      </c>
      <c r="C1029" s="15" t="s">
        <v>765</v>
      </c>
      <c r="D1029" s="15" t="s">
        <v>35</v>
      </c>
      <c r="E1029" s="15" t="s">
        <v>35</v>
      </c>
      <c r="F1029" s="15" t="s">
        <v>35</v>
      </c>
      <c r="G1029" s="15" t="s">
        <v>36</v>
      </c>
      <c r="H1029" s="15" t="s">
        <v>6666</v>
      </c>
      <c r="I1029" s="15" t="s">
        <v>6667</v>
      </c>
      <c r="J1029" s="15" t="s">
        <v>6668</v>
      </c>
      <c r="K1029" s="15" t="s">
        <v>40</v>
      </c>
      <c r="L1029" s="15" t="s">
        <v>41</v>
      </c>
      <c r="M1029" s="15" t="s">
        <v>42</v>
      </c>
      <c r="N1029" s="15" t="s">
        <v>43</v>
      </c>
      <c r="O1029" s="15" t="s">
        <v>44</v>
      </c>
      <c r="P1029" s="15" t="s">
        <v>6669</v>
      </c>
      <c r="Q1029" s="15" t="s">
        <v>6670</v>
      </c>
      <c r="R1029" s="16">
        <v>44329</v>
      </c>
      <c r="S1029" s="17" t="s">
        <v>686</v>
      </c>
      <c r="T1029" s="20">
        <f>HYPERLINK("https://vnm.spiral.com.vn//uploaded/20210513/73C808C2-0ED5-424F-958B-0DA00A48E547.jpg","15:00:37")</f>
      </c>
      <c r="U1029" s="18"/>
      <c r="V1029" s="18" t="s">
        <v>35</v>
      </c>
      <c r="W1029" s="15" t="s">
        <v>6671</v>
      </c>
      <c r="X1029" s="15" t="s">
        <v>35</v>
      </c>
      <c r="Y1029" s="15" t="s">
        <v>35</v>
      </c>
      <c r="Z1029" s="19">
        <v>0</v>
      </c>
      <c r="AA1029" s="15">
        <v>0</v>
      </c>
      <c r="AB1029" s="15" t="s">
        <v>35</v>
      </c>
    </row>
    <row r="1030">
      <c r="A1030" s="15">
        <v>1026</v>
      </c>
      <c r="B1030" s="15" t="s">
        <v>61</v>
      </c>
      <c r="C1030" s="15" t="s">
        <v>398</v>
      </c>
      <c r="D1030" s="15" t="s">
        <v>35</v>
      </c>
      <c r="E1030" s="15" t="s">
        <v>35</v>
      </c>
      <c r="F1030" s="15" t="s">
        <v>6672</v>
      </c>
      <c r="G1030" s="15" t="s">
        <v>36</v>
      </c>
      <c r="H1030" s="15" t="s">
        <v>6673</v>
      </c>
      <c r="I1030" s="15" t="s">
        <v>6674</v>
      </c>
      <c r="J1030" s="15" t="s">
        <v>6675</v>
      </c>
      <c r="K1030" s="15" t="s">
        <v>40</v>
      </c>
      <c r="L1030" s="15" t="s">
        <v>41</v>
      </c>
      <c r="M1030" s="15" t="s">
        <v>66</v>
      </c>
      <c r="N1030" s="15" t="s">
        <v>67</v>
      </c>
      <c r="O1030" s="15" t="s">
        <v>44</v>
      </c>
      <c r="P1030" s="15" t="s">
        <v>6676</v>
      </c>
      <c r="Q1030" s="15" t="s">
        <v>6677</v>
      </c>
      <c r="R1030" s="16">
        <v>44329</v>
      </c>
      <c r="S1030" s="17" t="s">
        <v>686</v>
      </c>
      <c r="T1030" s="20">
        <f>HYPERLINK("https://vnm.spiral.com.vn//uploaded/20210513/D52A4705-D754-495C-A750-DDF278C6B2DB.jpg","15:00:36")</f>
      </c>
      <c r="U1030" s="18"/>
      <c r="V1030" s="18" t="s">
        <v>35</v>
      </c>
      <c r="W1030" s="15" t="s">
        <v>6678</v>
      </c>
      <c r="X1030" s="15" t="s">
        <v>35</v>
      </c>
      <c r="Y1030" s="15" t="s">
        <v>35</v>
      </c>
      <c r="Z1030" s="19">
        <v>0</v>
      </c>
      <c r="AA1030" s="15">
        <v>0</v>
      </c>
      <c r="AB1030" s="15" t="s">
        <v>35</v>
      </c>
    </row>
    <row r="1031">
      <c r="A1031" s="15">
        <v>1027</v>
      </c>
      <c r="B1031" s="15" t="s">
        <v>87</v>
      </c>
      <c r="C1031" s="15" t="s">
        <v>88</v>
      </c>
      <c r="D1031" s="15" t="s">
        <v>35</v>
      </c>
      <c r="E1031" s="15" t="s">
        <v>35</v>
      </c>
      <c r="F1031" s="15" t="s">
        <v>1191</v>
      </c>
      <c r="G1031" s="15" t="s">
        <v>36</v>
      </c>
      <c r="H1031" s="15" t="s">
        <v>6679</v>
      </c>
      <c r="I1031" s="15" t="s">
        <v>6680</v>
      </c>
      <c r="J1031" s="15" t="s">
        <v>6681</v>
      </c>
      <c r="K1031" s="15" t="s">
        <v>40</v>
      </c>
      <c r="L1031" s="15" t="s">
        <v>41</v>
      </c>
      <c r="M1031" s="15" t="s">
        <v>1195</v>
      </c>
      <c r="N1031" s="15" t="s">
        <v>1196</v>
      </c>
      <c r="O1031" s="15" t="s">
        <v>44</v>
      </c>
      <c r="P1031" s="15" t="s">
        <v>6682</v>
      </c>
      <c r="Q1031" s="15" t="s">
        <v>6683</v>
      </c>
      <c r="R1031" s="16">
        <v>44329</v>
      </c>
      <c r="S1031" s="17" t="s">
        <v>4912</v>
      </c>
      <c r="T1031" s="20">
        <f>HYPERLINK("https://vnm.spiral.com.vn//uploaded/20210513/179AF68F-3412-4F24-8CC2-1115FACFFD06.jpg","15:00:30")</f>
      </c>
      <c r="U1031" s="18"/>
      <c r="V1031" s="18" t="s">
        <v>35</v>
      </c>
      <c r="W1031" s="15" t="s">
        <v>6684</v>
      </c>
      <c r="X1031" s="15" t="s">
        <v>35</v>
      </c>
      <c r="Y1031" s="15" t="s">
        <v>35</v>
      </c>
      <c r="Z1031" s="19">
        <v>0</v>
      </c>
      <c r="AA1031" s="15">
        <v>0</v>
      </c>
      <c r="AB1031" s="15" t="s">
        <v>35</v>
      </c>
    </row>
    <row r="1032">
      <c r="A1032" s="15">
        <v>1028</v>
      </c>
      <c r="B1032" s="15" t="s">
        <v>246</v>
      </c>
      <c r="C1032" s="15" t="s">
        <v>259</v>
      </c>
      <c r="D1032" s="15" t="s">
        <v>35</v>
      </c>
      <c r="E1032" s="15" t="s">
        <v>35</v>
      </c>
      <c r="F1032" s="15" t="s">
        <v>4355</v>
      </c>
      <c r="G1032" s="15" t="s">
        <v>36</v>
      </c>
      <c r="H1032" s="15" t="s">
        <v>6685</v>
      </c>
      <c r="I1032" s="15" t="s">
        <v>6686</v>
      </c>
      <c r="J1032" s="15" t="s">
        <v>6687</v>
      </c>
      <c r="K1032" s="15" t="s">
        <v>40</v>
      </c>
      <c r="L1032" s="15" t="s">
        <v>41</v>
      </c>
      <c r="M1032" s="15" t="s">
        <v>252</v>
      </c>
      <c r="N1032" s="15" t="s">
        <v>253</v>
      </c>
      <c r="O1032" s="15" t="s">
        <v>44</v>
      </c>
      <c r="P1032" s="15" t="s">
        <v>6688</v>
      </c>
      <c r="Q1032" s="15" t="s">
        <v>6689</v>
      </c>
      <c r="R1032" s="16">
        <v>44329</v>
      </c>
      <c r="S1032" s="17" t="s">
        <v>686</v>
      </c>
      <c r="T1032" s="20">
        <f>HYPERLINK("https://vnm.spiral.com.vn//uploaded/20210513/1e400df9-4fec-46b6-b580-1957433dec6a.JPEG","15:00:29")</f>
      </c>
      <c r="U1032" s="18"/>
      <c r="V1032" s="18" t="s">
        <v>35</v>
      </c>
      <c r="W1032" s="15" t="s">
        <v>6690</v>
      </c>
      <c r="X1032" s="15" t="s">
        <v>35</v>
      </c>
      <c r="Y1032" s="15" t="s">
        <v>35</v>
      </c>
      <c r="Z1032" s="19">
        <v>0</v>
      </c>
      <c r="AA1032" s="15">
        <v>0</v>
      </c>
      <c r="AB1032" s="15" t="s">
        <v>35</v>
      </c>
    </row>
    <row r="1033">
      <c r="A1033" s="15">
        <v>1029</v>
      </c>
      <c r="B1033" s="15" t="s">
        <v>343</v>
      </c>
      <c r="C1033" s="15" t="s">
        <v>344</v>
      </c>
      <c r="D1033" s="15" t="s">
        <v>35</v>
      </c>
      <c r="E1033" s="15" t="s">
        <v>35</v>
      </c>
      <c r="F1033" s="15" t="s">
        <v>6691</v>
      </c>
      <c r="G1033" s="15" t="s">
        <v>36</v>
      </c>
      <c r="H1033" s="15" t="s">
        <v>6692</v>
      </c>
      <c r="I1033" s="15" t="s">
        <v>6693</v>
      </c>
      <c r="J1033" s="15" t="s">
        <v>6694</v>
      </c>
      <c r="K1033" s="15" t="s">
        <v>40</v>
      </c>
      <c r="L1033" s="15" t="s">
        <v>41</v>
      </c>
      <c r="M1033" s="15" t="s">
        <v>595</v>
      </c>
      <c r="N1033" s="15" t="s">
        <v>596</v>
      </c>
      <c r="O1033" s="15" t="s">
        <v>44</v>
      </c>
      <c r="P1033" s="15" t="s">
        <v>6695</v>
      </c>
      <c r="Q1033" s="15" t="s">
        <v>6696</v>
      </c>
      <c r="R1033" s="16">
        <v>44329</v>
      </c>
      <c r="S1033" s="17" t="s">
        <v>686</v>
      </c>
      <c r="T1033" s="20">
        <f>HYPERLINK("https://vnm.spiral.com.vn//uploaded/20210513/2E292B91-BD91-4B25-B630-5BA8A3197370.jpg","15:00:28")</f>
      </c>
      <c r="U1033" s="18"/>
      <c r="V1033" s="18" t="s">
        <v>35</v>
      </c>
      <c r="W1033" s="15" t="s">
        <v>6697</v>
      </c>
      <c r="X1033" s="15" t="s">
        <v>35</v>
      </c>
      <c r="Y1033" s="15" t="s">
        <v>35</v>
      </c>
      <c r="Z1033" s="19">
        <v>0</v>
      </c>
      <c r="AA1033" s="15">
        <v>0</v>
      </c>
      <c r="AB1033" s="15" t="s">
        <v>35</v>
      </c>
    </row>
    <row r="1034">
      <c r="A1034" s="15">
        <v>1030</v>
      </c>
      <c r="B1034" s="15" t="s">
        <v>343</v>
      </c>
      <c r="C1034" s="15" t="s">
        <v>344</v>
      </c>
      <c r="D1034" s="15" t="s">
        <v>35</v>
      </c>
      <c r="E1034" s="15" t="s">
        <v>35</v>
      </c>
      <c r="F1034" s="15" t="s">
        <v>35</v>
      </c>
      <c r="G1034" s="15" t="s">
        <v>74</v>
      </c>
      <c r="H1034" s="15" t="s">
        <v>6698</v>
      </c>
      <c r="I1034" s="15" t="s">
        <v>6699</v>
      </c>
      <c r="J1034" s="15" t="s">
        <v>6700</v>
      </c>
      <c r="K1034" s="15" t="s">
        <v>897</v>
      </c>
      <c r="L1034" s="15" t="s">
        <v>898</v>
      </c>
      <c r="M1034" s="15" t="s">
        <v>3476</v>
      </c>
      <c r="N1034" s="15" t="s">
        <v>3477</v>
      </c>
      <c r="O1034" s="15" t="s">
        <v>156</v>
      </c>
      <c r="P1034" s="15" t="s">
        <v>6701</v>
      </c>
      <c r="Q1034" s="15" t="s">
        <v>6702</v>
      </c>
      <c r="R1034" s="16">
        <v>44329</v>
      </c>
      <c r="S1034" s="17" t="s">
        <v>159</v>
      </c>
      <c r="T1034" s="20">
        <f>HYPERLINK("https://vnm.spiral.com.vn//uploaded/20210513/8E57334F-B501-408C-B6B6-44BC83D00D6E.jpg","06:50:12")</f>
      </c>
      <c r="U1034" s="20">
        <f>HYPERLINK("https://vnm.spiral.com.vn//uploaded/20210513/2058016B-7289-4EFE-B8B4-350CE772CA47.jpg","15:00:07")</f>
      </c>
      <c r="V1034" s="18">
        <v>0.34021990740740743</v>
      </c>
      <c r="W1034" s="15" t="s">
        <v>6703</v>
      </c>
      <c r="X1034" s="15" t="s">
        <v>6704</v>
      </c>
      <c r="Y1034" s="15" t="s">
        <v>35</v>
      </c>
      <c r="Z1034" s="19">
        <v>0</v>
      </c>
      <c r="AA1034" s="15">
        <v>0</v>
      </c>
      <c r="AB1034" s="15" t="s">
        <v>35</v>
      </c>
    </row>
    <row r="1035">
      <c r="A1035" s="15">
        <v>1031</v>
      </c>
      <c r="B1035" s="15" t="s">
        <v>343</v>
      </c>
      <c r="C1035" s="15" t="s">
        <v>721</v>
      </c>
      <c r="D1035" s="15" t="s">
        <v>35</v>
      </c>
      <c r="E1035" s="15" t="s">
        <v>35</v>
      </c>
      <c r="F1035" s="15" t="s">
        <v>35</v>
      </c>
      <c r="G1035" s="15" t="s">
        <v>36</v>
      </c>
      <c r="H1035" s="15" t="s">
        <v>6705</v>
      </c>
      <c r="I1035" s="15" t="s">
        <v>6706</v>
      </c>
      <c r="J1035" s="15" t="s">
        <v>6707</v>
      </c>
      <c r="K1035" s="15" t="s">
        <v>40</v>
      </c>
      <c r="L1035" s="15" t="s">
        <v>41</v>
      </c>
      <c r="M1035" s="15" t="s">
        <v>595</v>
      </c>
      <c r="N1035" s="15" t="s">
        <v>596</v>
      </c>
      <c r="O1035" s="15" t="s">
        <v>44</v>
      </c>
      <c r="P1035" s="15" t="s">
        <v>6708</v>
      </c>
      <c r="Q1035" s="15" t="s">
        <v>6709</v>
      </c>
      <c r="R1035" s="16">
        <v>44329</v>
      </c>
      <c r="S1035" s="17" t="s">
        <v>686</v>
      </c>
      <c r="T1035" s="20">
        <f>HYPERLINK("https://vnm.spiral.com.vn//uploaded/20210513/CB6967BE-22E3-4E67-900B-CA9BDDC63DB3.jpg","15:00:07")</f>
      </c>
      <c r="U1035" s="18"/>
      <c r="V1035" s="18" t="s">
        <v>35</v>
      </c>
      <c r="W1035" s="15" t="s">
        <v>6710</v>
      </c>
      <c r="X1035" s="15" t="s">
        <v>35</v>
      </c>
      <c r="Y1035" s="15" t="s">
        <v>35</v>
      </c>
      <c r="Z1035" s="19">
        <v>0</v>
      </c>
      <c r="AA1035" s="15">
        <v>0</v>
      </c>
      <c r="AB1035" s="15" t="s">
        <v>35</v>
      </c>
    </row>
    <row r="1036">
      <c r="A1036" s="15">
        <v>1032</v>
      </c>
      <c r="B1036" s="15" t="s">
        <v>246</v>
      </c>
      <c r="C1036" s="15" t="s">
        <v>782</v>
      </c>
      <c r="D1036" s="15" t="s">
        <v>35</v>
      </c>
      <c r="E1036" s="15" t="s">
        <v>35</v>
      </c>
      <c r="F1036" s="15" t="s">
        <v>5859</v>
      </c>
      <c r="G1036" s="15" t="s">
        <v>36</v>
      </c>
      <c r="H1036" s="15" t="s">
        <v>6711</v>
      </c>
      <c r="I1036" s="15" t="s">
        <v>6712</v>
      </c>
      <c r="J1036" s="15" t="s">
        <v>6713</v>
      </c>
      <c r="K1036" s="15" t="s">
        <v>40</v>
      </c>
      <c r="L1036" s="15" t="s">
        <v>41</v>
      </c>
      <c r="M1036" s="15" t="s">
        <v>252</v>
      </c>
      <c r="N1036" s="15" t="s">
        <v>253</v>
      </c>
      <c r="O1036" s="15" t="s">
        <v>44</v>
      </c>
      <c r="P1036" s="15" t="s">
        <v>6714</v>
      </c>
      <c r="Q1036" s="15" t="s">
        <v>6715</v>
      </c>
      <c r="R1036" s="16">
        <v>44329</v>
      </c>
      <c r="S1036" s="17" t="s">
        <v>686</v>
      </c>
      <c r="T1036" s="20">
        <f>HYPERLINK("https://vnm.spiral.com.vn//uploaded/20210513/128366c7-bf06-421c-adae-f7e47f30e4b3.JPEG","15:00:02")</f>
      </c>
      <c r="U1036" s="18"/>
      <c r="V1036" s="18" t="s">
        <v>35</v>
      </c>
      <c r="W1036" s="15" t="s">
        <v>6716</v>
      </c>
      <c r="X1036" s="15" t="s">
        <v>35</v>
      </c>
      <c r="Y1036" s="15" t="s">
        <v>35</v>
      </c>
      <c r="Z1036" s="19">
        <v>0</v>
      </c>
      <c r="AA1036" s="15">
        <v>0</v>
      </c>
      <c r="AB1036" s="15" t="s">
        <v>35</v>
      </c>
    </row>
    <row r="1037">
      <c r="A1037" s="15">
        <v>1033</v>
      </c>
      <c r="B1037" s="15" t="s">
        <v>343</v>
      </c>
      <c r="C1037" s="15" t="s">
        <v>2069</v>
      </c>
      <c r="D1037" s="15" t="s">
        <v>35</v>
      </c>
      <c r="E1037" s="15" t="s">
        <v>35</v>
      </c>
      <c r="F1037" s="15" t="s">
        <v>35</v>
      </c>
      <c r="G1037" s="15" t="s">
        <v>36</v>
      </c>
      <c r="H1037" s="15" t="s">
        <v>6717</v>
      </c>
      <c r="I1037" s="15" t="s">
        <v>6718</v>
      </c>
      <c r="J1037" s="15" t="s">
        <v>6719</v>
      </c>
      <c r="K1037" s="15" t="s">
        <v>40</v>
      </c>
      <c r="L1037" s="15" t="s">
        <v>41</v>
      </c>
      <c r="M1037" s="15" t="s">
        <v>595</v>
      </c>
      <c r="N1037" s="15" t="s">
        <v>596</v>
      </c>
      <c r="O1037" s="15" t="s">
        <v>44</v>
      </c>
      <c r="P1037" s="15" t="s">
        <v>6720</v>
      </c>
      <c r="Q1037" s="15" t="s">
        <v>6721</v>
      </c>
      <c r="R1037" s="16">
        <v>44329</v>
      </c>
      <c r="S1037" s="17" t="s">
        <v>686</v>
      </c>
      <c r="T1037" s="20">
        <f>HYPERLINK("https://vnm.spiral.com.vn//uploaded/20210513/7494596A-EB70-44F2-BAD3-F467B1B4B419.jpg","15:00:00")</f>
      </c>
      <c r="U1037" s="18"/>
      <c r="V1037" s="18" t="s">
        <v>35</v>
      </c>
      <c r="W1037" s="15" t="s">
        <v>6722</v>
      </c>
      <c r="X1037" s="15" t="s">
        <v>35</v>
      </c>
      <c r="Y1037" s="15" t="s">
        <v>35</v>
      </c>
      <c r="Z1037" s="19">
        <v>0</v>
      </c>
      <c r="AA1037" s="15">
        <v>0</v>
      </c>
      <c r="AB1037" s="15" t="s">
        <v>35</v>
      </c>
    </row>
    <row r="1038">
      <c r="A1038" s="15">
        <v>1034</v>
      </c>
      <c r="B1038" s="15" t="s">
        <v>87</v>
      </c>
      <c r="C1038" s="15" t="s">
        <v>88</v>
      </c>
      <c r="D1038" s="15" t="s">
        <v>35</v>
      </c>
      <c r="E1038" s="15" t="s">
        <v>35</v>
      </c>
      <c r="F1038" s="15" t="s">
        <v>35</v>
      </c>
      <c r="G1038" s="15" t="s">
        <v>36</v>
      </c>
      <c r="H1038" s="15" t="s">
        <v>6723</v>
      </c>
      <c r="I1038" s="15" t="s">
        <v>6724</v>
      </c>
      <c r="J1038" s="15" t="s">
        <v>6725</v>
      </c>
      <c r="K1038" s="15" t="s">
        <v>40</v>
      </c>
      <c r="L1038" s="15" t="s">
        <v>41</v>
      </c>
      <c r="M1038" s="15" t="s">
        <v>289</v>
      </c>
      <c r="N1038" s="15" t="s">
        <v>290</v>
      </c>
      <c r="O1038" s="15" t="s">
        <v>44</v>
      </c>
      <c r="P1038" s="15" t="s">
        <v>6726</v>
      </c>
      <c r="Q1038" s="15" t="s">
        <v>6727</v>
      </c>
      <c r="R1038" s="16">
        <v>44329</v>
      </c>
      <c r="S1038" s="17" t="s">
        <v>35</v>
      </c>
      <c r="T1038" s="20">
        <f>HYPERLINK("https://vnm.spiral.com.vn//uploaded/20210513/2FDFD555-766B-4C1E-BF65-F8176E4EF706.jpg","14:59:58")</f>
      </c>
      <c r="U1038" s="18"/>
      <c r="V1038" s="18" t="s">
        <v>35</v>
      </c>
      <c r="W1038" s="15" t="s">
        <v>6728</v>
      </c>
      <c r="X1038" s="15" t="s">
        <v>35</v>
      </c>
      <c r="Y1038" s="15" t="s">
        <v>35</v>
      </c>
      <c r="Z1038" s="19">
        <v>0</v>
      </c>
      <c r="AA1038" s="15">
        <v>0</v>
      </c>
      <c r="AB1038" s="15" t="s">
        <v>35</v>
      </c>
    </row>
    <row r="1039">
      <c r="A1039" s="15">
        <v>1035</v>
      </c>
      <c r="B1039" s="15" t="s">
        <v>343</v>
      </c>
      <c r="C1039" s="15" t="s">
        <v>721</v>
      </c>
      <c r="D1039" s="15" t="s">
        <v>35</v>
      </c>
      <c r="E1039" s="15" t="s">
        <v>35</v>
      </c>
      <c r="F1039" s="15" t="s">
        <v>35</v>
      </c>
      <c r="G1039" s="15" t="s">
        <v>36</v>
      </c>
      <c r="H1039" s="15" t="s">
        <v>6729</v>
      </c>
      <c r="I1039" s="15" t="s">
        <v>6730</v>
      </c>
      <c r="J1039" s="15" t="s">
        <v>6731</v>
      </c>
      <c r="K1039" s="15" t="s">
        <v>40</v>
      </c>
      <c r="L1039" s="15" t="s">
        <v>41</v>
      </c>
      <c r="M1039" s="15" t="s">
        <v>595</v>
      </c>
      <c r="N1039" s="15" t="s">
        <v>596</v>
      </c>
      <c r="O1039" s="15" t="s">
        <v>44</v>
      </c>
      <c r="P1039" s="15" t="s">
        <v>6732</v>
      </c>
      <c r="Q1039" s="15" t="s">
        <v>6733</v>
      </c>
      <c r="R1039" s="16">
        <v>44329</v>
      </c>
      <c r="S1039" s="17" t="s">
        <v>686</v>
      </c>
      <c r="T1039" s="20">
        <f>HYPERLINK("https://vnm.spiral.com.vn//uploaded/20210513/1e4bb3f8-cac3-4594-87d4-7a019eed86a5.JPEG","14:59:54")</f>
      </c>
      <c r="U1039" s="18"/>
      <c r="V1039" s="18" t="s">
        <v>35</v>
      </c>
      <c r="W1039" s="15" t="s">
        <v>6734</v>
      </c>
      <c r="X1039" s="15" t="s">
        <v>35</v>
      </c>
      <c r="Y1039" s="15" t="s">
        <v>35</v>
      </c>
      <c r="Z1039" s="19">
        <v>0</v>
      </c>
      <c r="AA1039" s="15">
        <v>0</v>
      </c>
      <c r="AB1039" s="15" t="s">
        <v>35</v>
      </c>
    </row>
    <row r="1040">
      <c r="A1040" s="15">
        <v>1036</v>
      </c>
      <c r="B1040" s="15" t="s">
        <v>103</v>
      </c>
      <c r="C1040" s="15" t="s">
        <v>186</v>
      </c>
      <c r="D1040" s="15" t="s">
        <v>35</v>
      </c>
      <c r="E1040" s="15" t="s">
        <v>35</v>
      </c>
      <c r="F1040" s="15" t="s">
        <v>6735</v>
      </c>
      <c r="G1040" s="15" t="s">
        <v>36</v>
      </c>
      <c r="H1040" s="15" t="s">
        <v>6736</v>
      </c>
      <c r="I1040" s="15" t="s">
        <v>6737</v>
      </c>
      <c r="J1040" s="15" t="s">
        <v>6738</v>
      </c>
      <c r="K1040" s="15" t="s">
        <v>40</v>
      </c>
      <c r="L1040" s="15" t="s">
        <v>41</v>
      </c>
      <c r="M1040" s="15" t="s">
        <v>565</v>
      </c>
      <c r="N1040" s="15" t="s">
        <v>566</v>
      </c>
      <c r="O1040" s="15" t="s">
        <v>44</v>
      </c>
      <c r="P1040" s="15" t="s">
        <v>6739</v>
      </c>
      <c r="Q1040" s="15" t="s">
        <v>6740</v>
      </c>
      <c r="R1040" s="16">
        <v>44329</v>
      </c>
      <c r="S1040" s="17" t="s">
        <v>686</v>
      </c>
      <c r="T1040" s="20">
        <f>HYPERLINK("https://vnm.spiral.com.vn//uploaded/20210513/ea3bc5d7-08f8-4feb-a1c2-d2ff1e6e181a.JPEG","14:59:53")</f>
      </c>
      <c r="U1040" s="18"/>
      <c r="V1040" s="18" t="s">
        <v>35</v>
      </c>
      <c r="W1040" s="15" t="s">
        <v>6741</v>
      </c>
      <c r="X1040" s="15" t="s">
        <v>35</v>
      </c>
      <c r="Y1040" s="15" t="s">
        <v>35</v>
      </c>
      <c r="Z1040" s="19">
        <v>0</v>
      </c>
      <c r="AA1040" s="15">
        <v>0</v>
      </c>
      <c r="AB1040" s="15" t="s">
        <v>35</v>
      </c>
    </row>
    <row r="1041">
      <c r="A1041" s="15">
        <v>1037</v>
      </c>
      <c r="B1041" s="15" t="s">
        <v>343</v>
      </c>
      <c r="C1041" s="15" t="s">
        <v>344</v>
      </c>
      <c r="D1041" s="15" t="s">
        <v>35</v>
      </c>
      <c r="E1041" s="15" t="s">
        <v>35</v>
      </c>
      <c r="F1041" s="15" t="s">
        <v>6608</v>
      </c>
      <c r="G1041" s="15" t="s">
        <v>36</v>
      </c>
      <c r="H1041" s="15" t="s">
        <v>6742</v>
      </c>
      <c r="I1041" s="15" t="s">
        <v>6743</v>
      </c>
      <c r="J1041" s="15" t="s">
        <v>6744</v>
      </c>
      <c r="K1041" s="15" t="s">
        <v>40</v>
      </c>
      <c r="L1041" s="15" t="s">
        <v>41</v>
      </c>
      <c r="M1041" s="15" t="s">
        <v>595</v>
      </c>
      <c r="N1041" s="15" t="s">
        <v>596</v>
      </c>
      <c r="O1041" s="15" t="s">
        <v>44</v>
      </c>
      <c r="P1041" s="15" t="s">
        <v>6745</v>
      </c>
      <c r="Q1041" s="15" t="s">
        <v>6746</v>
      </c>
      <c r="R1041" s="16">
        <v>44329</v>
      </c>
      <c r="S1041" s="17" t="s">
        <v>5968</v>
      </c>
      <c r="T1041" s="20">
        <f>HYPERLINK("https://vnm.spiral.com.vn//uploaded/20210513/1f60c6ca-af24-44ca-b223-db341379dcb0.JPEG","14:59:52")</f>
      </c>
      <c r="U1041" s="18"/>
      <c r="V1041" s="18" t="s">
        <v>35</v>
      </c>
      <c r="W1041" s="15" t="s">
        <v>6747</v>
      </c>
      <c r="X1041" s="15" t="s">
        <v>35</v>
      </c>
      <c r="Y1041" s="15" t="s">
        <v>35</v>
      </c>
      <c r="Z1041" s="19">
        <v>0</v>
      </c>
      <c r="AA1041" s="15">
        <v>0</v>
      </c>
      <c r="AB1041" s="15" t="s">
        <v>35</v>
      </c>
    </row>
    <row r="1042">
      <c r="A1042" s="15">
        <v>1038</v>
      </c>
      <c r="B1042" s="15" t="s">
        <v>103</v>
      </c>
      <c r="C1042" s="15" t="s">
        <v>186</v>
      </c>
      <c r="D1042" s="15" t="s">
        <v>35</v>
      </c>
      <c r="E1042" s="15" t="s">
        <v>35</v>
      </c>
      <c r="F1042" s="15" t="s">
        <v>6748</v>
      </c>
      <c r="G1042" s="15" t="s">
        <v>36</v>
      </c>
      <c r="H1042" s="15" t="s">
        <v>6749</v>
      </c>
      <c r="I1042" s="15" t="s">
        <v>2079</v>
      </c>
      <c r="J1042" s="15" t="s">
        <v>6750</v>
      </c>
      <c r="K1042" s="15" t="s">
        <v>40</v>
      </c>
      <c r="L1042" s="15" t="s">
        <v>41</v>
      </c>
      <c r="M1042" s="15" t="s">
        <v>565</v>
      </c>
      <c r="N1042" s="15" t="s">
        <v>566</v>
      </c>
      <c r="O1042" s="15" t="s">
        <v>44</v>
      </c>
      <c r="P1042" s="15" t="s">
        <v>6751</v>
      </c>
      <c r="Q1042" s="15" t="s">
        <v>6752</v>
      </c>
      <c r="R1042" s="16">
        <v>44329</v>
      </c>
      <c r="S1042" s="17" t="s">
        <v>686</v>
      </c>
      <c r="T1042" s="20">
        <f>HYPERLINK("https://vnm.spiral.com.vn//uploaded/20210513/790122ec-5b8d-4ab7-af08-6c49af44481c.JPEG","14:59:46")</f>
      </c>
      <c r="U1042" s="18"/>
      <c r="V1042" s="18" t="s">
        <v>35</v>
      </c>
      <c r="W1042" s="15" t="s">
        <v>6753</v>
      </c>
      <c r="X1042" s="15" t="s">
        <v>35</v>
      </c>
      <c r="Y1042" s="15" t="s">
        <v>35</v>
      </c>
      <c r="Z1042" s="19">
        <v>0</v>
      </c>
      <c r="AA1042" s="15">
        <v>0</v>
      </c>
      <c r="AB1042" s="15" t="s">
        <v>35</v>
      </c>
    </row>
    <row r="1043">
      <c r="A1043" s="15">
        <v>1039</v>
      </c>
      <c r="B1043" s="15" t="s">
        <v>246</v>
      </c>
      <c r="C1043" s="15" t="s">
        <v>864</v>
      </c>
      <c r="D1043" s="15" t="s">
        <v>35</v>
      </c>
      <c r="E1043" s="15" t="s">
        <v>35</v>
      </c>
      <c r="F1043" s="15" t="s">
        <v>2406</v>
      </c>
      <c r="G1043" s="15" t="s">
        <v>36</v>
      </c>
      <c r="H1043" s="15" t="s">
        <v>6754</v>
      </c>
      <c r="I1043" s="15" t="s">
        <v>2708</v>
      </c>
      <c r="J1043" s="15" t="s">
        <v>6755</v>
      </c>
      <c r="K1043" s="15" t="s">
        <v>40</v>
      </c>
      <c r="L1043" s="15" t="s">
        <v>41</v>
      </c>
      <c r="M1043" s="15" t="s">
        <v>252</v>
      </c>
      <c r="N1043" s="15" t="s">
        <v>253</v>
      </c>
      <c r="O1043" s="15" t="s">
        <v>44</v>
      </c>
      <c r="P1043" s="15" t="s">
        <v>6756</v>
      </c>
      <c r="Q1043" s="15" t="s">
        <v>6757</v>
      </c>
      <c r="R1043" s="16">
        <v>44329</v>
      </c>
      <c r="S1043" s="17" t="s">
        <v>686</v>
      </c>
      <c r="T1043" s="20">
        <f>HYPERLINK("https://vnm.spiral.com.vn//uploaded/20210513/5C9C23E7-CA7A-45DD-91E0-4C4C194FC93C.jpg","14:59:36")</f>
      </c>
      <c r="U1043" s="18"/>
      <c r="V1043" s="18" t="s">
        <v>35</v>
      </c>
      <c r="W1043" s="15" t="s">
        <v>6758</v>
      </c>
      <c r="X1043" s="15" t="s">
        <v>35</v>
      </c>
      <c r="Y1043" s="15" t="s">
        <v>35</v>
      </c>
      <c r="Z1043" s="19">
        <v>0</v>
      </c>
      <c r="AA1043" s="15">
        <v>0</v>
      </c>
      <c r="AB1043" s="15" t="s">
        <v>35</v>
      </c>
    </row>
    <row r="1044">
      <c r="A1044" s="15">
        <v>1040</v>
      </c>
      <c r="B1044" s="15" t="s">
        <v>246</v>
      </c>
      <c r="C1044" s="15" t="s">
        <v>259</v>
      </c>
      <c r="D1044" s="15" t="s">
        <v>35</v>
      </c>
      <c r="E1044" s="15" t="s">
        <v>35</v>
      </c>
      <c r="F1044" s="15" t="s">
        <v>35</v>
      </c>
      <c r="G1044" s="15" t="s">
        <v>35</v>
      </c>
      <c r="H1044" s="15" t="s">
        <v>6759</v>
      </c>
      <c r="I1044" s="15" t="s">
        <v>6760</v>
      </c>
      <c r="J1044" s="15" t="s">
        <v>6761</v>
      </c>
      <c r="K1044" s="15" t="s">
        <v>40</v>
      </c>
      <c r="L1044" s="15" t="s">
        <v>41</v>
      </c>
      <c r="M1044" s="15" t="s">
        <v>252</v>
      </c>
      <c r="N1044" s="15" t="s">
        <v>253</v>
      </c>
      <c r="O1044" s="15" t="s">
        <v>44</v>
      </c>
      <c r="P1044" s="15" t="s">
        <v>6762</v>
      </c>
      <c r="Q1044" s="15" t="s">
        <v>6763</v>
      </c>
      <c r="R1044" s="16">
        <v>44329</v>
      </c>
      <c r="S1044" s="17" t="s">
        <v>686</v>
      </c>
      <c r="T1044" s="20">
        <f>HYPERLINK("https://vnm.spiral.com.vn//uploaded/20210513/bbd3975e-a1e0-46f5-944e-7bf60dfb664d.JPEG","14:59:34")</f>
      </c>
      <c r="U1044" s="18"/>
      <c r="V1044" s="18" t="s">
        <v>35</v>
      </c>
      <c r="W1044" s="15" t="s">
        <v>6764</v>
      </c>
      <c r="X1044" s="15" t="s">
        <v>35</v>
      </c>
      <c r="Y1044" s="15" t="s">
        <v>35</v>
      </c>
      <c r="Z1044" s="19">
        <v>0</v>
      </c>
      <c r="AA1044" s="15">
        <v>0</v>
      </c>
      <c r="AB1044" s="15" t="s">
        <v>35</v>
      </c>
    </row>
    <row r="1045">
      <c r="A1045" s="15">
        <v>1041</v>
      </c>
      <c r="B1045" s="15" t="s">
        <v>61</v>
      </c>
      <c r="C1045" s="15" t="s">
        <v>62</v>
      </c>
      <c r="D1045" s="15" t="s">
        <v>35</v>
      </c>
      <c r="E1045" s="15" t="s">
        <v>35</v>
      </c>
      <c r="F1045" s="15" t="s">
        <v>35</v>
      </c>
      <c r="G1045" s="15" t="s">
        <v>36</v>
      </c>
      <c r="H1045" s="15" t="s">
        <v>6765</v>
      </c>
      <c r="I1045" s="15" t="s">
        <v>6766</v>
      </c>
      <c r="J1045" s="15" t="s">
        <v>6767</v>
      </c>
      <c r="K1045" s="15" t="s">
        <v>40</v>
      </c>
      <c r="L1045" s="15" t="s">
        <v>41</v>
      </c>
      <c r="M1045" s="15" t="s">
        <v>66</v>
      </c>
      <c r="N1045" s="15" t="s">
        <v>67</v>
      </c>
      <c r="O1045" s="15" t="s">
        <v>44</v>
      </c>
      <c r="P1045" s="15" t="s">
        <v>6768</v>
      </c>
      <c r="Q1045" s="15" t="s">
        <v>6769</v>
      </c>
      <c r="R1045" s="16">
        <v>44329</v>
      </c>
      <c r="S1045" s="17" t="s">
        <v>686</v>
      </c>
      <c r="T1045" s="20">
        <f>HYPERLINK("https://vnm.spiral.com.vn//uploaded/20210513/0d4329b5-2893-4aa6-aaa6-270f8e8c02d2.JPEG","14:59:23")</f>
      </c>
      <c r="U1045" s="18"/>
      <c r="V1045" s="18" t="s">
        <v>35</v>
      </c>
      <c r="W1045" s="15" t="s">
        <v>6770</v>
      </c>
      <c r="X1045" s="15" t="s">
        <v>35</v>
      </c>
      <c r="Y1045" s="15" t="s">
        <v>35</v>
      </c>
      <c r="Z1045" s="19">
        <v>0</v>
      </c>
      <c r="AA1045" s="15">
        <v>0</v>
      </c>
      <c r="AB1045" s="15" t="s">
        <v>35</v>
      </c>
    </row>
    <row r="1046">
      <c r="A1046" s="15">
        <v>1042</v>
      </c>
      <c r="B1046" s="15" t="s">
        <v>103</v>
      </c>
      <c r="C1046" s="15" t="s">
        <v>186</v>
      </c>
      <c r="D1046" s="15" t="s">
        <v>35</v>
      </c>
      <c r="E1046" s="15" t="s">
        <v>35</v>
      </c>
      <c r="F1046" s="15" t="s">
        <v>35</v>
      </c>
      <c r="G1046" s="15" t="s">
        <v>36</v>
      </c>
      <c r="H1046" s="15" t="s">
        <v>6771</v>
      </c>
      <c r="I1046" s="15" t="s">
        <v>6772</v>
      </c>
      <c r="J1046" s="15" t="s">
        <v>6773</v>
      </c>
      <c r="K1046" s="15" t="s">
        <v>40</v>
      </c>
      <c r="L1046" s="15" t="s">
        <v>41</v>
      </c>
      <c r="M1046" s="15" t="s">
        <v>565</v>
      </c>
      <c r="N1046" s="15" t="s">
        <v>566</v>
      </c>
      <c r="O1046" s="15" t="s">
        <v>44</v>
      </c>
      <c r="P1046" s="15" t="s">
        <v>6774</v>
      </c>
      <c r="Q1046" s="15" t="s">
        <v>6775</v>
      </c>
      <c r="R1046" s="16">
        <v>44329</v>
      </c>
      <c r="S1046" s="17" t="s">
        <v>686</v>
      </c>
      <c r="T1046" s="20">
        <f>HYPERLINK("https://vnm.spiral.com.vn//uploaded/20210513/BB00412F-C164-4894-B841-C4257055366F.jpg","14:59:06")</f>
      </c>
      <c r="U1046" s="18"/>
      <c r="V1046" s="18" t="s">
        <v>35</v>
      </c>
      <c r="W1046" s="15" t="s">
        <v>6776</v>
      </c>
      <c r="X1046" s="15" t="s">
        <v>35</v>
      </c>
      <c r="Y1046" s="15" t="s">
        <v>35</v>
      </c>
      <c r="Z1046" s="19">
        <v>0</v>
      </c>
      <c r="AA1046" s="15">
        <v>0</v>
      </c>
      <c r="AB1046" s="15" t="s">
        <v>35</v>
      </c>
    </row>
    <row r="1047">
      <c r="A1047" s="15">
        <v>1043</v>
      </c>
      <c r="B1047" s="15" t="s">
        <v>61</v>
      </c>
      <c r="C1047" s="15" t="s">
        <v>147</v>
      </c>
      <c r="D1047" s="15" t="s">
        <v>35</v>
      </c>
      <c r="E1047" s="15" t="s">
        <v>35</v>
      </c>
      <c r="F1047" s="15" t="s">
        <v>3172</v>
      </c>
      <c r="G1047" s="15" t="s">
        <v>36</v>
      </c>
      <c r="H1047" s="15" t="s">
        <v>6777</v>
      </c>
      <c r="I1047" s="15" t="s">
        <v>6778</v>
      </c>
      <c r="J1047" s="15" t="s">
        <v>6779</v>
      </c>
      <c r="K1047" s="15" t="s">
        <v>40</v>
      </c>
      <c r="L1047" s="15" t="s">
        <v>41</v>
      </c>
      <c r="M1047" s="15" t="s">
        <v>66</v>
      </c>
      <c r="N1047" s="15" t="s">
        <v>67</v>
      </c>
      <c r="O1047" s="15" t="s">
        <v>44</v>
      </c>
      <c r="P1047" s="15" t="s">
        <v>6780</v>
      </c>
      <c r="Q1047" s="15" t="s">
        <v>6781</v>
      </c>
      <c r="R1047" s="16">
        <v>44329</v>
      </c>
      <c r="S1047" s="17" t="s">
        <v>2703</v>
      </c>
      <c r="T1047" s="20">
        <f>HYPERLINK("https://vnm.spiral.com.vn//uploaded/20210513/95DB8A8B-E07C-41C9-A835-81720F384791.jpg","14:59:04")</f>
      </c>
      <c r="U1047" s="18"/>
      <c r="V1047" s="18" t="s">
        <v>35</v>
      </c>
      <c r="W1047" s="15" t="s">
        <v>6782</v>
      </c>
      <c r="X1047" s="15" t="s">
        <v>35</v>
      </c>
      <c r="Y1047" s="15" t="s">
        <v>35</v>
      </c>
      <c r="Z1047" s="19">
        <v>0</v>
      </c>
      <c r="AA1047" s="15">
        <v>0</v>
      </c>
      <c r="AB1047" s="15" t="s">
        <v>35</v>
      </c>
    </row>
    <row r="1048">
      <c r="A1048" s="15">
        <v>1044</v>
      </c>
      <c r="B1048" s="15" t="s">
        <v>246</v>
      </c>
      <c r="C1048" s="15" t="s">
        <v>259</v>
      </c>
      <c r="D1048" s="15" t="s">
        <v>432</v>
      </c>
      <c r="E1048" s="15" t="s">
        <v>116</v>
      </c>
      <c r="F1048" s="15" t="s">
        <v>35</v>
      </c>
      <c r="G1048" s="15" t="s">
        <v>74</v>
      </c>
      <c r="H1048" s="15" t="s">
        <v>6783</v>
      </c>
      <c r="I1048" s="15" t="s">
        <v>6784</v>
      </c>
      <c r="J1048" s="15" t="s">
        <v>6785</v>
      </c>
      <c r="K1048" s="15" t="s">
        <v>166</v>
      </c>
      <c r="L1048" s="15" t="s">
        <v>167</v>
      </c>
      <c r="M1048" s="15" t="s">
        <v>263</v>
      </c>
      <c r="N1048" s="15" t="s">
        <v>264</v>
      </c>
      <c r="O1048" s="15" t="s">
        <v>82</v>
      </c>
      <c r="P1048" s="15" t="s">
        <v>2216</v>
      </c>
      <c r="Q1048" s="15" t="s">
        <v>2217</v>
      </c>
      <c r="R1048" s="16">
        <v>44329</v>
      </c>
      <c r="S1048" s="17" t="s">
        <v>70</v>
      </c>
      <c r="T1048" s="20">
        <f>HYPERLINK("https://vnm.spiral.com.vn//uploaded/20210513/45413003-95da-44aa-a3e2-e85caa7c926f.JPEG","14:19:22")</f>
      </c>
      <c r="U1048" s="20">
        <f>HYPERLINK("https://vnm.spiral.com.vn//uploaded/20210513/e38c3eac-d22f-49e4-bca8-43fe97f52725.JPEG","14:59:01")</f>
      </c>
      <c r="V1048" s="18">
        <v>0.02753472222222222</v>
      </c>
      <c r="W1048" s="15" t="s">
        <v>6786</v>
      </c>
      <c r="X1048" s="15" t="s">
        <v>6787</v>
      </c>
      <c r="Y1048" s="15" t="s">
        <v>35</v>
      </c>
      <c r="Z1048" s="19">
        <v>0</v>
      </c>
      <c r="AA1048" s="15">
        <v>0</v>
      </c>
      <c r="AB1048" s="15" t="s">
        <v>35</v>
      </c>
    </row>
    <row r="1049">
      <c r="A1049" s="15">
        <v>1045</v>
      </c>
      <c r="B1049" s="15" t="s">
        <v>343</v>
      </c>
      <c r="C1049" s="15" t="s">
        <v>344</v>
      </c>
      <c r="D1049" s="15" t="s">
        <v>35</v>
      </c>
      <c r="E1049" s="15" t="s">
        <v>35</v>
      </c>
      <c r="F1049" s="15" t="s">
        <v>1599</v>
      </c>
      <c r="G1049" s="15" t="s">
        <v>36</v>
      </c>
      <c r="H1049" s="15" t="s">
        <v>6788</v>
      </c>
      <c r="I1049" s="15" t="s">
        <v>6789</v>
      </c>
      <c r="J1049" s="15" t="s">
        <v>6790</v>
      </c>
      <c r="K1049" s="15" t="s">
        <v>40</v>
      </c>
      <c r="L1049" s="15" t="s">
        <v>41</v>
      </c>
      <c r="M1049" s="15" t="s">
        <v>595</v>
      </c>
      <c r="N1049" s="15" t="s">
        <v>596</v>
      </c>
      <c r="O1049" s="15" t="s">
        <v>44</v>
      </c>
      <c r="P1049" s="15" t="s">
        <v>6791</v>
      </c>
      <c r="Q1049" s="15" t="s">
        <v>6792</v>
      </c>
      <c r="R1049" s="16">
        <v>44329</v>
      </c>
      <c r="S1049" s="17" t="s">
        <v>686</v>
      </c>
      <c r="T1049" s="20">
        <f>HYPERLINK("https://vnm.spiral.com.vn//uploaded/20210513/0b4d1fd6-3ff7-4e61-95d6-57b6302ee97d.JPEG","14:58:53")</f>
      </c>
      <c r="U1049" s="18"/>
      <c r="V1049" s="18" t="s">
        <v>35</v>
      </c>
      <c r="W1049" s="15" t="s">
        <v>6793</v>
      </c>
      <c r="X1049" s="15" t="s">
        <v>35</v>
      </c>
      <c r="Y1049" s="15" t="s">
        <v>35</v>
      </c>
      <c r="Z1049" s="19">
        <v>0</v>
      </c>
      <c r="AA1049" s="15">
        <v>0</v>
      </c>
      <c r="AB1049" s="15" t="s">
        <v>35</v>
      </c>
    </row>
    <row r="1050">
      <c r="A1050" s="15">
        <v>1046</v>
      </c>
      <c r="B1050" s="15" t="s">
        <v>49</v>
      </c>
      <c r="C1050" s="15" t="s">
        <v>369</v>
      </c>
      <c r="D1050" s="15" t="s">
        <v>35</v>
      </c>
      <c r="E1050" s="15" t="s">
        <v>35</v>
      </c>
      <c r="F1050" s="15" t="s">
        <v>370</v>
      </c>
      <c r="G1050" s="15" t="s">
        <v>36</v>
      </c>
      <c r="H1050" s="15" t="s">
        <v>6794</v>
      </c>
      <c r="I1050" s="15" t="s">
        <v>51</v>
      </c>
      <c r="J1050" s="15" t="s">
        <v>6795</v>
      </c>
      <c r="K1050" s="15" t="s">
        <v>40</v>
      </c>
      <c r="L1050" s="15" t="s">
        <v>41</v>
      </c>
      <c r="M1050" s="15" t="s">
        <v>55</v>
      </c>
      <c r="N1050" s="15" t="s">
        <v>56</v>
      </c>
      <c r="O1050" s="15" t="s">
        <v>44</v>
      </c>
      <c r="P1050" s="15" t="s">
        <v>6796</v>
      </c>
      <c r="Q1050" s="15" t="s">
        <v>6797</v>
      </c>
      <c r="R1050" s="16">
        <v>44329</v>
      </c>
      <c r="S1050" s="17" t="s">
        <v>686</v>
      </c>
      <c r="T1050" s="20">
        <f>HYPERLINK("https://vnm.spiral.com.vn//uploaded/20210513/995dbec9-f43c-4f6b-92e2-4982a3b508e3.JPEG","14:58:47")</f>
      </c>
      <c r="U1050" s="18"/>
      <c r="V1050" s="18" t="s">
        <v>35</v>
      </c>
      <c r="W1050" s="15" t="s">
        <v>6798</v>
      </c>
      <c r="X1050" s="15" t="s">
        <v>35</v>
      </c>
      <c r="Y1050" s="15" t="s">
        <v>35</v>
      </c>
      <c r="Z1050" s="19">
        <v>0</v>
      </c>
      <c r="AA1050" s="15">
        <v>0</v>
      </c>
      <c r="AB1050" s="15" t="s">
        <v>35</v>
      </c>
    </row>
    <row r="1051">
      <c r="A1051" s="15">
        <v>1047</v>
      </c>
      <c r="B1051" s="15" t="s">
        <v>343</v>
      </c>
      <c r="C1051" s="15" t="s">
        <v>645</v>
      </c>
      <c r="D1051" s="15" t="s">
        <v>35</v>
      </c>
      <c r="E1051" s="15" t="s">
        <v>35</v>
      </c>
      <c r="F1051" s="15" t="s">
        <v>35</v>
      </c>
      <c r="G1051" s="15" t="s">
        <v>36</v>
      </c>
      <c r="H1051" s="15" t="s">
        <v>6799</v>
      </c>
      <c r="I1051" s="15" t="s">
        <v>6800</v>
      </c>
      <c r="J1051" s="15" t="s">
        <v>6801</v>
      </c>
      <c r="K1051" s="15" t="s">
        <v>40</v>
      </c>
      <c r="L1051" s="15" t="s">
        <v>41</v>
      </c>
      <c r="M1051" s="15" t="s">
        <v>42</v>
      </c>
      <c r="N1051" s="15" t="s">
        <v>43</v>
      </c>
      <c r="O1051" s="15" t="s">
        <v>44</v>
      </c>
      <c r="P1051" s="15" t="s">
        <v>6802</v>
      </c>
      <c r="Q1051" s="15" t="s">
        <v>6803</v>
      </c>
      <c r="R1051" s="16">
        <v>44329</v>
      </c>
      <c r="S1051" s="17" t="s">
        <v>686</v>
      </c>
      <c r="T1051" s="20">
        <f>HYPERLINK("https://vnm.spiral.com.vn//uploaded/20210513/1090b212-2a62-4b95-8fae-2bba07ec4f44.JPEG","14:58:34")</f>
      </c>
      <c r="U1051" s="18"/>
      <c r="V1051" s="18" t="s">
        <v>35</v>
      </c>
      <c r="W1051" s="15" t="s">
        <v>6804</v>
      </c>
      <c r="X1051" s="15" t="s">
        <v>35</v>
      </c>
      <c r="Y1051" s="15" t="s">
        <v>35</v>
      </c>
      <c r="Z1051" s="19">
        <v>0</v>
      </c>
      <c r="AA1051" s="15">
        <v>0</v>
      </c>
      <c r="AB1051" s="15" t="s">
        <v>35</v>
      </c>
    </row>
    <row r="1052">
      <c r="A1052" s="15">
        <v>1048</v>
      </c>
      <c r="B1052" s="15" t="s">
        <v>49</v>
      </c>
      <c r="C1052" s="15" t="s">
        <v>369</v>
      </c>
      <c r="D1052" s="15" t="s">
        <v>35</v>
      </c>
      <c r="E1052" s="15" t="s">
        <v>35</v>
      </c>
      <c r="F1052" s="15" t="s">
        <v>5927</v>
      </c>
      <c r="G1052" s="15" t="s">
        <v>36</v>
      </c>
      <c r="H1052" s="15" t="s">
        <v>6805</v>
      </c>
      <c r="I1052" s="15" t="s">
        <v>6806</v>
      </c>
      <c r="J1052" s="15" t="s">
        <v>6807</v>
      </c>
      <c r="K1052" s="15" t="s">
        <v>40</v>
      </c>
      <c r="L1052" s="15" t="s">
        <v>41</v>
      </c>
      <c r="M1052" s="15" t="s">
        <v>55</v>
      </c>
      <c r="N1052" s="15" t="s">
        <v>56</v>
      </c>
      <c r="O1052" s="15" t="s">
        <v>44</v>
      </c>
      <c r="P1052" s="15" t="s">
        <v>6808</v>
      </c>
      <c r="Q1052" s="15" t="s">
        <v>6809</v>
      </c>
      <c r="R1052" s="16">
        <v>44329</v>
      </c>
      <c r="S1052" s="17" t="s">
        <v>686</v>
      </c>
      <c r="T1052" s="20">
        <f>HYPERLINK("https://vnm.spiral.com.vn//uploaded/20210513/44b0cc60-ce84-4cae-a397-ebaebbadd0c1.JPEG","14:58:30")</f>
      </c>
      <c r="U1052" s="18"/>
      <c r="V1052" s="18" t="s">
        <v>35</v>
      </c>
      <c r="W1052" s="15" t="s">
        <v>6810</v>
      </c>
      <c r="X1052" s="15" t="s">
        <v>35</v>
      </c>
      <c r="Y1052" s="15" t="s">
        <v>35</v>
      </c>
      <c r="Z1052" s="19">
        <v>0</v>
      </c>
      <c r="AA1052" s="15">
        <v>0</v>
      </c>
      <c r="AB1052" s="15" t="s">
        <v>35</v>
      </c>
    </row>
    <row r="1053">
      <c r="A1053" s="15">
        <v>1049</v>
      </c>
      <c r="B1053" s="15" t="s">
        <v>61</v>
      </c>
      <c r="C1053" s="15" t="s">
        <v>1730</v>
      </c>
      <c r="D1053" s="15" t="s">
        <v>35</v>
      </c>
      <c r="E1053" s="15" t="s">
        <v>35</v>
      </c>
      <c r="F1053" s="15" t="s">
        <v>35</v>
      </c>
      <c r="G1053" s="15" t="s">
        <v>36</v>
      </c>
      <c r="H1053" s="15" t="s">
        <v>6811</v>
      </c>
      <c r="I1053" s="15" t="s">
        <v>6812</v>
      </c>
      <c r="J1053" s="15" t="s">
        <v>6813</v>
      </c>
      <c r="K1053" s="15" t="s">
        <v>40</v>
      </c>
      <c r="L1053" s="15" t="s">
        <v>41</v>
      </c>
      <c r="M1053" s="15" t="s">
        <v>205</v>
      </c>
      <c r="N1053" s="15" t="s">
        <v>206</v>
      </c>
      <c r="O1053" s="15" t="s">
        <v>44</v>
      </c>
      <c r="P1053" s="15" t="s">
        <v>6814</v>
      </c>
      <c r="Q1053" s="15" t="s">
        <v>6815</v>
      </c>
      <c r="R1053" s="16">
        <v>44329</v>
      </c>
      <c r="S1053" s="17" t="s">
        <v>686</v>
      </c>
      <c r="T1053" s="20">
        <f>HYPERLINK("https://vnm.spiral.com.vn//uploaded/20210513/9af39186-4d97-422b-8402-4d8f9e18d776.JPEG","14:58:29")</f>
      </c>
      <c r="U1053" s="18"/>
      <c r="V1053" s="18" t="s">
        <v>35</v>
      </c>
      <c r="W1053" s="15" t="s">
        <v>6816</v>
      </c>
      <c r="X1053" s="15" t="s">
        <v>35</v>
      </c>
      <c r="Y1053" s="15" t="s">
        <v>35</v>
      </c>
      <c r="Z1053" s="19">
        <v>0</v>
      </c>
      <c r="AA1053" s="15">
        <v>0</v>
      </c>
      <c r="AB1053" s="15" t="s">
        <v>35</v>
      </c>
    </row>
    <row r="1054">
      <c r="A1054" s="15">
        <v>1050</v>
      </c>
      <c r="B1054" s="15" t="s">
        <v>246</v>
      </c>
      <c r="C1054" s="15" t="s">
        <v>276</v>
      </c>
      <c r="D1054" s="15" t="s">
        <v>35</v>
      </c>
      <c r="E1054" s="15" t="s">
        <v>35</v>
      </c>
      <c r="F1054" s="15" t="s">
        <v>6817</v>
      </c>
      <c r="G1054" s="15" t="s">
        <v>36</v>
      </c>
      <c r="H1054" s="15" t="s">
        <v>6818</v>
      </c>
      <c r="I1054" s="15" t="s">
        <v>6819</v>
      </c>
      <c r="J1054" s="15" t="s">
        <v>6820</v>
      </c>
      <c r="K1054" s="15" t="s">
        <v>40</v>
      </c>
      <c r="L1054" s="15" t="s">
        <v>41</v>
      </c>
      <c r="M1054" s="15" t="s">
        <v>252</v>
      </c>
      <c r="N1054" s="15" t="s">
        <v>253</v>
      </c>
      <c r="O1054" s="15" t="s">
        <v>44</v>
      </c>
      <c r="P1054" s="15" t="s">
        <v>6821</v>
      </c>
      <c r="Q1054" s="15" t="s">
        <v>6822</v>
      </c>
      <c r="R1054" s="16">
        <v>44329</v>
      </c>
      <c r="S1054" s="17" t="s">
        <v>686</v>
      </c>
      <c r="T1054" s="20">
        <f>HYPERLINK("https://vnm.spiral.com.vn//uploaded/20210513/251bc107-ce14-4f5e-80a8-ef3d9fce38c9.JPEG","14:58:23")</f>
      </c>
      <c r="U1054" s="18"/>
      <c r="V1054" s="18" t="s">
        <v>35</v>
      </c>
      <c r="W1054" s="15" t="s">
        <v>6823</v>
      </c>
      <c r="X1054" s="15" t="s">
        <v>35</v>
      </c>
      <c r="Y1054" s="15" t="s">
        <v>35</v>
      </c>
      <c r="Z1054" s="19">
        <v>0</v>
      </c>
      <c r="AA1054" s="15">
        <v>0</v>
      </c>
      <c r="AB1054" s="15" t="s">
        <v>35</v>
      </c>
    </row>
    <row r="1055">
      <c r="A1055" s="15">
        <v>1051</v>
      </c>
      <c r="B1055" s="15" t="s">
        <v>103</v>
      </c>
      <c r="C1055" s="15" t="s">
        <v>186</v>
      </c>
      <c r="D1055" s="15" t="s">
        <v>35</v>
      </c>
      <c r="E1055" s="15" t="s">
        <v>35</v>
      </c>
      <c r="F1055" s="15" t="s">
        <v>35</v>
      </c>
      <c r="G1055" s="15" t="s">
        <v>35</v>
      </c>
      <c r="H1055" s="15" t="s">
        <v>6824</v>
      </c>
      <c r="I1055" s="15" t="s">
        <v>6825</v>
      </c>
      <c r="J1055" s="15" t="s">
        <v>6826</v>
      </c>
      <c r="K1055" s="15" t="s">
        <v>40</v>
      </c>
      <c r="L1055" s="15" t="s">
        <v>41</v>
      </c>
      <c r="M1055" s="15" t="s">
        <v>565</v>
      </c>
      <c r="N1055" s="15" t="s">
        <v>566</v>
      </c>
      <c r="O1055" s="15" t="s">
        <v>44</v>
      </c>
      <c r="P1055" s="15" t="s">
        <v>6827</v>
      </c>
      <c r="Q1055" s="15" t="s">
        <v>6828</v>
      </c>
      <c r="R1055" s="16">
        <v>44329</v>
      </c>
      <c r="S1055" s="17" t="s">
        <v>686</v>
      </c>
      <c r="T1055" s="20">
        <f>HYPERLINK("https://vnm.spiral.com.vn//uploaded/20210513/269766A6-64E9-440D-BD75-F2A83E7FBAE8.jpg","14:57:44")</f>
      </c>
      <c r="U1055" s="18"/>
      <c r="V1055" s="18" t="s">
        <v>35</v>
      </c>
      <c r="W1055" s="15" t="s">
        <v>6829</v>
      </c>
      <c r="X1055" s="15" t="s">
        <v>35</v>
      </c>
      <c r="Y1055" s="15" t="s">
        <v>35</v>
      </c>
      <c r="Z1055" s="19">
        <v>0</v>
      </c>
      <c r="AA1055" s="15">
        <v>0</v>
      </c>
      <c r="AB1055" s="15" t="s">
        <v>35</v>
      </c>
    </row>
    <row r="1056">
      <c r="A1056" s="15">
        <v>1052</v>
      </c>
      <c r="B1056" s="15" t="s">
        <v>103</v>
      </c>
      <c r="C1056" s="15" t="s">
        <v>186</v>
      </c>
      <c r="D1056" s="15" t="s">
        <v>35</v>
      </c>
      <c r="E1056" s="15" t="s">
        <v>35</v>
      </c>
      <c r="F1056" s="15" t="s">
        <v>6735</v>
      </c>
      <c r="G1056" s="15" t="s">
        <v>36</v>
      </c>
      <c r="H1056" s="15" t="s">
        <v>6830</v>
      </c>
      <c r="I1056" s="15" t="s">
        <v>6831</v>
      </c>
      <c r="J1056" s="15" t="s">
        <v>6832</v>
      </c>
      <c r="K1056" s="15" t="s">
        <v>40</v>
      </c>
      <c r="L1056" s="15" t="s">
        <v>41</v>
      </c>
      <c r="M1056" s="15" t="s">
        <v>565</v>
      </c>
      <c r="N1056" s="15" t="s">
        <v>566</v>
      </c>
      <c r="O1056" s="15" t="s">
        <v>44</v>
      </c>
      <c r="P1056" s="15" t="s">
        <v>6833</v>
      </c>
      <c r="Q1056" s="15" t="s">
        <v>6834</v>
      </c>
      <c r="R1056" s="16">
        <v>44329</v>
      </c>
      <c r="S1056" s="17" t="s">
        <v>686</v>
      </c>
      <c r="T1056" s="20">
        <f>HYPERLINK("https://vnm.spiral.com.vn//uploaded/20210513/316e751c-1c12-4e52-8fcf-aab86ad79a74.JPEG","14:57:41")</f>
      </c>
      <c r="U1056" s="18"/>
      <c r="V1056" s="18" t="s">
        <v>35</v>
      </c>
      <c r="W1056" s="15" t="s">
        <v>6835</v>
      </c>
      <c r="X1056" s="15" t="s">
        <v>35</v>
      </c>
      <c r="Y1056" s="15" t="s">
        <v>35</v>
      </c>
      <c r="Z1056" s="19">
        <v>0</v>
      </c>
      <c r="AA1056" s="15">
        <v>0</v>
      </c>
      <c r="AB1056" s="15" t="s">
        <v>35</v>
      </c>
    </row>
    <row r="1057">
      <c r="A1057" s="15">
        <v>1053</v>
      </c>
      <c r="B1057" s="15" t="s">
        <v>343</v>
      </c>
      <c r="C1057" s="15" t="s">
        <v>344</v>
      </c>
      <c r="D1057" s="15" t="s">
        <v>35</v>
      </c>
      <c r="E1057" s="15" t="s">
        <v>35</v>
      </c>
      <c r="F1057" s="15" t="s">
        <v>35</v>
      </c>
      <c r="G1057" s="15" t="s">
        <v>36</v>
      </c>
      <c r="H1057" s="15" t="s">
        <v>6836</v>
      </c>
      <c r="I1057" s="15" t="s">
        <v>6837</v>
      </c>
      <c r="J1057" s="15" t="s">
        <v>6838</v>
      </c>
      <c r="K1057" s="15" t="s">
        <v>40</v>
      </c>
      <c r="L1057" s="15" t="s">
        <v>41</v>
      </c>
      <c r="M1057" s="15" t="s">
        <v>409</v>
      </c>
      <c r="N1057" s="15" t="s">
        <v>410</v>
      </c>
      <c r="O1057" s="15" t="s">
        <v>44</v>
      </c>
      <c r="P1057" s="15" t="s">
        <v>6839</v>
      </c>
      <c r="Q1057" s="15" t="s">
        <v>6840</v>
      </c>
      <c r="R1057" s="16">
        <v>44329</v>
      </c>
      <c r="S1057" s="17" t="s">
        <v>686</v>
      </c>
      <c r="T1057" s="20">
        <f>HYPERLINK("https://vnm.spiral.com.vn//uploaded/20210513/4a6cf069-5ef8-4c23-942c-714a1c0bf236.JPEG","14:57:39")</f>
      </c>
      <c r="U1057" s="18"/>
      <c r="V1057" s="18" t="s">
        <v>35</v>
      </c>
      <c r="W1057" s="15" t="s">
        <v>6841</v>
      </c>
      <c r="X1057" s="15" t="s">
        <v>35</v>
      </c>
      <c r="Y1057" s="15" t="s">
        <v>35</v>
      </c>
      <c r="Z1057" s="19">
        <v>0</v>
      </c>
      <c r="AA1057" s="15">
        <v>0</v>
      </c>
      <c r="AB1057" s="15" t="s">
        <v>35</v>
      </c>
    </row>
    <row r="1058">
      <c r="A1058" s="15">
        <v>1054</v>
      </c>
      <c r="B1058" s="15" t="s">
        <v>49</v>
      </c>
      <c r="C1058" s="15" t="s">
        <v>369</v>
      </c>
      <c r="D1058" s="15" t="s">
        <v>35</v>
      </c>
      <c r="E1058" s="15" t="s">
        <v>35</v>
      </c>
      <c r="F1058" s="15" t="s">
        <v>370</v>
      </c>
      <c r="G1058" s="15" t="s">
        <v>36</v>
      </c>
      <c r="H1058" s="15" t="s">
        <v>6842</v>
      </c>
      <c r="I1058" s="15" t="s">
        <v>6843</v>
      </c>
      <c r="J1058" s="15" t="s">
        <v>3461</v>
      </c>
      <c r="K1058" s="15" t="s">
        <v>40</v>
      </c>
      <c r="L1058" s="15" t="s">
        <v>41</v>
      </c>
      <c r="M1058" s="15" t="s">
        <v>55</v>
      </c>
      <c r="N1058" s="15" t="s">
        <v>56</v>
      </c>
      <c r="O1058" s="15" t="s">
        <v>44</v>
      </c>
      <c r="P1058" s="15" t="s">
        <v>6844</v>
      </c>
      <c r="Q1058" s="15" t="s">
        <v>6845</v>
      </c>
      <c r="R1058" s="16">
        <v>44329</v>
      </c>
      <c r="S1058" s="17" t="s">
        <v>686</v>
      </c>
      <c r="T1058" s="20">
        <f>HYPERLINK("https://vnm.spiral.com.vn//uploaded/20210513/281E6B91-4F21-4EE9-A9C9-2B49B2EDF926.jpg","14:57:37")</f>
      </c>
      <c r="U1058" s="18"/>
      <c r="V1058" s="18" t="s">
        <v>35</v>
      </c>
      <c r="W1058" s="15" t="s">
        <v>6846</v>
      </c>
      <c r="X1058" s="15" t="s">
        <v>35</v>
      </c>
      <c r="Y1058" s="15" t="s">
        <v>35</v>
      </c>
      <c r="Z1058" s="19">
        <v>0</v>
      </c>
      <c r="AA1058" s="15">
        <v>0</v>
      </c>
      <c r="AB1058" s="15" t="s">
        <v>35</v>
      </c>
    </row>
    <row r="1059">
      <c r="A1059" s="15">
        <v>1055</v>
      </c>
      <c r="B1059" s="15" t="s">
        <v>103</v>
      </c>
      <c r="C1059" s="15" t="s">
        <v>1078</v>
      </c>
      <c r="D1059" s="15" t="s">
        <v>35</v>
      </c>
      <c r="E1059" s="15" t="s">
        <v>35</v>
      </c>
      <c r="F1059" s="15" t="s">
        <v>35</v>
      </c>
      <c r="G1059" s="15" t="s">
        <v>36</v>
      </c>
      <c r="H1059" s="15" t="s">
        <v>6847</v>
      </c>
      <c r="I1059" s="15" t="s">
        <v>6848</v>
      </c>
      <c r="J1059" s="15" t="s">
        <v>6849</v>
      </c>
      <c r="K1059" s="15" t="s">
        <v>40</v>
      </c>
      <c r="L1059" s="15" t="s">
        <v>41</v>
      </c>
      <c r="M1059" s="15" t="s">
        <v>565</v>
      </c>
      <c r="N1059" s="15" t="s">
        <v>566</v>
      </c>
      <c r="O1059" s="15" t="s">
        <v>44</v>
      </c>
      <c r="P1059" s="15" t="s">
        <v>6850</v>
      </c>
      <c r="Q1059" s="15" t="s">
        <v>6851</v>
      </c>
      <c r="R1059" s="16">
        <v>44329</v>
      </c>
      <c r="S1059" s="17" t="s">
        <v>686</v>
      </c>
      <c r="T1059" s="20">
        <f>HYPERLINK("https://vnm.spiral.com.vn//uploaded/20210513/54effdfa-3775-47df-9799-203a9608c7b3.JPEG","14:57:30")</f>
      </c>
      <c r="U1059" s="18"/>
      <c r="V1059" s="18" t="s">
        <v>35</v>
      </c>
      <c r="W1059" s="15" t="s">
        <v>6852</v>
      </c>
      <c r="X1059" s="15" t="s">
        <v>35</v>
      </c>
      <c r="Y1059" s="15" t="s">
        <v>35</v>
      </c>
      <c r="Z1059" s="19">
        <v>0</v>
      </c>
      <c r="AA1059" s="15">
        <v>0</v>
      </c>
      <c r="AB1059" s="15" t="s">
        <v>35</v>
      </c>
    </row>
    <row r="1060">
      <c r="A1060" s="15">
        <v>1056</v>
      </c>
      <c r="B1060" s="15" t="s">
        <v>246</v>
      </c>
      <c r="C1060" s="15" t="s">
        <v>864</v>
      </c>
      <c r="D1060" s="15" t="s">
        <v>35</v>
      </c>
      <c r="E1060" s="15" t="s">
        <v>35</v>
      </c>
      <c r="F1060" s="15" t="s">
        <v>3410</v>
      </c>
      <c r="G1060" s="15" t="s">
        <v>36</v>
      </c>
      <c r="H1060" s="15" t="s">
        <v>6853</v>
      </c>
      <c r="I1060" s="15" t="s">
        <v>6854</v>
      </c>
      <c r="J1060" s="15" t="s">
        <v>6855</v>
      </c>
      <c r="K1060" s="15" t="s">
        <v>40</v>
      </c>
      <c r="L1060" s="15" t="s">
        <v>41</v>
      </c>
      <c r="M1060" s="15" t="s">
        <v>252</v>
      </c>
      <c r="N1060" s="15" t="s">
        <v>253</v>
      </c>
      <c r="O1060" s="15" t="s">
        <v>44</v>
      </c>
      <c r="P1060" s="15" t="s">
        <v>6856</v>
      </c>
      <c r="Q1060" s="15" t="s">
        <v>6857</v>
      </c>
      <c r="R1060" s="16">
        <v>44329</v>
      </c>
      <c r="S1060" s="17" t="s">
        <v>686</v>
      </c>
      <c r="T1060" s="20">
        <f>HYPERLINK("https://vnm.spiral.com.vn//uploaded/20210513/72e2e5b9-8de2-404f-8450-4659623f4feb.JPEG","14:57:29")</f>
      </c>
      <c r="U1060" s="18"/>
      <c r="V1060" s="18" t="s">
        <v>35</v>
      </c>
      <c r="W1060" s="15" t="s">
        <v>6858</v>
      </c>
      <c r="X1060" s="15" t="s">
        <v>35</v>
      </c>
      <c r="Y1060" s="15" t="s">
        <v>35</v>
      </c>
      <c r="Z1060" s="19">
        <v>0</v>
      </c>
      <c r="AA1060" s="15">
        <v>0</v>
      </c>
      <c r="AB1060" s="15" t="s">
        <v>35</v>
      </c>
    </row>
    <row r="1061">
      <c r="A1061" s="15">
        <v>1057</v>
      </c>
      <c r="B1061" s="15" t="s">
        <v>49</v>
      </c>
      <c r="C1061" s="15" t="s">
        <v>1389</v>
      </c>
      <c r="D1061" s="15" t="s">
        <v>35</v>
      </c>
      <c r="E1061" s="15" t="s">
        <v>35</v>
      </c>
      <c r="F1061" s="15" t="s">
        <v>4871</v>
      </c>
      <c r="G1061" s="15" t="s">
        <v>36</v>
      </c>
      <c r="H1061" s="15" t="s">
        <v>6859</v>
      </c>
      <c r="I1061" s="15" t="s">
        <v>6860</v>
      </c>
      <c r="J1061" s="15" t="s">
        <v>6861</v>
      </c>
      <c r="K1061" s="15" t="s">
        <v>40</v>
      </c>
      <c r="L1061" s="15" t="s">
        <v>41</v>
      </c>
      <c r="M1061" s="15" t="s">
        <v>55</v>
      </c>
      <c r="N1061" s="15" t="s">
        <v>56</v>
      </c>
      <c r="O1061" s="15" t="s">
        <v>44</v>
      </c>
      <c r="P1061" s="15" t="s">
        <v>6862</v>
      </c>
      <c r="Q1061" s="15" t="s">
        <v>6863</v>
      </c>
      <c r="R1061" s="16">
        <v>44329</v>
      </c>
      <c r="S1061" s="17" t="s">
        <v>686</v>
      </c>
      <c r="T1061" s="20">
        <f>HYPERLINK("https://vnm.spiral.com.vn//uploaded/20210513/121f7c59-7607-4666-89b8-03cc3c9d1065.JPEG","14:57:22")</f>
      </c>
      <c r="U1061" s="18"/>
      <c r="V1061" s="18" t="s">
        <v>35</v>
      </c>
      <c r="W1061" s="15" t="s">
        <v>6864</v>
      </c>
      <c r="X1061" s="15" t="s">
        <v>35</v>
      </c>
      <c r="Y1061" s="15" t="s">
        <v>35</v>
      </c>
      <c r="Z1061" s="19">
        <v>0</v>
      </c>
      <c r="AA1061" s="15">
        <v>0</v>
      </c>
      <c r="AB1061" s="15" t="s">
        <v>35</v>
      </c>
    </row>
    <row r="1062">
      <c r="A1062" s="15">
        <v>1058</v>
      </c>
      <c r="B1062" s="15" t="s">
        <v>343</v>
      </c>
      <c r="C1062" s="15" t="s">
        <v>344</v>
      </c>
      <c r="D1062" s="15" t="s">
        <v>35</v>
      </c>
      <c r="E1062" s="15" t="s">
        <v>35</v>
      </c>
      <c r="F1062" s="15" t="s">
        <v>35</v>
      </c>
      <c r="G1062" s="15" t="s">
        <v>36</v>
      </c>
      <c r="H1062" s="15" t="s">
        <v>6865</v>
      </c>
      <c r="I1062" s="15" t="s">
        <v>2408</v>
      </c>
      <c r="J1062" s="15" t="s">
        <v>6866</v>
      </c>
      <c r="K1062" s="15" t="s">
        <v>40</v>
      </c>
      <c r="L1062" s="15" t="s">
        <v>41</v>
      </c>
      <c r="M1062" s="15" t="s">
        <v>595</v>
      </c>
      <c r="N1062" s="15" t="s">
        <v>596</v>
      </c>
      <c r="O1062" s="15" t="s">
        <v>44</v>
      </c>
      <c r="P1062" s="15" t="s">
        <v>6867</v>
      </c>
      <c r="Q1062" s="15" t="s">
        <v>3616</v>
      </c>
      <c r="R1062" s="16">
        <v>44329</v>
      </c>
      <c r="S1062" s="17" t="s">
        <v>686</v>
      </c>
      <c r="T1062" s="20">
        <f>HYPERLINK("https://vnm.spiral.com.vn//uploaded/20210513/17d6ab85-7c63-4e81-aa7b-52034c81ea9b.JPEG","14:57:16")</f>
      </c>
      <c r="U1062" s="18"/>
      <c r="V1062" s="18" t="s">
        <v>35</v>
      </c>
      <c r="W1062" s="15" t="s">
        <v>6868</v>
      </c>
      <c r="X1062" s="15" t="s">
        <v>35</v>
      </c>
      <c r="Y1062" s="15" t="s">
        <v>35</v>
      </c>
      <c r="Z1062" s="19">
        <v>0</v>
      </c>
      <c r="AA1062" s="15">
        <v>0</v>
      </c>
      <c r="AB1062" s="15" t="s">
        <v>35</v>
      </c>
    </row>
    <row r="1063">
      <c r="A1063" s="15">
        <v>1059</v>
      </c>
      <c r="B1063" s="15" t="s">
        <v>87</v>
      </c>
      <c r="C1063" s="15" t="s">
        <v>88</v>
      </c>
      <c r="D1063" s="15" t="s">
        <v>35</v>
      </c>
      <c r="E1063" s="15" t="s">
        <v>35</v>
      </c>
      <c r="F1063" s="15" t="s">
        <v>2667</v>
      </c>
      <c r="G1063" s="15" t="s">
        <v>36</v>
      </c>
      <c r="H1063" s="15" t="s">
        <v>6869</v>
      </c>
      <c r="I1063" s="15" t="s">
        <v>6724</v>
      </c>
      <c r="J1063" s="15" t="s">
        <v>6870</v>
      </c>
      <c r="K1063" s="15" t="s">
        <v>40</v>
      </c>
      <c r="L1063" s="15" t="s">
        <v>41</v>
      </c>
      <c r="M1063" s="15" t="s">
        <v>1195</v>
      </c>
      <c r="N1063" s="15" t="s">
        <v>1196</v>
      </c>
      <c r="O1063" s="15" t="s">
        <v>44</v>
      </c>
      <c r="P1063" s="15" t="s">
        <v>6871</v>
      </c>
      <c r="Q1063" s="15" t="s">
        <v>6872</v>
      </c>
      <c r="R1063" s="16">
        <v>44329</v>
      </c>
      <c r="S1063" s="17" t="s">
        <v>686</v>
      </c>
      <c r="T1063" s="20">
        <f>HYPERLINK("https://vnm.spiral.com.vn//uploaded/20210513/2bed4f7d-5c57-4707-be70-074de536daca.JPEG","14:57:07")</f>
      </c>
      <c r="U1063" s="18"/>
      <c r="V1063" s="18" t="s">
        <v>35</v>
      </c>
      <c r="W1063" s="15" t="s">
        <v>6873</v>
      </c>
      <c r="X1063" s="15" t="s">
        <v>35</v>
      </c>
      <c r="Y1063" s="15" t="s">
        <v>35</v>
      </c>
      <c r="Z1063" s="19">
        <v>0</v>
      </c>
      <c r="AA1063" s="15">
        <v>0</v>
      </c>
      <c r="AB1063" s="15" t="s">
        <v>35</v>
      </c>
    </row>
    <row r="1064">
      <c r="A1064" s="15">
        <v>1060</v>
      </c>
      <c r="B1064" s="15" t="s">
        <v>61</v>
      </c>
      <c r="C1064" s="15" t="s">
        <v>303</v>
      </c>
      <c r="D1064" s="15" t="s">
        <v>35</v>
      </c>
      <c r="E1064" s="15" t="s">
        <v>35</v>
      </c>
      <c r="F1064" s="15" t="s">
        <v>35</v>
      </c>
      <c r="G1064" s="15" t="s">
        <v>36</v>
      </c>
      <c r="H1064" s="15" t="s">
        <v>6874</v>
      </c>
      <c r="I1064" s="15" t="s">
        <v>6875</v>
      </c>
      <c r="J1064" s="15" t="s">
        <v>6876</v>
      </c>
      <c r="K1064" s="15" t="s">
        <v>40</v>
      </c>
      <c r="L1064" s="15" t="s">
        <v>41</v>
      </c>
      <c r="M1064" s="15" t="s">
        <v>205</v>
      </c>
      <c r="N1064" s="15" t="s">
        <v>206</v>
      </c>
      <c r="O1064" s="15" t="s">
        <v>44</v>
      </c>
      <c r="P1064" s="15" t="s">
        <v>6877</v>
      </c>
      <c r="Q1064" s="15" t="s">
        <v>6878</v>
      </c>
      <c r="R1064" s="16">
        <v>44329</v>
      </c>
      <c r="S1064" s="17" t="s">
        <v>686</v>
      </c>
      <c r="T1064" s="20">
        <f>HYPERLINK("https://vnm.spiral.com.vn//uploaded/20210513/e33425b2-1d18-482d-a596-07d109b22988.JPEG","14:57:05")</f>
      </c>
      <c r="U1064" s="18"/>
      <c r="V1064" s="18" t="s">
        <v>35</v>
      </c>
      <c r="W1064" s="15" t="s">
        <v>6879</v>
      </c>
      <c r="X1064" s="15" t="s">
        <v>35</v>
      </c>
      <c r="Y1064" s="15" t="s">
        <v>35</v>
      </c>
      <c r="Z1064" s="19">
        <v>0</v>
      </c>
      <c r="AA1064" s="15">
        <v>0</v>
      </c>
      <c r="AB1064" s="15" t="s">
        <v>35</v>
      </c>
    </row>
    <row r="1065">
      <c r="A1065" s="15">
        <v>1061</v>
      </c>
      <c r="B1065" s="15" t="s">
        <v>61</v>
      </c>
      <c r="C1065" s="15" t="s">
        <v>62</v>
      </c>
      <c r="D1065" s="15" t="s">
        <v>35</v>
      </c>
      <c r="E1065" s="15" t="s">
        <v>35</v>
      </c>
      <c r="F1065" s="15" t="s">
        <v>35</v>
      </c>
      <c r="G1065" s="15" t="s">
        <v>36</v>
      </c>
      <c r="H1065" s="15" t="s">
        <v>6880</v>
      </c>
      <c r="I1065" s="15" t="s">
        <v>6881</v>
      </c>
      <c r="J1065" s="15" t="s">
        <v>6882</v>
      </c>
      <c r="K1065" s="15" t="s">
        <v>40</v>
      </c>
      <c r="L1065" s="15" t="s">
        <v>41</v>
      </c>
      <c r="M1065" s="15" t="s">
        <v>66</v>
      </c>
      <c r="N1065" s="15" t="s">
        <v>67</v>
      </c>
      <c r="O1065" s="15" t="s">
        <v>44</v>
      </c>
      <c r="P1065" s="15" t="s">
        <v>6883</v>
      </c>
      <c r="Q1065" s="15" t="s">
        <v>6884</v>
      </c>
      <c r="R1065" s="16">
        <v>44329</v>
      </c>
      <c r="S1065" s="17" t="s">
        <v>5993</v>
      </c>
      <c r="T1065" s="20">
        <f>HYPERLINK("https://vnm.spiral.com.vn//uploaded/20210513/a9f420c8-a98c-47a7-aac6-9e477d45d812.JPEG","14:56:55")</f>
      </c>
      <c r="U1065" s="18"/>
      <c r="V1065" s="18" t="s">
        <v>35</v>
      </c>
      <c r="W1065" s="15" t="s">
        <v>6885</v>
      </c>
      <c r="X1065" s="15" t="s">
        <v>35</v>
      </c>
      <c r="Y1065" s="15" t="s">
        <v>35</v>
      </c>
      <c r="Z1065" s="19">
        <v>0</v>
      </c>
      <c r="AA1065" s="15">
        <v>0</v>
      </c>
      <c r="AB1065" s="15" t="s">
        <v>35</v>
      </c>
    </row>
    <row r="1066">
      <c r="A1066" s="15">
        <v>1062</v>
      </c>
      <c r="B1066" s="15" t="s">
        <v>103</v>
      </c>
      <c r="C1066" s="15" t="s">
        <v>104</v>
      </c>
      <c r="D1066" s="15" t="s">
        <v>35</v>
      </c>
      <c r="E1066" s="15" t="s">
        <v>35</v>
      </c>
      <c r="F1066" s="15" t="s">
        <v>35</v>
      </c>
      <c r="G1066" s="15" t="s">
        <v>35</v>
      </c>
      <c r="H1066" s="15" t="s">
        <v>6886</v>
      </c>
      <c r="I1066" s="15" t="s">
        <v>6887</v>
      </c>
      <c r="J1066" s="15" t="s">
        <v>6888</v>
      </c>
      <c r="K1066" s="15" t="s">
        <v>40</v>
      </c>
      <c r="L1066" s="15" t="s">
        <v>41</v>
      </c>
      <c r="M1066" s="15" t="s">
        <v>108</v>
      </c>
      <c r="N1066" s="15" t="s">
        <v>109</v>
      </c>
      <c r="O1066" s="15" t="s">
        <v>44</v>
      </c>
      <c r="P1066" s="15" t="s">
        <v>6889</v>
      </c>
      <c r="Q1066" s="15" t="s">
        <v>6890</v>
      </c>
      <c r="R1066" s="16">
        <v>44329</v>
      </c>
      <c r="S1066" s="17" t="s">
        <v>569</v>
      </c>
      <c r="T1066" s="20">
        <f>HYPERLINK("https://vnm.spiral.com.vn//uploaded/20210513/E7CA243F-6713-41B5-8DD0-6A299CD66BDB.jpg","14:56:52")</f>
      </c>
      <c r="U1066" s="18"/>
      <c r="V1066" s="18" t="s">
        <v>35</v>
      </c>
      <c r="W1066" s="15" t="s">
        <v>6891</v>
      </c>
      <c r="X1066" s="15" t="s">
        <v>35</v>
      </c>
      <c r="Y1066" s="15" t="s">
        <v>35</v>
      </c>
      <c r="Z1066" s="19">
        <v>0</v>
      </c>
      <c r="AA1066" s="15">
        <v>0</v>
      </c>
      <c r="AB1066" s="15" t="s">
        <v>35</v>
      </c>
    </row>
    <row r="1067">
      <c r="A1067" s="15">
        <v>1063</v>
      </c>
      <c r="B1067" s="15" t="s">
        <v>87</v>
      </c>
      <c r="C1067" s="15" t="s">
        <v>88</v>
      </c>
      <c r="D1067" s="15" t="s">
        <v>35</v>
      </c>
      <c r="E1067" s="15" t="s">
        <v>35</v>
      </c>
      <c r="F1067" s="15" t="s">
        <v>35</v>
      </c>
      <c r="G1067" s="15" t="s">
        <v>74</v>
      </c>
      <c r="H1067" s="15" t="s">
        <v>6892</v>
      </c>
      <c r="I1067" s="15" t="s">
        <v>6893</v>
      </c>
      <c r="J1067" s="15" t="s">
        <v>6894</v>
      </c>
      <c r="K1067" s="15" t="s">
        <v>888</v>
      </c>
      <c r="L1067" s="15" t="s">
        <v>889</v>
      </c>
      <c r="M1067" s="15" t="s">
        <v>924</v>
      </c>
      <c r="N1067" s="15" t="s">
        <v>925</v>
      </c>
      <c r="O1067" s="15" t="s">
        <v>82</v>
      </c>
      <c r="P1067" s="15" t="s">
        <v>1906</v>
      </c>
      <c r="Q1067" s="15" t="s">
        <v>1907</v>
      </c>
      <c r="R1067" s="16">
        <v>44329</v>
      </c>
      <c r="S1067" s="17" t="s">
        <v>70</v>
      </c>
      <c r="T1067" s="20">
        <f>HYPERLINK("https://vnm.spiral.com.vn//uploaded/20210513/79a4cf56-35c2-41a6-8979-702d711fa4b6.JPEG","14:27:42")</f>
      </c>
      <c r="U1067" s="20">
        <f>HYPERLINK("https://vnm.spiral.com.vn//uploaded/20210513/378ffc58-1b56-4c42-a7e6-2da1eece8702.JPEG","14:56:25")</f>
      </c>
      <c r="V1067" s="18">
        <v>0.01994212962962963</v>
      </c>
      <c r="W1067" s="15" t="s">
        <v>6895</v>
      </c>
      <c r="X1067" s="15" t="s">
        <v>6896</v>
      </c>
      <c r="Y1067" s="15" t="s">
        <v>35</v>
      </c>
      <c r="Z1067" s="19">
        <v>0</v>
      </c>
      <c r="AA1067" s="15">
        <v>0</v>
      </c>
      <c r="AB1067" s="15" t="s">
        <v>35</v>
      </c>
    </row>
    <row r="1068">
      <c r="A1068" s="15">
        <v>1064</v>
      </c>
      <c r="B1068" s="15" t="s">
        <v>103</v>
      </c>
      <c r="C1068" s="15" t="s">
        <v>186</v>
      </c>
      <c r="D1068" s="15" t="s">
        <v>35</v>
      </c>
      <c r="E1068" s="15" t="s">
        <v>35</v>
      </c>
      <c r="F1068" s="15" t="s">
        <v>35</v>
      </c>
      <c r="G1068" s="15" t="s">
        <v>36</v>
      </c>
      <c r="H1068" s="15" t="s">
        <v>6897</v>
      </c>
      <c r="I1068" s="15" t="s">
        <v>6898</v>
      </c>
      <c r="J1068" s="15" t="s">
        <v>6899</v>
      </c>
      <c r="K1068" s="15" t="s">
        <v>40</v>
      </c>
      <c r="L1068" s="15" t="s">
        <v>41</v>
      </c>
      <c r="M1068" s="15" t="s">
        <v>565</v>
      </c>
      <c r="N1068" s="15" t="s">
        <v>566</v>
      </c>
      <c r="O1068" s="15" t="s">
        <v>44</v>
      </c>
      <c r="P1068" s="15" t="s">
        <v>6900</v>
      </c>
      <c r="Q1068" s="15" t="s">
        <v>6901</v>
      </c>
      <c r="R1068" s="16">
        <v>44329</v>
      </c>
      <c r="S1068" s="17" t="s">
        <v>686</v>
      </c>
      <c r="T1068" s="20">
        <f>HYPERLINK("https://vnm.spiral.com.vn//uploaded/20210513/41ee8ae3-ea11-4a7f-8df4-7e3c5c4d62d4.JPEG","14:56:23")</f>
      </c>
      <c r="U1068" s="18"/>
      <c r="V1068" s="18" t="s">
        <v>35</v>
      </c>
      <c r="W1068" s="15" t="s">
        <v>6902</v>
      </c>
      <c r="X1068" s="15" t="s">
        <v>35</v>
      </c>
      <c r="Y1068" s="15" t="s">
        <v>35</v>
      </c>
      <c r="Z1068" s="19">
        <v>0</v>
      </c>
      <c r="AA1068" s="15">
        <v>0</v>
      </c>
      <c r="AB1068" s="15" t="s">
        <v>35</v>
      </c>
    </row>
    <row r="1069">
      <c r="A1069" s="15">
        <v>1065</v>
      </c>
      <c r="B1069" s="15" t="s">
        <v>343</v>
      </c>
      <c r="C1069" s="15" t="s">
        <v>344</v>
      </c>
      <c r="D1069" s="15" t="s">
        <v>35</v>
      </c>
      <c r="E1069" s="15" t="s">
        <v>35</v>
      </c>
      <c r="F1069" s="15" t="s">
        <v>35</v>
      </c>
      <c r="G1069" s="15" t="s">
        <v>74</v>
      </c>
      <c r="H1069" s="15" t="s">
        <v>6903</v>
      </c>
      <c r="I1069" s="15" t="s">
        <v>2040</v>
      </c>
      <c r="J1069" s="15" t="s">
        <v>2041</v>
      </c>
      <c r="K1069" s="15" t="s">
        <v>897</v>
      </c>
      <c r="L1069" s="15" t="s">
        <v>898</v>
      </c>
      <c r="M1069" s="15" t="s">
        <v>899</v>
      </c>
      <c r="N1069" s="15" t="s">
        <v>900</v>
      </c>
      <c r="O1069" s="15" t="s">
        <v>156</v>
      </c>
      <c r="P1069" s="15" t="s">
        <v>6904</v>
      </c>
      <c r="Q1069" s="15" t="s">
        <v>6905</v>
      </c>
      <c r="R1069" s="16">
        <v>44329</v>
      </c>
      <c r="S1069" s="17" t="s">
        <v>3768</v>
      </c>
      <c r="T1069" s="20">
        <f>HYPERLINK("https://vnm.spiral.com.vn//uploaded/20210513/68a7bc48-a87e-4919-9a4a-248af9fee0af.JPEG","05:58:34")</f>
      </c>
      <c r="U1069" s="20">
        <f>HYPERLINK("https://vnm.spiral.com.vn//uploaded/20210513/1d660256-7af3-40d3-93f0-de4b775a5263.JPEG","14:56:23")</f>
      </c>
      <c r="V1069" s="18">
        <v>0.3734837962962963</v>
      </c>
      <c r="W1069" s="15" t="s">
        <v>6906</v>
      </c>
      <c r="X1069" s="15" t="s">
        <v>6907</v>
      </c>
      <c r="Y1069" s="15" t="s">
        <v>35</v>
      </c>
      <c r="Z1069" s="19">
        <v>0</v>
      </c>
      <c r="AA1069" s="15">
        <v>0</v>
      </c>
      <c r="AB1069" s="15" t="s">
        <v>35</v>
      </c>
    </row>
    <row r="1070">
      <c r="A1070" s="15">
        <v>1066</v>
      </c>
      <c r="B1070" s="15" t="s">
        <v>343</v>
      </c>
      <c r="C1070" s="15" t="s">
        <v>344</v>
      </c>
      <c r="D1070" s="15" t="s">
        <v>35</v>
      </c>
      <c r="E1070" s="15" t="s">
        <v>35</v>
      </c>
      <c r="F1070" s="15" t="s">
        <v>35</v>
      </c>
      <c r="G1070" s="15" t="s">
        <v>74</v>
      </c>
      <c r="H1070" s="15" t="s">
        <v>6908</v>
      </c>
      <c r="I1070" s="15" t="s">
        <v>6909</v>
      </c>
      <c r="J1070" s="15" t="s">
        <v>6910</v>
      </c>
      <c r="K1070" s="15" t="s">
        <v>584</v>
      </c>
      <c r="L1070" s="15" t="s">
        <v>585</v>
      </c>
      <c r="M1070" s="15" t="s">
        <v>827</v>
      </c>
      <c r="N1070" s="15" t="s">
        <v>828</v>
      </c>
      <c r="O1070" s="15" t="s">
        <v>82</v>
      </c>
      <c r="P1070" s="15" t="s">
        <v>829</v>
      </c>
      <c r="Q1070" s="15" t="s">
        <v>830</v>
      </c>
      <c r="R1070" s="16">
        <v>44329</v>
      </c>
      <c r="S1070" s="17" t="s">
        <v>70</v>
      </c>
      <c r="T1070" s="20">
        <f>HYPERLINK("https://vnm.spiral.com.vn//uploaded/20210513/d1373771-177a-400c-a5a6-471db94243af.JPEG","12:03:34")</f>
      </c>
      <c r="U1070" s="20">
        <f>HYPERLINK("https://vnm.spiral.com.vn//uploaded/20210513/16b179db-a6f6-434f-8b6c-c3c875e0d361.JPEG","14:56:22")</f>
      </c>
      <c r="V1070" s="18">
        <v>0.12</v>
      </c>
      <c r="W1070" s="15" t="s">
        <v>6911</v>
      </c>
      <c r="X1070" s="15" t="s">
        <v>6912</v>
      </c>
      <c r="Y1070" s="15" t="s">
        <v>35</v>
      </c>
      <c r="Z1070" s="19">
        <v>0</v>
      </c>
      <c r="AA1070" s="15">
        <v>0</v>
      </c>
      <c r="AB1070" s="15" t="s">
        <v>35</v>
      </c>
    </row>
    <row r="1071">
      <c r="A1071" s="15">
        <v>1067</v>
      </c>
      <c r="B1071" s="15" t="s">
        <v>61</v>
      </c>
      <c r="C1071" s="15" t="s">
        <v>712</v>
      </c>
      <c r="D1071" s="15" t="s">
        <v>35</v>
      </c>
      <c r="E1071" s="15" t="s">
        <v>35</v>
      </c>
      <c r="F1071" s="15" t="s">
        <v>35</v>
      </c>
      <c r="G1071" s="15" t="s">
        <v>36</v>
      </c>
      <c r="H1071" s="15" t="s">
        <v>6913</v>
      </c>
      <c r="I1071" s="15" t="s">
        <v>6914</v>
      </c>
      <c r="J1071" s="15" t="s">
        <v>6915</v>
      </c>
      <c r="K1071" s="15" t="s">
        <v>40</v>
      </c>
      <c r="L1071" s="15" t="s">
        <v>41</v>
      </c>
      <c r="M1071" s="15" t="s">
        <v>205</v>
      </c>
      <c r="N1071" s="15" t="s">
        <v>206</v>
      </c>
      <c r="O1071" s="15" t="s">
        <v>44</v>
      </c>
      <c r="P1071" s="15" t="s">
        <v>6916</v>
      </c>
      <c r="Q1071" s="15" t="s">
        <v>6917</v>
      </c>
      <c r="R1071" s="16">
        <v>44329</v>
      </c>
      <c r="S1071" s="17" t="s">
        <v>686</v>
      </c>
      <c r="T1071" s="20">
        <f>HYPERLINK("https://vnm.spiral.com.vn//uploaded/20210513/9CDC00FF-AC2A-4D59-A2C4-F16747C2398C.jpg","14:56:17")</f>
      </c>
      <c r="U1071" s="18"/>
      <c r="V1071" s="18" t="s">
        <v>35</v>
      </c>
      <c r="W1071" s="15" t="s">
        <v>6918</v>
      </c>
      <c r="X1071" s="15" t="s">
        <v>35</v>
      </c>
      <c r="Y1071" s="15" t="s">
        <v>35</v>
      </c>
      <c r="Z1071" s="19">
        <v>0</v>
      </c>
      <c r="AA1071" s="15">
        <v>0</v>
      </c>
      <c r="AB1071" s="15" t="s">
        <v>35</v>
      </c>
    </row>
    <row r="1072">
      <c r="A1072" s="15">
        <v>1068</v>
      </c>
      <c r="B1072" s="15" t="s">
        <v>61</v>
      </c>
      <c r="C1072" s="15" t="s">
        <v>320</v>
      </c>
      <c r="D1072" s="15" t="s">
        <v>35</v>
      </c>
      <c r="E1072" s="15" t="s">
        <v>35</v>
      </c>
      <c r="F1072" s="15" t="s">
        <v>35</v>
      </c>
      <c r="G1072" s="15" t="s">
        <v>36</v>
      </c>
      <c r="H1072" s="15" t="s">
        <v>6919</v>
      </c>
      <c r="I1072" s="15" t="s">
        <v>6920</v>
      </c>
      <c r="J1072" s="15" t="s">
        <v>6921</v>
      </c>
      <c r="K1072" s="15" t="s">
        <v>40</v>
      </c>
      <c r="L1072" s="15" t="s">
        <v>41</v>
      </c>
      <c r="M1072" s="15" t="s">
        <v>205</v>
      </c>
      <c r="N1072" s="15" t="s">
        <v>206</v>
      </c>
      <c r="O1072" s="15" t="s">
        <v>44</v>
      </c>
      <c r="P1072" s="15" t="s">
        <v>6922</v>
      </c>
      <c r="Q1072" s="15" t="s">
        <v>6923</v>
      </c>
      <c r="R1072" s="16">
        <v>44329</v>
      </c>
      <c r="S1072" s="17" t="s">
        <v>686</v>
      </c>
      <c r="T1072" s="20">
        <f>HYPERLINK("https://vnm.spiral.com.vn//uploaded/20210513/d4e4c3fb-8cef-4155-901e-2cb9f40dd8f6.JPEG","14:56:13")</f>
      </c>
      <c r="U1072" s="18"/>
      <c r="V1072" s="18" t="s">
        <v>35</v>
      </c>
      <c r="W1072" s="15" t="s">
        <v>6924</v>
      </c>
      <c r="X1072" s="15" t="s">
        <v>35</v>
      </c>
      <c r="Y1072" s="15" t="s">
        <v>35</v>
      </c>
      <c r="Z1072" s="19">
        <v>0</v>
      </c>
      <c r="AA1072" s="15">
        <v>0</v>
      </c>
      <c r="AB1072" s="15" t="s">
        <v>35</v>
      </c>
    </row>
    <row r="1073">
      <c r="A1073" s="15">
        <v>1069</v>
      </c>
      <c r="B1073" s="15" t="s">
        <v>103</v>
      </c>
      <c r="C1073" s="15" t="s">
        <v>186</v>
      </c>
      <c r="D1073" s="15" t="s">
        <v>35</v>
      </c>
      <c r="E1073" s="15" t="s">
        <v>35</v>
      </c>
      <c r="F1073" s="15" t="s">
        <v>35</v>
      </c>
      <c r="G1073" s="15" t="s">
        <v>36</v>
      </c>
      <c r="H1073" s="15" t="s">
        <v>6925</v>
      </c>
      <c r="I1073" s="15" t="s">
        <v>6926</v>
      </c>
      <c r="J1073" s="15" t="s">
        <v>6927</v>
      </c>
      <c r="K1073" s="15" t="s">
        <v>40</v>
      </c>
      <c r="L1073" s="15" t="s">
        <v>41</v>
      </c>
      <c r="M1073" s="15" t="s">
        <v>565</v>
      </c>
      <c r="N1073" s="15" t="s">
        <v>566</v>
      </c>
      <c r="O1073" s="15" t="s">
        <v>44</v>
      </c>
      <c r="P1073" s="15" t="s">
        <v>6928</v>
      </c>
      <c r="Q1073" s="15" t="s">
        <v>6929</v>
      </c>
      <c r="R1073" s="16">
        <v>44329</v>
      </c>
      <c r="S1073" s="17" t="s">
        <v>686</v>
      </c>
      <c r="T1073" s="20">
        <f>HYPERLINK("https://vnm.spiral.com.vn//uploaded/20210513/7B13BB03-803C-4EF3-A8E2-AB93A4875EE3.jpg","14:55:53")</f>
      </c>
      <c r="U1073" s="18"/>
      <c r="V1073" s="18" t="s">
        <v>35</v>
      </c>
      <c r="W1073" s="15" t="s">
        <v>6930</v>
      </c>
      <c r="X1073" s="15" t="s">
        <v>35</v>
      </c>
      <c r="Y1073" s="15" t="s">
        <v>35</v>
      </c>
      <c r="Z1073" s="19">
        <v>0</v>
      </c>
      <c r="AA1073" s="15">
        <v>0</v>
      </c>
      <c r="AB1073" s="15" t="s">
        <v>35</v>
      </c>
    </row>
    <row r="1074">
      <c r="A1074" s="15">
        <v>1070</v>
      </c>
      <c r="B1074" s="15" t="s">
        <v>61</v>
      </c>
      <c r="C1074" s="15" t="s">
        <v>398</v>
      </c>
      <c r="D1074" s="15" t="s">
        <v>35</v>
      </c>
      <c r="E1074" s="15" t="s">
        <v>35</v>
      </c>
      <c r="F1074" s="15" t="s">
        <v>35</v>
      </c>
      <c r="G1074" s="15" t="s">
        <v>36</v>
      </c>
      <c r="H1074" s="15" t="s">
        <v>6931</v>
      </c>
      <c r="I1074" s="15" t="s">
        <v>6932</v>
      </c>
      <c r="J1074" s="15" t="s">
        <v>6933</v>
      </c>
      <c r="K1074" s="15" t="s">
        <v>40</v>
      </c>
      <c r="L1074" s="15" t="s">
        <v>41</v>
      </c>
      <c r="M1074" s="15" t="s">
        <v>66</v>
      </c>
      <c r="N1074" s="15" t="s">
        <v>67</v>
      </c>
      <c r="O1074" s="15" t="s">
        <v>44</v>
      </c>
      <c r="P1074" s="15" t="s">
        <v>6934</v>
      </c>
      <c r="Q1074" s="15" t="s">
        <v>6935</v>
      </c>
      <c r="R1074" s="16">
        <v>44329</v>
      </c>
      <c r="S1074" s="17" t="s">
        <v>5993</v>
      </c>
      <c r="T1074" s="20">
        <f>HYPERLINK("https://vnm.spiral.com.vn//uploaded/20210513/95242e49-69f2-42e8-9cd0-c10e76c13d5b.JPEG","14:55:51")</f>
      </c>
      <c r="U1074" s="18"/>
      <c r="V1074" s="18" t="s">
        <v>35</v>
      </c>
      <c r="W1074" s="15" t="s">
        <v>6936</v>
      </c>
      <c r="X1074" s="15" t="s">
        <v>35</v>
      </c>
      <c r="Y1074" s="15" t="s">
        <v>35</v>
      </c>
      <c r="Z1074" s="19">
        <v>0</v>
      </c>
      <c r="AA1074" s="15">
        <v>0</v>
      </c>
      <c r="AB1074" s="15" t="s">
        <v>35</v>
      </c>
    </row>
    <row r="1075">
      <c r="A1075" s="15">
        <v>1071</v>
      </c>
      <c r="B1075" s="15" t="s">
        <v>61</v>
      </c>
      <c r="C1075" s="15" t="s">
        <v>147</v>
      </c>
      <c r="D1075" s="15" t="s">
        <v>35</v>
      </c>
      <c r="E1075" s="15" t="s">
        <v>35</v>
      </c>
      <c r="F1075" s="15" t="s">
        <v>35</v>
      </c>
      <c r="G1075" s="15" t="s">
        <v>36</v>
      </c>
      <c r="H1075" s="15" t="s">
        <v>6937</v>
      </c>
      <c r="I1075" s="15" t="s">
        <v>6938</v>
      </c>
      <c r="J1075" s="15" t="s">
        <v>6939</v>
      </c>
      <c r="K1075" s="15" t="s">
        <v>40</v>
      </c>
      <c r="L1075" s="15" t="s">
        <v>41</v>
      </c>
      <c r="M1075" s="15" t="s">
        <v>66</v>
      </c>
      <c r="N1075" s="15" t="s">
        <v>67</v>
      </c>
      <c r="O1075" s="15" t="s">
        <v>44</v>
      </c>
      <c r="P1075" s="15" t="s">
        <v>6940</v>
      </c>
      <c r="Q1075" s="15" t="s">
        <v>6941</v>
      </c>
      <c r="R1075" s="16">
        <v>44329</v>
      </c>
      <c r="S1075" s="17" t="s">
        <v>5993</v>
      </c>
      <c r="T1075" s="20">
        <f>HYPERLINK("https://vnm.spiral.com.vn//uploaded/20210513/2bdd8e69-4042-4f81-bda6-86fc67dfa4aa.JPEG","14:55:45")</f>
      </c>
      <c r="U1075" s="18"/>
      <c r="V1075" s="18" t="s">
        <v>35</v>
      </c>
      <c r="W1075" s="15" t="s">
        <v>6942</v>
      </c>
      <c r="X1075" s="15" t="s">
        <v>35</v>
      </c>
      <c r="Y1075" s="15" t="s">
        <v>35</v>
      </c>
      <c r="Z1075" s="19">
        <v>0</v>
      </c>
      <c r="AA1075" s="15">
        <v>0</v>
      </c>
      <c r="AB1075" s="15" t="s">
        <v>35</v>
      </c>
    </row>
    <row r="1076">
      <c r="A1076" s="15">
        <v>1072</v>
      </c>
      <c r="B1076" s="15" t="s">
        <v>343</v>
      </c>
      <c r="C1076" s="15" t="s">
        <v>344</v>
      </c>
      <c r="D1076" s="15" t="s">
        <v>35</v>
      </c>
      <c r="E1076" s="15" t="s">
        <v>35</v>
      </c>
      <c r="F1076" s="15" t="s">
        <v>35</v>
      </c>
      <c r="G1076" s="15" t="s">
        <v>36</v>
      </c>
      <c r="H1076" s="15" t="s">
        <v>6943</v>
      </c>
      <c r="I1076" s="15" t="s">
        <v>6944</v>
      </c>
      <c r="J1076" s="15" t="s">
        <v>6945</v>
      </c>
      <c r="K1076" s="15" t="s">
        <v>40</v>
      </c>
      <c r="L1076" s="15" t="s">
        <v>41</v>
      </c>
      <c r="M1076" s="15" t="s">
        <v>595</v>
      </c>
      <c r="N1076" s="15" t="s">
        <v>596</v>
      </c>
      <c r="O1076" s="15" t="s">
        <v>44</v>
      </c>
      <c r="P1076" s="15" t="s">
        <v>6946</v>
      </c>
      <c r="Q1076" s="15" t="s">
        <v>6947</v>
      </c>
      <c r="R1076" s="16">
        <v>44329</v>
      </c>
      <c r="S1076" s="17" t="s">
        <v>686</v>
      </c>
      <c r="T1076" s="20">
        <f>HYPERLINK("https://vnm.spiral.com.vn//uploaded/20210513/3121DDA6-1821-47BE-A303-591EA618B9AC.jpg","14:55:42")</f>
      </c>
      <c r="U1076" s="18"/>
      <c r="V1076" s="18" t="s">
        <v>35</v>
      </c>
      <c r="W1076" s="15" t="s">
        <v>6948</v>
      </c>
      <c r="X1076" s="15" t="s">
        <v>35</v>
      </c>
      <c r="Y1076" s="15" t="s">
        <v>35</v>
      </c>
      <c r="Z1076" s="19">
        <v>0</v>
      </c>
      <c r="AA1076" s="15">
        <v>0</v>
      </c>
      <c r="AB1076" s="15" t="s">
        <v>35</v>
      </c>
    </row>
    <row r="1077">
      <c r="A1077" s="15">
        <v>1073</v>
      </c>
      <c r="B1077" s="15" t="s">
        <v>103</v>
      </c>
      <c r="C1077" s="15" t="s">
        <v>186</v>
      </c>
      <c r="D1077" s="15" t="s">
        <v>432</v>
      </c>
      <c r="E1077" s="15" t="s">
        <v>116</v>
      </c>
      <c r="F1077" s="15" t="s">
        <v>35</v>
      </c>
      <c r="G1077" s="15" t="s">
        <v>74</v>
      </c>
      <c r="H1077" s="15" t="s">
        <v>6949</v>
      </c>
      <c r="I1077" s="15" t="s">
        <v>6950</v>
      </c>
      <c r="J1077" s="15" t="s">
        <v>6951</v>
      </c>
      <c r="K1077" s="15" t="s">
        <v>436</v>
      </c>
      <c r="L1077" s="15" t="s">
        <v>437</v>
      </c>
      <c r="M1077" s="15" t="s">
        <v>438</v>
      </c>
      <c r="N1077" s="15" t="s">
        <v>439</v>
      </c>
      <c r="O1077" s="15" t="s">
        <v>82</v>
      </c>
      <c r="P1077" s="15" t="s">
        <v>1886</v>
      </c>
      <c r="Q1077" s="15" t="s">
        <v>1887</v>
      </c>
      <c r="R1077" s="16">
        <v>44329</v>
      </c>
      <c r="S1077" s="17" t="s">
        <v>70</v>
      </c>
      <c r="T1077" s="20">
        <f>HYPERLINK("https://vnm.spiral.com.vn//uploaded/20210513/7a26a89d-ca47-4c97-b89b-a2ff40fd1d4f.JPEG","14:21:15")</f>
      </c>
      <c r="U1077" s="20">
        <f>HYPERLINK("https://vnm.spiral.com.vn//uploaded/20210513/4853cc91-e1ed-4341-a0aa-3530e50ef2fa.JPEG","14:55:39")</f>
      </c>
      <c r="V1077" s="18">
        <v>0.02388888888888889</v>
      </c>
      <c r="W1077" s="15" t="s">
        <v>6952</v>
      </c>
      <c r="X1077" s="15" t="s">
        <v>6953</v>
      </c>
      <c r="Y1077" s="15" t="s">
        <v>35</v>
      </c>
      <c r="Z1077" s="19">
        <v>0</v>
      </c>
      <c r="AA1077" s="15">
        <v>0</v>
      </c>
      <c r="AB1077" s="15" t="s">
        <v>35</v>
      </c>
    </row>
    <row r="1078">
      <c r="A1078" s="15">
        <v>1074</v>
      </c>
      <c r="B1078" s="15" t="s">
        <v>343</v>
      </c>
      <c r="C1078" s="15" t="s">
        <v>344</v>
      </c>
      <c r="D1078" s="15" t="s">
        <v>432</v>
      </c>
      <c r="E1078" s="15" t="s">
        <v>116</v>
      </c>
      <c r="F1078" s="15" t="s">
        <v>35</v>
      </c>
      <c r="G1078" s="15" t="s">
        <v>74</v>
      </c>
      <c r="H1078" s="15" t="s">
        <v>6954</v>
      </c>
      <c r="I1078" s="15" t="s">
        <v>6955</v>
      </c>
      <c r="J1078" s="15" t="s">
        <v>6956</v>
      </c>
      <c r="K1078" s="15" t="s">
        <v>512</v>
      </c>
      <c r="L1078" s="15" t="s">
        <v>513</v>
      </c>
      <c r="M1078" s="15" t="s">
        <v>514</v>
      </c>
      <c r="N1078" s="15" t="s">
        <v>515</v>
      </c>
      <c r="O1078" s="15" t="s">
        <v>82</v>
      </c>
      <c r="P1078" s="15" t="s">
        <v>1047</v>
      </c>
      <c r="Q1078" s="15" t="s">
        <v>1048</v>
      </c>
      <c r="R1078" s="16">
        <v>44329</v>
      </c>
      <c r="S1078" s="17" t="s">
        <v>70</v>
      </c>
      <c r="T1078" s="20">
        <f>HYPERLINK("https://vnm.spiral.com.vn//uploaded/20210513/b69e2fe3-0083-4b10-9e7a-a2c408f0effb.JPEG","14:02:00")</f>
      </c>
      <c r="U1078" s="20">
        <f>HYPERLINK("https://vnm.spiral.com.vn//uploaded/20210513/6296f665-0898-4747-910f-b49dfff80716.JPEG","14:55:37")</f>
      </c>
      <c r="V1078" s="18">
        <v>0.0372337962962963</v>
      </c>
      <c r="W1078" s="15" t="s">
        <v>6957</v>
      </c>
      <c r="X1078" s="15" t="s">
        <v>6958</v>
      </c>
      <c r="Y1078" s="15" t="s">
        <v>35</v>
      </c>
      <c r="Z1078" s="19">
        <v>0</v>
      </c>
      <c r="AA1078" s="15">
        <v>0</v>
      </c>
      <c r="AB1078" s="15" t="s">
        <v>35</v>
      </c>
    </row>
    <row r="1079">
      <c r="A1079" s="15">
        <v>1075</v>
      </c>
      <c r="B1079" s="15" t="s">
        <v>103</v>
      </c>
      <c r="C1079" s="15" t="s">
        <v>1078</v>
      </c>
      <c r="D1079" s="15" t="s">
        <v>432</v>
      </c>
      <c r="E1079" s="15" t="s">
        <v>116</v>
      </c>
      <c r="F1079" s="15" t="s">
        <v>35</v>
      </c>
      <c r="G1079" s="15" t="s">
        <v>74</v>
      </c>
      <c r="H1079" s="15" t="s">
        <v>6959</v>
      </c>
      <c r="I1079" s="15" t="s">
        <v>6960</v>
      </c>
      <c r="J1079" s="15" t="s">
        <v>6961</v>
      </c>
      <c r="K1079" s="15" t="s">
        <v>436</v>
      </c>
      <c r="L1079" s="15" t="s">
        <v>437</v>
      </c>
      <c r="M1079" s="15" t="s">
        <v>438</v>
      </c>
      <c r="N1079" s="15" t="s">
        <v>439</v>
      </c>
      <c r="O1079" s="15" t="s">
        <v>82</v>
      </c>
      <c r="P1079" s="15" t="s">
        <v>1082</v>
      </c>
      <c r="Q1079" s="15" t="s">
        <v>1083</v>
      </c>
      <c r="R1079" s="16">
        <v>44329</v>
      </c>
      <c r="S1079" s="17" t="s">
        <v>70</v>
      </c>
      <c r="T1079" s="20">
        <f>HYPERLINK("https://vnm.spiral.com.vn//uploaded/20210513/3FA87B65-D17B-4CAA-BE56-96CFFCBEC235.jpg","14:20:22")</f>
      </c>
      <c r="U1079" s="20">
        <f>HYPERLINK("https://vnm.spiral.com.vn//uploaded/20210513/781B5854-3D66-416D-887C-E130B08FE7C3.jpg","14:55:32")</f>
      </c>
      <c r="V1079" s="18">
        <v>0.024421296296296295</v>
      </c>
      <c r="W1079" s="15" t="s">
        <v>6962</v>
      </c>
      <c r="X1079" s="15" t="s">
        <v>6963</v>
      </c>
      <c r="Y1079" s="15" t="s">
        <v>35</v>
      </c>
      <c r="Z1079" s="19">
        <v>0</v>
      </c>
      <c r="AA1079" s="15">
        <v>0</v>
      </c>
      <c r="AB1079" s="15" t="s">
        <v>35</v>
      </c>
    </row>
    <row r="1080">
      <c r="A1080" s="15">
        <v>1076</v>
      </c>
      <c r="B1080" s="15" t="s">
        <v>49</v>
      </c>
      <c r="C1080" s="15" t="s">
        <v>756</v>
      </c>
      <c r="D1080" s="15" t="s">
        <v>35</v>
      </c>
      <c r="E1080" s="15" t="s">
        <v>35</v>
      </c>
      <c r="F1080" s="15" t="s">
        <v>6964</v>
      </c>
      <c r="G1080" s="15" t="s">
        <v>36</v>
      </c>
      <c r="H1080" s="15" t="s">
        <v>6965</v>
      </c>
      <c r="I1080" s="15" t="s">
        <v>6966</v>
      </c>
      <c r="J1080" s="15" t="s">
        <v>6967</v>
      </c>
      <c r="K1080" s="15" t="s">
        <v>40</v>
      </c>
      <c r="L1080" s="15" t="s">
        <v>41</v>
      </c>
      <c r="M1080" s="15" t="s">
        <v>55</v>
      </c>
      <c r="N1080" s="15" t="s">
        <v>56</v>
      </c>
      <c r="O1080" s="15" t="s">
        <v>44</v>
      </c>
      <c r="P1080" s="15" t="s">
        <v>6968</v>
      </c>
      <c r="Q1080" s="15" t="s">
        <v>6969</v>
      </c>
      <c r="R1080" s="16">
        <v>44329</v>
      </c>
      <c r="S1080" s="17" t="s">
        <v>686</v>
      </c>
      <c r="T1080" s="20">
        <f>HYPERLINK("https://vnm.spiral.com.vn//uploaded/20210513/2c15c071-c714-43a6-9e99-8c8c23261908.JPEG","14:55:29")</f>
      </c>
      <c r="U1080" s="18"/>
      <c r="V1080" s="18" t="s">
        <v>35</v>
      </c>
      <c r="W1080" s="15" t="s">
        <v>6970</v>
      </c>
      <c r="X1080" s="15" t="s">
        <v>35</v>
      </c>
      <c r="Y1080" s="15" t="s">
        <v>35</v>
      </c>
      <c r="Z1080" s="19">
        <v>0</v>
      </c>
      <c r="AA1080" s="15">
        <v>0</v>
      </c>
      <c r="AB1080" s="15" t="s">
        <v>35</v>
      </c>
    </row>
    <row r="1081">
      <c r="A1081" s="15">
        <v>1077</v>
      </c>
      <c r="B1081" s="15" t="s">
        <v>49</v>
      </c>
      <c r="C1081" s="15" t="s">
        <v>369</v>
      </c>
      <c r="D1081" s="15" t="s">
        <v>135</v>
      </c>
      <c r="E1081" s="15" t="s">
        <v>116</v>
      </c>
      <c r="F1081" s="15" t="s">
        <v>35</v>
      </c>
      <c r="G1081" s="15" t="s">
        <v>74</v>
      </c>
      <c r="H1081" s="15" t="s">
        <v>6971</v>
      </c>
      <c r="I1081" s="15" t="s">
        <v>6972</v>
      </c>
      <c r="J1081" s="15" t="s">
        <v>6973</v>
      </c>
      <c r="K1081" s="15" t="s">
        <v>168</v>
      </c>
      <c r="L1081" s="15" t="s">
        <v>169</v>
      </c>
      <c r="M1081" s="15" t="s">
        <v>383</v>
      </c>
      <c r="N1081" s="15" t="s">
        <v>384</v>
      </c>
      <c r="O1081" s="15" t="s">
        <v>82</v>
      </c>
      <c r="P1081" s="15" t="s">
        <v>1008</v>
      </c>
      <c r="Q1081" s="15" t="s">
        <v>1009</v>
      </c>
      <c r="R1081" s="16">
        <v>44329</v>
      </c>
      <c r="S1081" s="17" t="s">
        <v>70</v>
      </c>
      <c r="T1081" s="20">
        <f>HYPERLINK("https://vnm.spiral.com.vn//uploaded/20210513/A6356885-FAFB-4C2A-B2E4-1AF8DEB62146.jpg","12:49:58")</f>
      </c>
      <c r="U1081" s="20">
        <f>HYPERLINK("https://vnm.spiral.com.vn//uploaded/20210513/CB0B4149-AEE9-4329-8BCC-DFC2B42110B4.jpg","14:55:28")</f>
      </c>
      <c r="V1081" s="18">
        <v>0.08715277777777777</v>
      </c>
      <c r="W1081" s="15" t="s">
        <v>6974</v>
      </c>
      <c r="X1081" s="15" t="s">
        <v>6975</v>
      </c>
      <c r="Y1081" s="15" t="s">
        <v>35</v>
      </c>
      <c r="Z1081" s="19">
        <v>0</v>
      </c>
      <c r="AA1081" s="15">
        <v>0</v>
      </c>
      <c r="AB1081" s="15" t="s">
        <v>35</v>
      </c>
    </row>
    <row r="1082">
      <c r="A1082" s="15">
        <v>1078</v>
      </c>
      <c r="B1082" s="15" t="s">
        <v>87</v>
      </c>
      <c r="C1082" s="15" t="s">
        <v>88</v>
      </c>
      <c r="D1082" s="15" t="s">
        <v>74</v>
      </c>
      <c r="E1082" s="15" t="s">
        <v>90</v>
      </c>
      <c r="F1082" s="15" t="s">
        <v>35</v>
      </c>
      <c r="G1082" s="15" t="s">
        <v>74</v>
      </c>
      <c r="H1082" s="15" t="s">
        <v>6976</v>
      </c>
      <c r="I1082" s="15" t="s">
        <v>6977</v>
      </c>
      <c r="J1082" s="15" t="s">
        <v>6978</v>
      </c>
      <c r="K1082" s="15" t="s">
        <v>190</v>
      </c>
      <c r="L1082" s="15" t="s">
        <v>191</v>
      </c>
      <c r="M1082" s="15" t="s">
        <v>1031</v>
      </c>
      <c r="N1082" s="15" t="s">
        <v>1032</v>
      </c>
      <c r="O1082" s="15" t="s">
        <v>82</v>
      </c>
      <c r="P1082" s="15" t="s">
        <v>2961</v>
      </c>
      <c r="Q1082" s="15" t="s">
        <v>2962</v>
      </c>
      <c r="R1082" s="16">
        <v>44329</v>
      </c>
      <c r="S1082" s="17" t="s">
        <v>70</v>
      </c>
      <c r="T1082" s="20">
        <f>HYPERLINK("https://vnm.spiral.com.vn//uploaded/20210513/BA54B296-5E03-48F2-AC2C-D30A7E6A4528.jpg","11:33:00")</f>
      </c>
      <c r="U1082" s="20">
        <f>HYPERLINK("https://vnm.spiral.com.vn//uploaded/20210513/5A92B309-6813-415B-A35F-7E73666982FB.jpg","14:55:27")</f>
      </c>
      <c r="V1082" s="18">
        <v>0.14059027777777777</v>
      </c>
      <c r="W1082" s="15" t="s">
        <v>6979</v>
      </c>
      <c r="X1082" s="15" t="s">
        <v>6980</v>
      </c>
      <c r="Y1082" s="15" t="s">
        <v>35</v>
      </c>
      <c r="Z1082" s="19">
        <v>0</v>
      </c>
      <c r="AA1082" s="15">
        <v>0</v>
      </c>
      <c r="AB1082" s="15" t="s">
        <v>35</v>
      </c>
    </row>
    <row r="1083">
      <c r="A1083" s="15">
        <v>1079</v>
      </c>
      <c r="B1083" s="15" t="s">
        <v>103</v>
      </c>
      <c r="C1083" s="15" t="s">
        <v>186</v>
      </c>
      <c r="D1083" s="15" t="s">
        <v>35</v>
      </c>
      <c r="E1083" s="15" t="s">
        <v>35</v>
      </c>
      <c r="F1083" s="15" t="s">
        <v>4402</v>
      </c>
      <c r="G1083" s="15" t="s">
        <v>36</v>
      </c>
      <c r="H1083" s="15" t="s">
        <v>6981</v>
      </c>
      <c r="I1083" s="15" t="s">
        <v>203</v>
      </c>
      <c r="J1083" s="15" t="s">
        <v>6982</v>
      </c>
      <c r="K1083" s="15" t="s">
        <v>40</v>
      </c>
      <c r="L1083" s="15" t="s">
        <v>41</v>
      </c>
      <c r="M1083" s="15" t="s">
        <v>565</v>
      </c>
      <c r="N1083" s="15" t="s">
        <v>566</v>
      </c>
      <c r="O1083" s="15" t="s">
        <v>44</v>
      </c>
      <c r="P1083" s="15" t="s">
        <v>6983</v>
      </c>
      <c r="Q1083" s="15" t="s">
        <v>6984</v>
      </c>
      <c r="R1083" s="16">
        <v>44329</v>
      </c>
      <c r="S1083" s="17" t="s">
        <v>686</v>
      </c>
      <c r="T1083" s="20">
        <f>HYPERLINK("https://vnm.spiral.com.vn//uploaded/20210513/f6af9a0a-8556-4d1b-99e6-5c220291ab6c.JPEG","14:55:21")</f>
      </c>
      <c r="U1083" s="18"/>
      <c r="V1083" s="18" t="s">
        <v>35</v>
      </c>
      <c r="W1083" s="15" t="s">
        <v>6985</v>
      </c>
      <c r="X1083" s="15" t="s">
        <v>35</v>
      </c>
      <c r="Y1083" s="15" t="s">
        <v>35</v>
      </c>
      <c r="Z1083" s="19">
        <v>0</v>
      </c>
      <c r="AA1083" s="15">
        <v>0</v>
      </c>
      <c r="AB1083" s="15" t="s">
        <v>35</v>
      </c>
    </row>
    <row r="1084">
      <c r="A1084" s="15">
        <v>1080</v>
      </c>
      <c r="B1084" s="15" t="s">
        <v>246</v>
      </c>
      <c r="C1084" s="15" t="s">
        <v>782</v>
      </c>
      <c r="D1084" s="15" t="s">
        <v>432</v>
      </c>
      <c r="E1084" s="15" t="s">
        <v>116</v>
      </c>
      <c r="F1084" s="15" t="s">
        <v>35</v>
      </c>
      <c r="G1084" s="15" t="s">
        <v>74</v>
      </c>
      <c r="H1084" s="15" t="s">
        <v>6986</v>
      </c>
      <c r="I1084" s="15" t="s">
        <v>6987</v>
      </c>
      <c r="J1084" s="15" t="s">
        <v>6988</v>
      </c>
      <c r="K1084" s="15" t="s">
        <v>263</v>
      </c>
      <c r="L1084" s="15" t="s">
        <v>264</v>
      </c>
      <c r="M1084" s="15" t="s">
        <v>280</v>
      </c>
      <c r="N1084" s="15" t="s">
        <v>281</v>
      </c>
      <c r="O1084" s="15" t="s">
        <v>156</v>
      </c>
      <c r="P1084" s="15" t="s">
        <v>5056</v>
      </c>
      <c r="Q1084" s="15" t="s">
        <v>5057</v>
      </c>
      <c r="R1084" s="16">
        <v>44329</v>
      </c>
      <c r="S1084" s="17" t="s">
        <v>5058</v>
      </c>
      <c r="T1084" s="20">
        <f>HYPERLINK("https://vnm.spiral.com.vn//uploaded/20210513/91A4DC1E-AA9A-4DB9-86BD-AB010DC986F8.jpg","14:40:14")</f>
      </c>
      <c r="U1084" s="20">
        <f>HYPERLINK("https://vnm.spiral.com.vn//uploaded/20210513/78964099-C188-4625-AD14-9ECD85374102.jpg","14:55:03")</f>
      </c>
      <c r="V1084" s="18">
        <v>0.010289351851851852</v>
      </c>
      <c r="W1084" s="15" t="s">
        <v>6989</v>
      </c>
      <c r="X1084" s="15" t="s">
        <v>6990</v>
      </c>
      <c r="Y1084" s="15" t="s">
        <v>35</v>
      </c>
      <c r="Z1084" s="19">
        <v>0</v>
      </c>
      <c r="AA1084" s="15">
        <v>0</v>
      </c>
      <c r="AB1084" s="15" t="s">
        <v>35</v>
      </c>
    </row>
    <row r="1085">
      <c r="A1085" s="15">
        <v>1081</v>
      </c>
      <c r="B1085" s="15" t="s">
        <v>61</v>
      </c>
      <c r="C1085" s="15" t="s">
        <v>442</v>
      </c>
      <c r="D1085" s="15" t="s">
        <v>135</v>
      </c>
      <c r="E1085" s="15" t="s">
        <v>116</v>
      </c>
      <c r="F1085" s="15" t="s">
        <v>35</v>
      </c>
      <c r="G1085" s="15" t="s">
        <v>74</v>
      </c>
      <c r="H1085" s="15" t="s">
        <v>6991</v>
      </c>
      <c r="I1085" s="15" t="s">
        <v>6992</v>
      </c>
      <c r="J1085" s="15" t="s">
        <v>6993</v>
      </c>
      <c r="K1085" s="15" t="s">
        <v>152</v>
      </c>
      <c r="L1085" s="15" t="s">
        <v>153</v>
      </c>
      <c r="M1085" s="15" t="s">
        <v>232</v>
      </c>
      <c r="N1085" s="15" t="s">
        <v>233</v>
      </c>
      <c r="O1085" s="15" t="s">
        <v>82</v>
      </c>
      <c r="P1085" s="15" t="s">
        <v>446</v>
      </c>
      <c r="Q1085" s="15" t="s">
        <v>447</v>
      </c>
      <c r="R1085" s="16">
        <v>44329</v>
      </c>
      <c r="S1085" s="17" t="s">
        <v>70</v>
      </c>
      <c r="T1085" s="20">
        <f>HYPERLINK("https://vnm.spiral.com.vn//uploaded/20210513/96dd4c34-d4cc-4d34-bb54-0e65d9d1f1ec.JPEG","14:39:24")</f>
      </c>
      <c r="U1085" s="20">
        <f>HYPERLINK("https://vnm.spiral.com.vn//uploaded/20210513/397e4abf-c65f-4055-9813-0cb03cc3e57b.JPEG","14:54:54")</f>
      </c>
      <c r="V1085" s="18">
        <v>0.010763888888888889</v>
      </c>
      <c r="W1085" s="15" t="s">
        <v>6994</v>
      </c>
      <c r="X1085" s="15" t="s">
        <v>6995</v>
      </c>
      <c r="Y1085" s="15" t="s">
        <v>35</v>
      </c>
      <c r="Z1085" s="19">
        <v>0</v>
      </c>
      <c r="AA1085" s="15">
        <v>0</v>
      </c>
      <c r="AB1085" s="15" t="s">
        <v>35</v>
      </c>
    </row>
    <row r="1086">
      <c r="A1086" s="15">
        <v>1082</v>
      </c>
      <c r="B1086" s="15" t="s">
        <v>33</v>
      </c>
      <c r="C1086" s="15" t="s">
        <v>492</v>
      </c>
      <c r="D1086" s="15" t="s">
        <v>5711</v>
      </c>
      <c r="E1086" s="15" t="s">
        <v>35</v>
      </c>
      <c r="F1086" s="15" t="s">
        <v>35</v>
      </c>
      <c r="G1086" s="15" t="s">
        <v>74</v>
      </c>
      <c r="H1086" s="15" t="s">
        <v>5712</v>
      </c>
      <c r="I1086" s="15" t="s">
        <v>5713</v>
      </c>
      <c r="J1086" s="15" t="s">
        <v>5714</v>
      </c>
      <c r="K1086" s="15" t="s">
        <v>540</v>
      </c>
      <c r="L1086" s="15" t="s">
        <v>541</v>
      </c>
      <c r="M1086" s="15" t="s">
        <v>78</v>
      </c>
      <c r="N1086" s="15" t="s">
        <v>79</v>
      </c>
      <c r="O1086" s="15" t="s">
        <v>156</v>
      </c>
      <c r="P1086" s="15" t="s">
        <v>6996</v>
      </c>
      <c r="Q1086" s="15" t="s">
        <v>4704</v>
      </c>
      <c r="R1086" s="16">
        <v>44329</v>
      </c>
      <c r="S1086" s="17" t="s">
        <v>293</v>
      </c>
      <c r="T1086" s="20">
        <f>HYPERLINK("https://vnm.spiral.com.vn//uploaded/20210513/7EC73FA9-0636-4834-B4BB-9F96429CADC9.jpg","06:56:01")</f>
      </c>
      <c r="U1086" s="20">
        <f>HYPERLINK("https://vnm.spiral.com.vn//uploaded/20210513/1B7033A1-9E38-49C3-83BF-8784F3943735.jpg","14:54:54")</f>
      </c>
      <c r="V1086" s="18">
        <v>0.3325578703703704</v>
      </c>
      <c r="W1086" s="15" t="s">
        <v>6997</v>
      </c>
      <c r="X1086" s="15" t="s">
        <v>6998</v>
      </c>
      <c r="Y1086" s="15" t="s">
        <v>35</v>
      </c>
      <c r="Z1086" s="19">
        <v>0</v>
      </c>
      <c r="AA1086" s="15">
        <v>0</v>
      </c>
      <c r="AB1086" s="15" t="s">
        <v>35</v>
      </c>
    </row>
    <row r="1087">
      <c r="A1087" s="15">
        <v>1083</v>
      </c>
      <c r="B1087" s="15" t="s">
        <v>343</v>
      </c>
      <c r="C1087" s="15" t="s">
        <v>344</v>
      </c>
      <c r="D1087" s="15" t="s">
        <v>432</v>
      </c>
      <c r="E1087" s="15" t="s">
        <v>116</v>
      </c>
      <c r="F1087" s="15" t="s">
        <v>35</v>
      </c>
      <c r="G1087" s="15" t="s">
        <v>74</v>
      </c>
      <c r="H1087" s="15" t="s">
        <v>6999</v>
      </c>
      <c r="I1087" s="15" t="s">
        <v>7000</v>
      </c>
      <c r="J1087" s="15" t="s">
        <v>7001</v>
      </c>
      <c r="K1087" s="15" t="s">
        <v>512</v>
      </c>
      <c r="L1087" s="15" t="s">
        <v>513</v>
      </c>
      <c r="M1087" s="15" t="s">
        <v>514</v>
      </c>
      <c r="N1087" s="15" t="s">
        <v>515</v>
      </c>
      <c r="O1087" s="15" t="s">
        <v>82</v>
      </c>
      <c r="P1087" s="15" t="s">
        <v>1371</v>
      </c>
      <c r="Q1087" s="15" t="s">
        <v>1372</v>
      </c>
      <c r="R1087" s="16">
        <v>44329</v>
      </c>
      <c r="S1087" s="17" t="s">
        <v>70</v>
      </c>
      <c r="T1087" s="20">
        <f>HYPERLINK("https://vnm.spiral.com.vn//uploaded/20210513/c20a817c-3a34-4119-b53c-342f20527e6e.JPEG","13:52:50")</f>
      </c>
      <c r="U1087" s="20">
        <f>HYPERLINK("https://vnm.spiral.com.vn//uploaded/20210513/79650f19-f4a5-4fb8-aa88-d127c8cf1d5b.JPEG","14:54:34")</f>
      </c>
      <c r="V1087" s="18">
        <v>0.04287037037037037</v>
      </c>
      <c r="W1087" s="15" t="s">
        <v>7002</v>
      </c>
      <c r="X1087" s="15" t="s">
        <v>7003</v>
      </c>
      <c r="Y1087" s="15" t="s">
        <v>35</v>
      </c>
      <c r="Z1087" s="19">
        <v>0</v>
      </c>
      <c r="AA1087" s="15">
        <v>0</v>
      </c>
      <c r="AB1087" s="15" t="s">
        <v>35</v>
      </c>
    </row>
    <row r="1088">
      <c r="A1088" s="15">
        <v>1084</v>
      </c>
      <c r="B1088" s="15" t="s">
        <v>103</v>
      </c>
      <c r="C1088" s="15" t="s">
        <v>1078</v>
      </c>
      <c r="D1088" s="15" t="s">
        <v>35</v>
      </c>
      <c r="E1088" s="15" t="s">
        <v>35</v>
      </c>
      <c r="F1088" s="15" t="s">
        <v>35</v>
      </c>
      <c r="G1088" s="15" t="s">
        <v>36</v>
      </c>
      <c r="H1088" s="15" t="s">
        <v>7004</v>
      </c>
      <c r="I1088" s="15" t="s">
        <v>7005</v>
      </c>
      <c r="J1088" s="15" t="s">
        <v>7006</v>
      </c>
      <c r="K1088" s="15" t="s">
        <v>40</v>
      </c>
      <c r="L1088" s="15" t="s">
        <v>41</v>
      </c>
      <c r="M1088" s="15" t="s">
        <v>565</v>
      </c>
      <c r="N1088" s="15" t="s">
        <v>566</v>
      </c>
      <c r="O1088" s="15" t="s">
        <v>44</v>
      </c>
      <c r="P1088" s="15" t="s">
        <v>7007</v>
      </c>
      <c r="Q1088" s="15" t="s">
        <v>7008</v>
      </c>
      <c r="R1088" s="16">
        <v>44329</v>
      </c>
      <c r="S1088" s="17" t="s">
        <v>686</v>
      </c>
      <c r="T1088" s="20">
        <f>HYPERLINK("https://vnm.spiral.com.vn//uploaded/20210513/790df977-0e2e-4810-a17b-af39d73a034d.JPEG","14:54:01")</f>
      </c>
      <c r="U1088" s="18"/>
      <c r="V1088" s="18" t="s">
        <v>35</v>
      </c>
      <c r="W1088" s="15" t="s">
        <v>7009</v>
      </c>
      <c r="X1088" s="15" t="s">
        <v>35</v>
      </c>
      <c r="Y1088" s="15" t="s">
        <v>35</v>
      </c>
      <c r="Z1088" s="19">
        <v>0</v>
      </c>
      <c r="AA1088" s="15">
        <v>0</v>
      </c>
      <c r="AB1088" s="15" t="s">
        <v>35</v>
      </c>
    </row>
    <row r="1089">
      <c r="A1089" s="15">
        <v>1085</v>
      </c>
      <c r="B1089" s="15" t="s">
        <v>87</v>
      </c>
      <c r="C1089" s="15" t="s">
        <v>88</v>
      </c>
      <c r="D1089" s="15" t="s">
        <v>135</v>
      </c>
      <c r="E1089" s="15" t="s">
        <v>116</v>
      </c>
      <c r="F1089" s="15" t="s">
        <v>35</v>
      </c>
      <c r="G1089" s="15" t="s">
        <v>74</v>
      </c>
      <c r="H1089" s="15" t="s">
        <v>7010</v>
      </c>
      <c r="I1089" s="15" t="s">
        <v>7011</v>
      </c>
      <c r="J1089" s="15" t="s">
        <v>7012</v>
      </c>
      <c r="K1089" s="15" t="s">
        <v>139</v>
      </c>
      <c r="L1089" s="15" t="s">
        <v>140</v>
      </c>
      <c r="M1089" s="15" t="s">
        <v>530</v>
      </c>
      <c r="N1089" s="15" t="s">
        <v>531</v>
      </c>
      <c r="O1089" s="15" t="s">
        <v>82</v>
      </c>
      <c r="P1089" s="15" t="s">
        <v>532</v>
      </c>
      <c r="Q1089" s="15" t="s">
        <v>533</v>
      </c>
      <c r="R1089" s="16">
        <v>44329</v>
      </c>
      <c r="S1089" s="17" t="s">
        <v>70</v>
      </c>
      <c r="T1089" s="20">
        <f>HYPERLINK("https://vnm.spiral.com.vn//uploaded/20210513/be806433-b384-44a1-b074-56e736ea8a19.JPEG","13:56:31")</f>
      </c>
      <c r="U1089" s="20">
        <f>HYPERLINK("https://vnm.spiral.com.vn//uploaded/20210513/13bf6b8d-7a5d-4987-ae88-fd8c2d9d425c.JPEG","14:53:50")</f>
      </c>
      <c r="V1089" s="18">
        <v>0.03980324074074074</v>
      </c>
      <c r="W1089" s="15" t="s">
        <v>7013</v>
      </c>
      <c r="X1089" s="15" t="s">
        <v>7014</v>
      </c>
      <c r="Y1089" s="15" t="s">
        <v>35</v>
      </c>
      <c r="Z1089" s="19">
        <v>0</v>
      </c>
      <c r="AA1089" s="15">
        <v>0</v>
      </c>
      <c r="AB1089" s="15" t="s">
        <v>35</v>
      </c>
    </row>
    <row r="1090">
      <c r="A1090" s="15">
        <v>1086</v>
      </c>
      <c r="B1090" s="15" t="s">
        <v>87</v>
      </c>
      <c r="C1090" s="15" t="s">
        <v>88</v>
      </c>
      <c r="D1090" s="15" t="s">
        <v>35</v>
      </c>
      <c r="E1090" s="15" t="s">
        <v>35</v>
      </c>
      <c r="F1090" s="15" t="s">
        <v>2667</v>
      </c>
      <c r="G1090" s="15" t="s">
        <v>36</v>
      </c>
      <c r="H1090" s="15" t="s">
        <v>7015</v>
      </c>
      <c r="I1090" s="15" t="s">
        <v>7016</v>
      </c>
      <c r="J1090" s="15" t="s">
        <v>7017</v>
      </c>
      <c r="K1090" s="15" t="s">
        <v>40</v>
      </c>
      <c r="L1090" s="15" t="s">
        <v>41</v>
      </c>
      <c r="M1090" s="15" t="s">
        <v>1195</v>
      </c>
      <c r="N1090" s="15" t="s">
        <v>1196</v>
      </c>
      <c r="O1090" s="15" t="s">
        <v>44</v>
      </c>
      <c r="P1090" s="15" t="s">
        <v>7018</v>
      </c>
      <c r="Q1090" s="15" t="s">
        <v>7019</v>
      </c>
      <c r="R1090" s="16">
        <v>44329</v>
      </c>
      <c r="S1090" s="17" t="s">
        <v>686</v>
      </c>
      <c r="T1090" s="20">
        <f>HYPERLINK("https://vnm.spiral.com.vn//uploaded/20210513/06eda589-2938-4035-8bc8-fd34d3dbb451.JPEG","14:53:50")</f>
      </c>
      <c r="U1090" s="18"/>
      <c r="V1090" s="18" t="s">
        <v>35</v>
      </c>
      <c r="W1090" s="15" t="s">
        <v>7020</v>
      </c>
      <c r="X1090" s="15" t="s">
        <v>35</v>
      </c>
      <c r="Y1090" s="15" t="s">
        <v>35</v>
      </c>
      <c r="Z1090" s="19">
        <v>0</v>
      </c>
      <c r="AA1090" s="15">
        <v>0</v>
      </c>
      <c r="AB1090" s="15" t="s">
        <v>35</v>
      </c>
    </row>
    <row r="1091">
      <c r="A1091" s="15">
        <v>1087</v>
      </c>
      <c r="B1091" s="15" t="s">
        <v>246</v>
      </c>
      <c r="C1091" s="15" t="s">
        <v>2845</v>
      </c>
      <c r="D1091" s="15" t="s">
        <v>35</v>
      </c>
      <c r="E1091" s="15" t="s">
        <v>35</v>
      </c>
      <c r="F1091" s="15" t="s">
        <v>4265</v>
      </c>
      <c r="G1091" s="15" t="s">
        <v>36</v>
      </c>
      <c r="H1091" s="15" t="s">
        <v>7021</v>
      </c>
      <c r="I1091" s="15" t="s">
        <v>7022</v>
      </c>
      <c r="J1091" s="15" t="s">
        <v>7023</v>
      </c>
      <c r="K1091" s="15" t="s">
        <v>40</v>
      </c>
      <c r="L1091" s="15" t="s">
        <v>41</v>
      </c>
      <c r="M1091" s="15" t="s">
        <v>252</v>
      </c>
      <c r="N1091" s="15" t="s">
        <v>253</v>
      </c>
      <c r="O1091" s="15" t="s">
        <v>44</v>
      </c>
      <c r="P1091" s="15" t="s">
        <v>7024</v>
      </c>
      <c r="Q1091" s="15" t="s">
        <v>7025</v>
      </c>
      <c r="R1091" s="16">
        <v>44329</v>
      </c>
      <c r="S1091" s="17" t="s">
        <v>475</v>
      </c>
      <c r="T1091" s="20">
        <f>HYPERLINK("https://vnm.spiral.com.vn//uploaded/20210513/7D139500-8BAA-4168-93DA-26B9F8D1991F.jpg","08:05:29")</f>
      </c>
      <c r="U1091" s="20">
        <f>HYPERLINK("https://vnm.spiral.com.vn//uploaded/20210513/CD87F520-8F17-4018-9C4B-DB5B3589FB7C.jpg","14:53:17")</f>
      </c>
      <c r="V1091" s="18">
        <v>0.28319444444444447</v>
      </c>
      <c r="W1091" s="15" t="s">
        <v>7026</v>
      </c>
      <c r="X1091" s="15" t="s">
        <v>7027</v>
      </c>
      <c r="Y1091" s="15" t="s">
        <v>35</v>
      </c>
      <c r="Z1091" s="19">
        <v>0</v>
      </c>
      <c r="AA1091" s="15">
        <v>0</v>
      </c>
      <c r="AB1091" s="15" t="s">
        <v>35</v>
      </c>
    </row>
    <row r="1092">
      <c r="A1092" s="15">
        <v>1088</v>
      </c>
      <c r="B1092" s="15" t="s">
        <v>103</v>
      </c>
      <c r="C1092" s="15" t="s">
        <v>186</v>
      </c>
      <c r="D1092" s="15" t="s">
        <v>35</v>
      </c>
      <c r="E1092" s="15" t="s">
        <v>35</v>
      </c>
      <c r="F1092" s="15" t="s">
        <v>35</v>
      </c>
      <c r="G1092" s="15" t="s">
        <v>36</v>
      </c>
      <c r="H1092" s="15" t="s">
        <v>7028</v>
      </c>
      <c r="I1092" s="15" t="s">
        <v>7029</v>
      </c>
      <c r="J1092" s="15" t="s">
        <v>7030</v>
      </c>
      <c r="K1092" s="15" t="s">
        <v>40</v>
      </c>
      <c r="L1092" s="15" t="s">
        <v>41</v>
      </c>
      <c r="M1092" s="15" t="s">
        <v>565</v>
      </c>
      <c r="N1092" s="15" t="s">
        <v>566</v>
      </c>
      <c r="O1092" s="15" t="s">
        <v>44</v>
      </c>
      <c r="P1092" s="15" t="s">
        <v>7031</v>
      </c>
      <c r="Q1092" s="15" t="s">
        <v>7032</v>
      </c>
      <c r="R1092" s="16">
        <v>44329</v>
      </c>
      <c r="S1092" s="17" t="s">
        <v>7033</v>
      </c>
      <c r="T1092" s="20">
        <f>HYPERLINK("https://vnm.spiral.com.vn//uploaded/20210513/B91148EB-209E-472C-A9DE-1826316906EB.jpg","06:27:37")</f>
      </c>
      <c r="U1092" s="20">
        <f>HYPERLINK("https://vnm.spiral.com.vn//uploaded/20210513/D2EDAFAC-C78F-4E3B-A5B1-6D80829B0797.jpg","14:52:50")</f>
      </c>
      <c r="V1092" s="18">
        <v>0.3508449074074074</v>
      </c>
      <c r="W1092" s="15" t="s">
        <v>7034</v>
      </c>
      <c r="X1092" s="15" t="s">
        <v>7035</v>
      </c>
      <c r="Y1092" s="15" t="s">
        <v>35</v>
      </c>
      <c r="Z1092" s="19">
        <v>0</v>
      </c>
      <c r="AA1092" s="15">
        <v>0</v>
      </c>
      <c r="AB1092" s="15" t="s">
        <v>35</v>
      </c>
    </row>
    <row r="1093">
      <c r="A1093" s="15">
        <v>1089</v>
      </c>
      <c r="B1093" s="15" t="s">
        <v>343</v>
      </c>
      <c r="C1093" s="15" t="s">
        <v>344</v>
      </c>
      <c r="D1093" s="15" t="s">
        <v>432</v>
      </c>
      <c r="E1093" s="15" t="s">
        <v>116</v>
      </c>
      <c r="F1093" s="15" t="s">
        <v>35</v>
      </c>
      <c r="G1093" s="15" t="s">
        <v>74</v>
      </c>
      <c r="H1093" s="15" t="s">
        <v>7036</v>
      </c>
      <c r="I1093" s="15" t="s">
        <v>7037</v>
      </c>
      <c r="J1093" s="15" t="s">
        <v>7038</v>
      </c>
      <c r="K1093" s="15" t="s">
        <v>512</v>
      </c>
      <c r="L1093" s="15" t="s">
        <v>513</v>
      </c>
      <c r="M1093" s="15" t="s">
        <v>514</v>
      </c>
      <c r="N1093" s="15" t="s">
        <v>515</v>
      </c>
      <c r="O1093" s="15" t="s">
        <v>82</v>
      </c>
      <c r="P1093" s="15" t="s">
        <v>516</v>
      </c>
      <c r="Q1093" s="15" t="s">
        <v>517</v>
      </c>
      <c r="R1093" s="16">
        <v>44329</v>
      </c>
      <c r="S1093" s="17" t="s">
        <v>70</v>
      </c>
      <c r="T1093" s="20">
        <f>HYPERLINK("https://vnm.spiral.com.vn//uploaded/20210513/4dcb7abe-4d1f-4773-a0c7-09c76ee3975f.JPEG","14:19:55")</f>
      </c>
      <c r="U1093" s="20">
        <f>HYPERLINK("https://vnm.spiral.com.vn//uploaded/20210513/d7a211fe-2686-4ed0-aa27-23e46f4193b7.JPEG","14:52:12")</f>
      </c>
      <c r="V1093" s="18">
        <v>0.02241898148148148</v>
      </c>
      <c r="W1093" s="15" t="s">
        <v>7039</v>
      </c>
      <c r="X1093" s="15" t="s">
        <v>7040</v>
      </c>
      <c r="Y1093" s="15" t="s">
        <v>35</v>
      </c>
      <c r="Z1093" s="19">
        <v>0</v>
      </c>
      <c r="AA1093" s="15">
        <v>0</v>
      </c>
      <c r="AB1093" s="15" t="s">
        <v>35</v>
      </c>
    </row>
    <row r="1094">
      <c r="A1094" s="15">
        <v>1090</v>
      </c>
      <c r="B1094" s="15" t="s">
        <v>343</v>
      </c>
      <c r="C1094" s="15" t="s">
        <v>344</v>
      </c>
      <c r="D1094" s="15" t="s">
        <v>35</v>
      </c>
      <c r="E1094" s="15" t="s">
        <v>35</v>
      </c>
      <c r="F1094" s="15" t="s">
        <v>35</v>
      </c>
      <c r="G1094" s="15" t="s">
        <v>36</v>
      </c>
      <c r="H1094" s="15" t="s">
        <v>7041</v>
      </c>
      <c r="I1094" s="15" t="s">
        <v>7042</v>
      </c>
      <c r="J1094" s="15" t="s">
        <v>7043</v>
      </c>
      <c r="K1094" s="15" t="s">
        <v>40</v>
      </c>
      <c r="L1094" s="15" t="s">
        <v>41</v>
      </c>
      <c r="M1094" s="15" t="s">
        <v>595</v>
      </c>
      <c r="N1094" s="15" t="s">
        <v>596</v>
      </c>
      <c r="O1094" s="15" t="s">
        <v>44</v>
      </c>
      <c r="P1094" s="15" t="s">
        <v>7044</v>
      </c>
      <c r="Q1094" s="15" t="s">
        <v>7045</v>
      </c>
      <c r="R1094" s="16">
        <v>44329</v>
      </c>
      <c r="S1094" s="17" t="s">
        <v>686</v>
      </c>
      <c r="T1094" s="20">
        <f>HYPERLINK("https://vnm.spiral.com.vn//uploaded/20210513/9C968123-18A8-4086-B696-3F2FB3A9AD54.jpg","14:51:59")</f>
      </c>
      <c r="U1094" s="18"/>
      <c r="V1094" s="18" t="s">
        <v>35</v>
      </c>
      <c r="W1094" s="15" t="s">
        <v>7046</v>
      </c>
      <c r="X1094" s="15" t="s">
        <v>35</v>
      </c>
      <c r="Y1094" s="15" t="s">
        <v>35</v>
      </c>
      <c r="Z1094" s="19">
        <v>0</v>
      </c>
      <c r="AA1094" s="15">
        <v>0</v>
      </c>
      <c r="AB1094" s="15" t="s">
        <v>35</v>
      </c>
    </row>
    <row r="1095">
      <c r="A1095" s="15">
        <v>1091</v>
      </c>
      <c r="B1095" s="15" t="s">
        <v>343</v>
      </c>
      <c r="C1095" s="15" t="s">
        <v>344</v>
      </c>
      <c r="D1095" s="15" t="s">
        <v>432</v>
      </c>
      <c r="E1095" s="15" t="s">
        <v>116</v>
      </c>
      <c r="F1095" s="15" t="s">
        <v>35</v>
      </c>
      <c r="G1095" s="15" t="s">
        <v>74</v>
      </c>
      <c r="H1095" s="15" t="s">
        <v>7047</v>
      </c>
      <c r="I1095" s="15" t="s">
        <v>7048</v>
      </c>
      <c r="J1095" s="15" t="s">
        <v>7049</v>
      </c>
      <c r="K1095" s="15" t="s">
        <v>512</v>
      </c>
      <c r="L1095" s="15" t="s">
        <v>513</v>
      </c>
      <c r="M1095" s="15" t="s">
        <v>514</v>
      </c>
      <c r="N1095" s="15" t="s">
        <v>515</v>
      </c>
      <c r="O1095" s="15" t="s">
        <v>82</v>
      </c>
      <c r="P1095" s="15" t="s">
        <v>523</v>
      </c>
      <c r="Q1095" s="15" t="s">
        <v>524</v>
      </c>
      <c r="R1095" s="16">
        <v>44329</v>
      </c>
      <c r="S1095" s="17" t="s">
        <v>70</v>
      </c>
      <c r="T1095" s="20">
        <f>HYPERLINK("https://vnm.spiral.com.vn//uploaded/20210513/B9A8492C-7DE9-4506-9D37-30DF4B4A2676.jpg","12:59:07")</f>
      </c>
      <c r="U1095" s="20">
        <f>HYPERLINK("https://vnm.spiral.com.vn//uploaded/20210513/743FD6FE-FC2D-4AAC-B25A-F30948933748.jpg","14:51:46")</f>
      </c>
      <c r="V1095" s="18">
        <v>0.07822916666666667</v>
      </c>
      <c r="W1095" s="15" t="s">
        <v>7050</v>
      </c>
      <c r="X1095" s="15" t="s">
        <v>7051</v>
      </c>
      <c r="Y1095" s="15" t="s">
        <v>35</v>
      </c>
      <c r="Z1095" s="19">
        <v>0</v>
      </c>
      <c r="AA1095" s="15">
        <v>0</v>
      </c>
      <c r="AB1095" s="15" t="s">
        <v>35</v>
      </c>
    </row>
    <row r="1096">
      <c r="A1096" s="15">
        <v>1092</v>
      </c>
      <c r="B1096" s="15" t="s">
        <v>246</v>
      </c>
      <c r="C1096" s="15" t="s">
        <v>259</v>
      </c>
      <c r="D1096" s="15" t="s">
        <v>35</v>
      </c>
      <c r="E1096" s="15" t="s">
        <v>35</v>
      </c>
      <c r="F1096" s="15" t="s">
        <v>35</v>
      </c>
      <c r="G1096" s="15" t="s">
        <v>35</v>
      </c>
      <c r="H1096" s="15" t="s">
        <v>7052</v>
      </c>
      <c r="I1096" s="15" t="s">
        <v>7053</v>
      </c>
      <c r="J1096" s="15" t="s">
        <v>7054</v>
      </c>
      <c r="K1096" s="15" t="s">
        <v>40</v>
      </c>
      <c r="L1096" s="15" t="s">
        <v>41</v>
      </c>
      <c r="M1096" s="15" t="s">
        <v>252</v>
      </c>
      <c r="N1096" s="15" t="s">
        <v>253</v>
      </c>
      <c r="O1096" s="15" t="s">
        <v>44</v>
      </c>
      <c r="P1096" s="15" t="s">
        <v>7055</v>
      </c>
      <c r="Q1096" s="15" t="s">
        <v>7056</v>
      </c>
      <c r="R1096" s="16">
        <v>44329</v>
      </c>
      <c r="S1096" s="17" t="s">
        <v>686</v>
      </c>
      <c r="T1096" s="20">
        <f>HYPERLINK("https://vnm.spiral.com.vn//uploaded/20210513/4f0c3027-4d61-4835-a583-7269a124a915.JPEG","14:51:22")</f>
      </c>
      <c r="U1096" s="18"/>
      <c r="V1096" s="18" t="s">
        <v>35</v>
      </c>
      <c r="W1096" s="15" t="s">
        <v>7057</v>
      </c>
      <c r="X1096" s="15" t="s">
        <v>35</v>
      </c>
      <c r="Y1096" s="15" t="s">
        <v>35</v>
      </c>
      <c r="Z1096" s="19">
        <v>0</v>
      </c>
      <c r="AA1096" s="15">
        <v>0</v>
      </c>
      <c r="AB1096" s="15" t="s">
        <v>35</v>
      </c>
    </row>
    <row r="1097">
      <c r="A1097" s="15">
        <v>1093</v>
      </c>
      <c r="B1097" s="15" t="s">
        <v>87</v>
      </c>
      <c r="C1097" s="15" t="s">
        <v>88</v>
      </c>
      <c r="D1097" s="15" t="s">
        <v>35</v>
      </c>
      <c r="E1097" s="15" t="s">
        <v>35</v>
      </c>
      <c r="F1097" s="15" t="s">
        <v>806</v>
      </c>
      <c r="G1097" s="15" t="s">
        <v>36</v>
      </c>
      <c r="H1097" s="15" t="s">
        <v>7058</v>
      </c>
      <c r="I1097" s="15" t="s">
        <v>7059</v>
      </c>
      <c r="J1097" s="15" t="s">
        <v>7060</v>
      </c>
      <c r="K1097" s="15" t="s">
        <v>40</v>
      </c>
      <c r="L1097" s="15" t="s">
        <v>41</v>
      </c>
      <c r="M1097" s="15" t="s">
        <v>810</v>
      </c>
      <c r="N1097" s="15" t="s">
        <v>811</v>
      </c>
      <c r="O1097" s="15" t="s">
        <v>44</v>
      </c>
      <c r="P1097" s="15" t="s">
        <v>7061</v>
      </c>
      <c r="Q1097" s="15" t="s">
        <v>7062</v>
      </c>
      <c r="R1097" s="16">
        <v>44329</v>
      </c>
      <c r="S1097" s="17" t="s">
        <v>293</v>
      </c>
      <c r="T1097" s="20">
        <f>HYPERLINK("https://vnm.spiral.com.vn//uploaded/20210513/AFF9639E-7D9E-4D09-BD0D-D5B58408E38F.jpg","07:40:34")</f>
      </c>
      <c r="U1097" s="20">
        <f>HYPERLINK("https://vnm.spiral.com.vn//uploaded/20210513/DE9AFC12-D0F7-44AA-9C4B-EED2BFA943EB.jpg","14:51:20")</f>
      </c>
      <c r="V1097" s="18">
        <v>0.2991435185185185</v>
      </c>
      <c r="W1097" s="15" t="s">
        <v>7063</v>
      </c>
      <c r="X1097" s="15" t="s">
        <v>7064</v>
      </c>
      <c r="Y1097" s="15" t="s">
        <v>35</v>
      </c>
      <c r="Z1097" s="19">
        <v>0</v>
      </c>
      <c r="AA1097" s="15">
        <v>0</v>
      </c>
      <c r="AB1097" s="15" t="s">
        <v>35</v>
      </c>
    </row>
    <row r="1098">
      <c r="A1098" s="15">
        <v>1094</v>
      </c>
      <c r="B1098" s="15" t="s">
        <v>49</v>
      </c>
      <c r="C1098" s="15" t="s">
        <v>756</v>
      </c>
      <c r="D1098" s="15" t="s">
        <v>35</v>
      </c>
      <c r="E1098" s="15" t="s">
        <v>35</v>
      </c>
      <c r="F1098" s="15" t="s">
        <v>4536</v>
      </c>
      <c r="G1098" s="15" t="s">
        <v>36</v>
      </c>
      <c r="H1098" s="15" t="s">
        <v>7065</v>
      </c>
      <c r="I1098" s="15" t="s">
        <v>7066</v>
      </c>
      <c r="J1098" s="15" t="s">
        <v>7067</v>
      </c>
      <c r="K1098" s="15" t="s">
        <v>40</v>
      </c>
      <c r="L1098" s="15" t="s">
        <v>41</v>
      </c>
      <c r="M1098" s="15" t="s">
        <v>55</v>
      </c>
      <c r="N1098" s="15" t="s">
        <v>56</v>
      </c>
      <c r="O1098" s="15" t="s">
        <v>44</v>
      </c>
      <c r="P1098" s="15" t="s">
        <v>7068</v>
      </c>
      <c r="Q1098" s="15" t="s">
        <v>7069</v>
      </c>
      <c r="R1098" s="16">
        <v>44329</v>
      </c>
      <c r="S1098" s="17" t="s">
        <v>5993</v>
      </c>
      <c r="T1098" s="20">
        <f>HYPERLINK("https://vnm.spiral.com.vn//uploaded/20210513/3A84E1C6-BCF3-49E5-9A7A-402B7F41A827.jpg","14:51:11")</f>
      </c>
      <c r="U1098" s="18"/>
      <c r="V1098" s="18" t="s">
        <v>35</v>
      </c>
      <c r="W1098" s="15" t="s">
        <v>7070</v>
      </c>
      <c r="X1098" s="15" t="s">
        <v>35</v>
      </c>
      <c r="Y1098" s="15" t="s">
        <v>35</v>
      </c>
      <c r="Z1098" s="19">
        <v>0</v>
      </c>
      <c r="AA1098" s="15">
        <v>0</v>
      </c>
      <c r="AB1098" s="15" t="s">
        <v>35</v>
      </c>
    </row>
    <row r="1099">
      <c r="A1099" s="15">
        <v>1095</v>
      </c>
      <c r="B1099" s="15" t="s">
        <v>87</v>
      </c>
      <c r="C1099" s="15" t="s">
        <v>88</v>
      </c>
      <c r="D1099" s="15" t="s">
        <v>35</v>
      </c>
      <c r="E1099" s="15" t="s">
        <v>35</v>
      </c>
      <c r="F1099" s="15" t="s">
        <v>35</v>
      </c>
      <c r="G1099" s="15" t="s">
        <v>74</v>
      </c>
      <c r="H1099" s="15" t="s">
        <v>7071</v>
      </c>
      <c r="I1099" s="15" t="s">
        <v>7072</v>
      </c>
      <c r="J1099" s="15" t="s">
        <v>7073</v>
      </c>
      <c r="K1099" s="15" t="s">
        <v>888</v>
      </c>
      <c r="L1099" s="15" t="s">
        <v>889</v>
      </c>
      <c r="M1099" s="15" t="s">
        <v>1666</v>
      </c>
      <c r="N1099" s="15" t="s">
        <v>1667</v>
      </c>
      <c r="O1099" s="15" t="s">
        <v>82</v>
      </c>
      <c r="P1099" s="15" t="s">
        <v>6570</v>
      </c>
      <c r="Q1099" s="15" t="s">
        <v>6571</v>
      </c>
      <c r="R1099" s="16">
        <v>44329</v>
      </c>
      <c r="S1099" s="17" t="s">
        <v>70</v>
      </c>
      <c r="T1099" s="20">
        <f>HYPERLINK("https://vnm.spiral.com.vn//uploaded/20210513/C82D8879-9873-45E3-AC3C-F8376585B4D3.jpg","14:15:38")</f>
      </c>
      <c r="U1099" s="20">
        <f>HYPERLINK("https://vnm.spiral.com.vn//uploaded/20210513/0EF807A8-1467-4686-AE90-D092149AA0EB.jpg","14:49:54")</f>
      </c>
      <c r="V1099" s="18">
        <v>0.023796296296296298</v>
      </c>
      <c r="W1099" s="15" t="s">
        <v>7074</v>
      </c>
      <c r="X1099" s="15" t="s">
        <v>7075</v>
      </c>
      <c r="Y1099" s="15" t="s">
        <v>35</v>
      </c>
      <c r="Z1099" s="19">
        <v>0</v>
      </c>
      <c r="AA1099" s="15">
        <v>0</v>
      </c>
      <c r="AB1099" s="15" t="s">
        <v>35</v>
      </c>
    </row>
    <row r="1100">
      <c r="A1100" s="15">
        <v>1096</v>
      </c>
      <c r="B1100" s="15" t="s">
        <v>103</v>
      </c>
      <c r="C1100" s="15" t="s">
        <v>1078</v>
      </c>
      <c r="D1100" s="15" t="s">
        <v>35</v>
      </c>
      <c r="E1100" s="15" t="s">
        <v>35</v>
      </c>
      <c r="F1100" s="15" t="s">
        <v>35</v>
      </c>
      <c r="G1100" s="15" t="s">
        <v>35</v>
      </c>
      <c r="H1100" s="15" t="s">
        <v>7076</v>
      </c>
      <c r="I1100" s="15" t="s">
        <v>7077</v>
      </c>
      <c r="J1100" s="15" t="s">
        <v>7078</v>
      </c>
      <c r="K1100" s="15" t="s">
        <v>40</v>
      </c>
      <c r="L1100" s="15" t="s">
        <v>41</v>
      </c>
      <c r="M1100" s="15" t="s">
        <v>565</v>
      </c>
      <c r="N1100" s="15" t="s">
        <v>566</v>
      </c>
      <c r="O1100" s="15" t="s">
        <v>44</v>
      </c>
      <c r="P1100" s="15" t="s">
        <v>7079</v>
      </c>
      <c r="Q1100" s="15" t="s">
        <v>5324</v>
      </c>
      <c r="R1100" s="16">
        <v>44329</v>
      </c>
      <c r="S1100" s="17" t="s">
        <v>686</v>
      </c>
      <c r="T1100" s="20">
        <f>HYPERLINK("https://vnm.spiral.com.vn//uploaded/20210513/81c9eea5-4c3a-498b-8668-4654747ee481.JPEG","14:49:48")</f>
      </c>
      <c r="U1100" s="18"/>
      <c r="V1100" s="18" t="s">
        <v>35</v>
      </c>
      <c r="W1100" s="15" t="s">
        <v>7080</v>
      </c>
      <c r="X1100" s="15" t="s">
        <v>35</v>
      </c>
      <c r="Y1100" s="15" t="s">
        <v>35</v>
      </c>
      <c r="Z1100" s="19">
        <v>0</v>
      </c>
      <c r="AA1100" s="15">
        <v>0</v>
      </c>
      <c r="AB1100" s="15" t="s">
        <v>35</v>
      </c>
    </row>
    <row r="1101">
      <c r="A1101" s="15">
        <v>1097</v>
      </c>
      <c r="B1101" s="15" t="s">
        <v>61</v>
      </c>
      <c r="C1101" s="15" t="s">
        <v>1730</v>
      </c>
      <c r="D1101" s="15" t="s">
        <v>35</v>
      </c>
      <c r="E1101" s="15" t="s">
        <v>35</v>
      </c>
      <c r="F1101" s="15" t="s">
        <v>35</v>
      </c>
      <c r="G1101" s="15" t="s">
        <v>36</v>
      </c>
      <c r="H1101" s="15" t="s">
        <v>7081</v>
      </c>
      <c r="I1101" s="15" t="s">
        <v>7082</v>
      </c>
      <c r="J1101" s="15" t="s">
        <v>7083</v>
      </c>
      <c r="K1101" s="15" t="s">
        <v>40</v>
      </c>
      <c r="L1101" s="15" t="s">
        <v>41</v>
      </c>
      <c r="M1101" s="15" t="s">
        <v>205</v>
      </c>
      <c r="N1101" s="15" t="s">
        <v>206</v>
      </c>
      <c r="O1101" s="15" t="s">
        <v>44</v>
      </c>
      <c r="P1101" s="15" t="s">
        <v>6814</v>
      </c>
      <c r="Q1101" s="15" t="s">
        <v>6815</v>
      </c>
      <c r="R1101" s="16">
        <v>44329</v>
      </c>
      <c r="S1101" s="17" t="s">
        <v>7084</v>
      </c>
      <c r="T1101" s="20">
        <f>HYPERLINK("https://vnm.spiral.com.vn//uploaded/20210513/b55c179f-5a0d-46bc-a4fa-9a920b7d190b.JPEG","10:15:07")</f>
      </c>
      <c r="U1101" s="20">
        <f>HYPERLINK("https://vnm.spiral.com.vn//uploaded/20210513/d4cd600b-a1cf-4cff-81e8-a6e19349232b.JPEG","14:49:38")</f>
      </c>
      <c r="V1101" s="18">
        <v>0.19063657407407408</v>
      </c>
      <c r="W1101" s="15" t="s">
        <v>7085</v>
      </c>
      <c r="X1101" s="15" t="s">
        <v>7086</v>
      </c>
      <c r="Y1101" s="15" t="s">
        <v>35</v>
      </c>
      <c r="Z1101" s="19">
        <v>0</v>
      </c>
      <c r="AA1101" s="15">
        <v>0</v>
      </c>
      <c r="AB1101" s="15" t="s">
        <v>35</v>
      </c>
    </row>
    <row r="1102">
      <c r="A1102" s="15">
        <v>1098</v>
      </c>
      <c r="B1102" s="15" t="s">
        <v>343</v>
      </c>
      <c r="C1102" s="15" t="s">
        <v>344</v>
      </c>
      <c r="D1102" s="15" t="s">
        <v>35</v>
      </c>
      <c r="E1102" s="15" t="s">
        <v>35</v>
      </c>
      <c r="F1102" s="15" t="s">
        <v>7087</v>
      </c>
      <c r="G1102" s="15" t="s">
        <v>36</v>
      </c>
      <c r="H1102" s="15" t="s">
        <v>7088</v>
      </c>
      <c r="I1102" s="15" t="s">
        <v>7089</v>
      </c>
      <c r="J1102" s="15" t="s">
        <v>7090</v>
      </c>
      <c r="K1102" s="15" t="s">
        <v>40</v>
      </c>
      <c r="L1102" s="15" t="s">
        <v>41</v>
      </c>
      <c r="M1102" s="15" t="s">
        <v>595</v>
      </c>
      <c r="N1102" s="15" t="s">
        <v>596</v>
      </c>
      <c r="O1102" s="15" t="s">
        <v>44</v>
      </c>
      <c r="P1102" s="15" t="s">
        <v>7091</v>
      </c>
      <c r="Q1102" s="15" t="s">
        <v>7092</v>
      </c>
      <c r="R1102" s="16">
        <v>44329</v>
      </c>
      <c r="S1102" s="17" t="s">
        <v>686</v>
      </c>
      <c r="T1102" s="20">
        <f>HYPERLINK("https://vnm.spiral.com.vn//uploaded/20210513/9eeda5bf-aa84-432d-821e-a461b82b0983.JPEG","14:49:16")</f>
      </c>
      <c r="U1102" s="18"/>
      <c r="V1102" s="18" t="s">
        <v>35</v>
      </c>
      <c r="W1102" s="15" t="s">
        <v>7093</v>
      </c>
      <c r="X1102" s="15" t="s">
        <v>35</v>
      </c>
      <c r="Y1102" s="15" t="s">
        <v>35</v>
      </c>
      <c r="Z1102" s="19">
        <v>0</v>
      </c>
      <c r="AA1102" s="15">
        <v>0</v>
      </c>
      <c r="AB1102" s="15" t="s">
        <v>35</v>
      </c>
    </row>
    <row r="1103">
      <c r="A1103" s="15">
        <v>1099</v>
      </c>
      <c r="B1103" s="15" t="s">
        <v>103</v>
      </c>
      <c r="C1103" s="15" t="s">
        <v>2116</v>
      </c>
      <c r="D1103" s="15" t="s">
        <v>35</v>
      </c>
      <c r="E1103" s="15" t="s">
        <v>35</v>
      </c>
      <c r="F1103" s="15" t="s">
        <v>35</v>
      </c>
      <c r="G1103" s="15" t="s">
        <v>35</v>
      </c>
      <c r="H1103" s="15" t="s">
        <v>7094</v>
      </c>
      <c r="I1103" s="15" t="s">
        <v>7095</v>
      </c>
      <c r="J1103" s="15" t="s">
        <v>7096</v>
      </c>
      <c r="K1103" s="15" t="s">
        <v>40</v>
      </c>
      <c r="L1103" s="15" t="s">
        <v>41</v>
      </c>
      <c r="M1103" s="15" t="s">
        <v>108</v>
      </c>
      <c r="N1103" s="15" t="s">
        <v>109</v>
      </c>
      <c r="O1103" s="15" t="s">
        <v>44</v>
      </c>
      <c r="P1103" s="15" t="s">
        <v>7097</v>
      </c>
      <c r="Q1103" s="15" t="s">
        <v>7098</v>
      </c>
      <c r="R1103" s="16">
        <v>44329</v>
      </c>
      <c r="S1103" s="17" t="s">
        <v>7099</v>
      </c>
      <c r="T1103" s="20">
        <f>HYPERLINK("https://vnm.spiral.com.vn//uploaded/20210513/91d3e492-cc6a-44d1-97be-57960a803051.JPEG","14:49:10")</f>
      </c>
      <c r="U1103" s="18"/>
      <c r="V1103" s="18" t="s">
        <v>35</v>
      </c>
      <c r="W1103" s="15" t="s">
        <v>7100</v>
      </c>
      <c r="X1103" s="15" t="s">
        <v>35</v>
      </c>
      <c r="Y1103" s="15" t="s">
        <v>35</v>
      </c>
      <c r="Z1103" s="19">
        <v>0</v>
      </c>
      <c r="AA1103" s="15">
        <v>0</v>
      </c>
      <c r="AB1103" s="15" t="s">
        <v>35</v>
      </c>
    </row>
    <row r="1104">
      <c r="A1104" s="15">
        <v>1100</v>
      </c>
      <c r="B1104" s="15" t="s">
        <v>246</v>
      </c>
      <c r="C1104" s="15" t="s">
        <v>2005</v>
      </c>
      <c r="D1104" s="15" t="s">
        <v>35</v>
      </c>
      <c r="E1104" s="15" t="s">
        <v>35</v>
      </c>
      <c r="F1104" s="15" t="s">
        <v>6614</v>
      </c>
      <c r="G1104" s="15" t="s">
        <v>36</v>
      </c>
      <c r="H1104" s="15" t="s">
        <v>7101</v>
      </c>
      <c r="I1104" s="15" t="s">
        <v>7102</v>
      </c>
      <c r="J1104" s="15" t="s">
        <v>7103</v>
      </c>
      <c r="K1104" s="15" t="s">
        <v>40</v>
      </c>
      <c r="L1104" s="15" t="s">
        <v>41</v>
      </c>
      <c r="M1104" s="15" t="s">
        <v>252</v>
      </c>
      <c r="N1104" s="15" t="s">
        <v>253</v>
      </c>
      <c r="O1104" s="15" t="s">
        <v>44</v>
      </c>
      <c r="P1104" s="15" t="s">
        <v>7104</v>
      </c>
      <c r="Q1104" s="15" t="s">
        <v>7105</v>
      </c>
      <c r="R1104" s="16">
        <v>44329</v>
      </c>
      <c r="S1104" s="17" t="s">
        <v>686</v>
      </c>
      <c r="T1104" s="20">
        <f>HYPERLINK("https://vnm.spiral.com.vn//uploaded/20210513/DE638A4C-78CB-4C75-B49C-12161746B2AC.jpg","14:48:50")</f>
      </c>
      <c r="U1104" s="18"/>
      <c r="V1104" s="18" t="s">
        <v>35</v>
      </c>
      <c r="W1104" s="15" t="s">
        <v>7106</v>
      </c>
      <c r="X1104" s="15" t="s">
        <v>35</v>
      </c>
      <c r="Y1104" s="15" t="s">
        <v>35</v>
      </c>
      <c r="Z1104" s="19">
        <v>0</v>
      </c>
      <c r="AA1104" s="15">
        <v>0</v>
      </c>
      <c r="AB1104" s="15" t="s">
        <v>35</v>
      </c>
    </row>
    <row r="1105">
      <c r="A1105" s="15">
        <v>1101</v>
      </c>
      <c r="B1105" s="15" t="s">
        <v>87</v>
      </c>
      <c r="C1105" s="15" t="s">
        <v>88</v>
      </c>
      <c r="D1105" s="15" t="s">
        <v>35</v>
      </c>
      <c r="E1105" s="15" t="s">
        <v>35</v>
      </c>
      <c r="F1105" s="15" t="s">
        <v>1091</v>
      </c>
      <c r="G1105" s="15" t="s">
        <v>36</v>
      </c>
      <c r="H1105" s="15" t="s">
        <v>7107</v>
      </c>
      <c r="I1105" s="15" t="s">
        <v>7108</v>
      </c>
      <c r="J1105" s="15" t="s">
        <v>7109</v>
      </c>
      <c r="K1105" s="15" t="s">
        <v>40</v>
      </c>
      <c r="L1105" s="15" t="s">
        <v>41</v>
      </c>
      <c r="M1105" s="15" t="s">
        <v>810</v>
      </c>
      <c r="N1105" s="15" t="s">
        <v>811</v>
      </c>
      <c r="O1105" s="15" t="s">
        <v>44</v>
      </c>
      <c r="P1105" s="15" t="s">
        <v>7110</v>
      </c>
      <c r="Q1105" s="15" t="s">
        <v>7111</v>
      </c>
      <c r="R1105" s="16">
        <v>44329</v>
      </c>
      <c r="S1105" s="17" t="s">
        <v>686</v>
      </c>
      <c r="T1105" s="20">
        <f>HYPERLINK("https://vnm.spiral.com.vn//uploaded/20210513/26C361EA-AF35-4179-91EE-4D3618B3326B.jpg","14:48:44")</f>
      </c>
      <c r="U1105" s="18"/>
      <c r="V1105" s="18" t="s">
        <v>35</v>
      </c>
      <c r="W1105" s="15" t="s">
        <v>7112</v>
      </c>
      <c r="X1105" s="15" t="s">
        <v>35</v>
      </c>
      <c r="Y1105" s="15" t="s">
        <v>35</v>
      </c>
      <c r="Z1105" s="19">
        <v>0</v>
      </c>
      <c r="AA1105" s="15">
        <v>0</v>
      </c>
      <c r="AB1105" s="15" t="s">
        <v>35</v>
      </c>
    </row>
    <row r="1106">
      <c r="A1106" s="15">
        <v>1102</v>
      </c>
      <c r="B1106" s="15" t="s">
        <v>49</v>
      </c>
      <c r="C1106" s="15" t="s">
        <v>756</v>
      </c>
      <c r="D1106" s="15" t="s">
        <v>35</v>
      </c>
      <c r="E1106" s="15" t="s">
        <v>35</v>
      </c>
      <c r="F1106" s="15" t="s">
        <v>6964</v>
      </c>
      <c r="G1106" s="15" t="s">
        <v>36</v>
      </c>
      <c r="H1106" s="15" t="s">
        <v>7113</v>
      </c>
      <c r="I1106" s="15" t="s">
        <v>7114</v>
      </c>
      <c r="J1106" s="15" t="s">
        <v>7115</v>
      </c>
      <c r="K1106" s="15" t="s">
        <v>40</v>
      </c>
      <c r="L1106" s="15" t="s">
        <v>41</v>
      </c>
      <c r="M1106" s="15" t="s">
        <v>55</v>
      </c>
      <c r="N1106" s="15" t="s">
        <v>56</v>
      </c>
      <c r="O1106" s="15" t="s">
        <v>44</v>
      </c>
      <c r="P1106" s="15" t="s">
        <v>7116</v>
      </c>
      <c r="Q1106" s="15" t="s">
        <v>7117</v>
      </c>
      <c r="R1106" s="16">
        <v>44329</v>
      </c>
      <c r="S1106" s="17" t="s">
        <v>686</v>
      </c>
      <c r="T1106" s="20">
        <f>HYPERLINK("https://vnm.spiral.com.vn//uploaded/20210513/f890352c-856e-4c17-846f-fb94bb511123.JPEG","14:48:44")</f>
      </c>
      <c r="U1106" s="18"/>
      <c r="V1106" s="18" t="s">
        <v>35</v>
      </c>
      <c r="W1106" s="15" t="s">
        <v>7118</v>
      </c>
      <c r="X1106" s="15" t="s">
        <v>35</v>
      </c>
      <c r="Y1106" s="15" t="s">
        <v>35</v>
      </c>
      <c r="Z1106" s="19">
        <v>0</v>
      </c>
      <c r="AA1106" s="15">
        <v>0</v>
      </c>
      <c r="AB1106" s="15" t="s">
        <v>35</v>
      </c>
    </row>
    <row r="1107">
      <c r="A1107" s="15">
        <v>1103</v>
      </c>
      <c r="B1107" s="15" t="s">
        <v>87</v>
      </c>
      <c r="C1107" s="15" t="s">
        <v>88</v>
      </c>
      <c r="D1107" s="15" t="s">
        <v>35</v>
      </c>
      <c r="E1107" s="15" t="s">
        <v>35</v>
      </c>
      <c r="F1107" s="15" t="s">
        <v>35</v>
      </c>
      <c r="G1107" s="15" t="s">
        <v>74</v>
      </c>
      <c r="H1107" s="15" t="s">
        <v>7119</v>
      </c>
      <c r="I1107" s="15" t="s">
        <v>7120</v>
      </c>
      <c r="J1107" s="15" t="s">
        <v>7121</v>
      </c>
      <c r="K1107" s="15" t="s">
        <v>888</v>
      </c>
      <c r="L1107" s="15" t="s">
        <v>889</v>
      </c>
      <c r="M1107" s="15" t="s">
        <v>924</v>
      </c>
      <c r="N1107" s="15" t="s">
        <v>925</v>
      </c>
      <c r="O1107" s="15" t="s">
        <v>82</v>
      </c>
      <c r="P1107" s="15" t="s">
        <v>1140</v>
      </c>
      <c r="Q1107" s="15" t="s">
        <v>69</v>
      </c>
      <c r="R1107" s="16">
        <v>44329</v>
      </c>
      <c r="S1107" s="17" t="s">
        <v>70</v>
      </c>
      <c r="T1107" s="20">
        <f>HYPERLINK("https://vnm.spiral.com.vn//uploaded/20210513/fdd72d9a-9de5-4eec-a8d8-1562baf3d5a6.JPEG","11:22:11")</f>
      </c>
      <c r="U1107" s="20">
        <f>HYPERLINK("https://vnm.spiral.com.vn//uploaded/20210513/dcdbf3ba-827c-427d-9472-9cdc4cc9c80d.JPEG","14:48:22")</f>
      </c>
      <c r="V1107" s="18">
        <v>0.14318287037037036</v>
      </c>
      <c r="W1107" s="15" t="s">
        <v>7122</v>
      </c>
      <c r="X1107" s="15" t="s">
        <v>7123</v>
      </c>
      <c r="Y1107" s="15" t="s">
        <v>35</v>
      </c>
      <c r="Z1107" s="19">
        <v>0</v>
      </c>
      <c r="AA1107" s="15">
        <v>0</v>
      </c>
      <c r="AB1107" s="15" t="s">
        <v>35</v>
      </c>
    </row>
    <row r="1108">
      <c r="A1108" s="15">
        <v>1104</v>
      </c>
      <c r="B1108" s="15" t="s">
        <v>103</v>
      </c>
      <c r="C1108" s="15" t="s">
        <v>2116</v>
      </c>
      <c r="D1108" s="15" t="s">
        <v>35</v>
      </c>
      <c r="E1108" s="15" t="s">
        <v>35</v>
      </c>
      <c r="F1108" s="15" t="s">
        <v>35</v>
      </c>
      <c r="G1108" s="15" t="s">
        <v>36</v>
      </c>
      <c r="H1108" s="15" t="s">
        <v>7124</v>
      </c>
      <c r="I1108" s="15" t="s">
        <v>7125</v>
      </c>
      <c r="J1108" s="15" t="s">
        <v>7126</v>
      </c>
      <c r="K1108" s="15" t="s">
        <v>40</v>
      </c>
      <c r="L1108" s="15" t="s">
        <v>41</v>
      </c>
      <c r="M1108" s="15" t="s">
        <v>108</v>
      </c>
      <c r="N1108" s="15" t="s">
        <v>109</v>
      </c>
      <c r="O1108" s="15" t="s">
        <v>44</v>
      </c>
      <c r="P1108" s="15" t="s">
        <v>7127</v>
      </c>
      <c r="Q1108" s="15" t="s">
        <v>7128</v>
      </c>
      <c r="R1108" s="16">
        <v>44329</v>
      </c>
      <c r="S1108" s="17" t="s">
        <v>686</v>
      </c>
      <c r="T1108" s="20">
        <f>HYPERLINK("https://vnm.spiral.com.vn//uploaded/20210513/03CFA337-3220-4700-94A1-F22C428884CB.jpg","14:48:02")</f>
      </c>
      <c r="U1108" s="18"/>
      <c r="V1108" s="18" t="s">
        <v>35</v>
      </c>
      <c r="W1108" s="15" t="s">
        <v>7129</v>
      </c>
      <c r="X1108" s="15" t="s">
        <v>35</v>
      </c>
      <c r="Y1108" s="15" t="s">
        <v>35</v>
      </c>
      <c r="Z1108" s="19">
        <v>0</v>
      </c>
      <c r="AA1108" s="15">
        <v>0</v>
      </c>
      <c r="AB1108" s="15" t="s">
        <v>35</v>
      </c>
    </row>
    <row r="1109">
      <c r="A1109" s="15">
        <v>1105</v>
      </c>
      <c r="B1109" s="15" t="s">
        <v>343</v>
      </c>
      <c r="C1109" s="15" t="s">
        <v>344</v>
      </c>
      <c r="D1109" s="15" t="s">
        <v>35</v>
      </c>
      <c r="E1109" s="15" t="s">
        <v>35</v>
      </c>
      <c r="F1109" s="15" t="s">
        <v>35</v>
      </c>
      <c r="G1109" s="15" t="s">
        <v>36</v>
      </c>
      <c r="H1109" s="15" t="s">
        <v>7130</v>
      </c>
      <c r="I1109" s="15" t="s">
        <v>7131</v>
      </c>
      <c r="J1109" s="15" t="s">
        <v>7132</v>
      </c>
      <c r="K1109" s="15" t="s">
        <v>40</v>
      </c>
      <c r="L1109" s="15" t="s">
        <v>41</v>
      </c>
      <c r="M1109" s="15" t="s">
        <v>595</v>
      </c>
      <c r="N1109" s="15" t="s">
        <v>596</v>
      </c>
      <c r="O1109" s="15" t="s">
        <v>44</v>
      </c>
      <c r="P1109" s="15" t="s">
        <v>7133</v>
      </c>
      <c r="Q1109" s="15" t="s">
        <v>7134</v>
      </c>
      <c r="R1109" s="16">
        <v>44329</v>
      </c>
      <c r="S1109" s="17" t="s">
        <v>2703</v>
      </c>
      <c r="T1109" s="20">
        <f>HYPERLINK("https://vnm.spiral.com.vn//uploaded/20210513/f8834b4e-9d4b-40f3-a36c-3b7b2f406b29.JPEG","14:47:51")</f>
      </c>
      <c r="U1109" s="18"/>
      <c r="V1109" s="18" t="s">
        <v>35</v>
      </c>
      <c r="W1109" s="15" t="s">
        <v>7135</v>
      </c>
      <c r="X1109" s="15" t="s">
        <v>35</v>
      </c>
      <c r="Y1109" s="15" t="s">
        <v>35</v>
      </c>
      <c r="Z1109" s="19">
        <v>0</v>
      </c>
      <c r="AA1109" s="15">
        <v>0</v>
      </c>
      <c r="AB1109" s="15" t="s">
        <v>35</v>
      </c>
    </row>
    <row r="1110">
      <c r="A1110" s="15">
        <v>1106</v>
      </c>
      <c r="B1110" s="15" t="s">
        <v>33</v>
      </c>
      <c r="C1110" s="15" t="s">
        <v>2999</v>
      </c>
      <c r="D1110" s="15" t="s">
        <v>35</v>
      </c>
      <c r="E1110" s="15" t="s">
        <v>35</v>
      </c>
      <c r="F1110" s="15" t="s">
        <v>35</v>
      </c>
      <c r="G1110" s="15" t="s">
        <v>36</v>
      </c>
      <c r="H1110" s="15" t="s">
        <v>7136</v>
      </c>
      <c r="I1110" s="15" t="s">
        <v>7137</v>
      </c>
      <c r="J1110" s="15" t="s">
        <v>7138</v>
      </c>
      <c r="K1110" s="15" t="s">
        <v>40</v>
      </c>
      <c r="L1110" s="15" t="s">
        <v>41</v>
      </c>
      <c r="M1110" s="15" t="s">
        <v>42</v>
      </c>
      <c r="N1110" s="15" t="s">
        <v>43</v>
      </c>
      <c r="O1110" s="15" t="s">
        <v>44</v>
      </c>
      <c r="P1110" s="15" t="s">
        <v>7139</v>
      </c>
      <c r="Q1110" s="15" t="s">
        <v>7140</v>
      </c>
      <c r="R1110" s="16">
        <v>44329</v>
      </c>
      <c r="S1110" s="17" t="s">
        <v>2703</v>
      </c>
      <c r="T1110" s="20">
        <f>HYPERLINK("https://vnm.spiral.com.vn//uploaded/20210513/cc078795-ecbf-44c5-a996-182264a9ee70.JPEG","14:47:43")</f>
      </c>
      <c r="U1110" s="18"/>
      <c r="V1110" s="18" t="s">
        <v>35</v>
      </c>
      <c r="W1110" s="15" t="s">
        <v>7141</v>
      </c>
      <c r="X1110" s="15" t="s">
        <v>35</v>
      </c>
      <c r="Y1110" s="15" t="s">
        <v>35</v>
      </c>
      <c r="Z1110" s="19">
        <v>0</v>
      </c>
      <c r="AA1110" s="15">
        <v>0</v>
      </c>
      <c r="AB1110" s="15" t="s">
        <v>35</v>
      </c>
    </row>
    <row r="1111">
      <c r="A1111" s="15">
        <v>1107</v>
      </c>
      <c r="B1111" s="15" t="s">
        <v>61</v>
      </c>
      <c r="C1111" s="15" t="s">
        <v>1106</v>
      </c>
      <c r="D1111" s="15" t="s">
        <v>135</v>
      </c>
      <c r="E1111" s="15" t="s">
        <v>116</v>
      </c>
      <c r="F1111" s="15" t="s">
        <v>35</v>
      </c>
      <c r="G1111" s="15" t="s">
        <v>74</v>
      </c>
      <c r="H1111" s="15" t="s">
        <v>7142</v>
      </c>
      <c r="I1111" s="15" t="s">
        <v>7143</v>
      </c>
      <c r="J1111" s="15" t="s">
        <v>7144</v>
      </c>
      <c r="K1111" s="15" t="s">
        <v>154</v>
      </c>
      <c r="L1111" s="15" t="s">
        <v>155</v>
      </c>
      <c r="M1111" s="15" t="s">
        <v>2458</v>
      </c>
      <c r="N1111" s="15" t="s">
        <v>2459</v>
      </c>
      <c r="O1111" s="15" t="s">
        <v>82</v>
      </c>
      <c r="P1111" s="15" t="s">
        <v>6009</v>
      </c>
      <c r="Q1111" s="15" t="s">
        <v>6010</v>
      </c>
      <c r="R1111" s="16">
        <v>44329</v>
      </c>
      <c r="S1111" s="17" t="s">
        <v>70</v>
      </c>
      <c r="T1111" s="20">
        <f>HYPERLINK("https://vnm.spiral.com.vn//uploaded/20210513/48d79ef8-0251-40c7-903d-42aaa3886bf0.JPEG","14:29:12")</f>
      </c>
      <c r="U1111" s="20">
        <f>HYPERLINK("https://vnm.spiral.com.vn//uploaded/20210513/bd7939b6-79c9-40ba-a409-7aad87f9b86b.JPEG","14:47:39")</f>
      </c>
      <c r="V1111" s="18">
        <v>0.0128125</v>
      </c>
      <c r="W1111" s="15" t="s">
        <v>7145</v>
      </c>
      <c r="X1111" s="15" t="s">
        <v>7146</v>
      </c>
      <c r="Y1111" s="15" t="s">
        <v>35</v>
      </c>
      <c r="Z1111" s="19">
        <v>0</v>
      </c>
      <c r="AA1111" s="15">
        <v>0</v>
      </c>
      <c r="AB1111" s="15" t="s">
        <v>35</v>
      </c>
    </row>
    <row r="1112">
      <c r="A1112" s="15">
        <v>1108</v>
      </c>
      <c r="B1112" s="15" t="s">
        <v>343</v>
      </c>
      <c r="C1112" s="15" t="s">
        <v>344</v>
      </c>
      <c r="D1112" s="15" t="s">
        <v>35</v>
      </c>
      <c r="E1112" s="15" t="s">
        <v>35</v>
      </c>
      <c r="F1112" s="15" t="s">
        <v>7087</v>
      </c>
      <c r="G1112" s="15" t="s">
        <v>36</v>
      </c>
      <c r="H1112" s="15" t="s">
        <v>7147</v>
      </c>
      <c r="I1112" s="15" t="s">
        <v>7148</v>
      </c>
      <c r="J1112" s="15" t="s">
        <v>7149</v>
      </c>
      <c r="K1112" s="15" t="s">
        <v>40</v>
      </c>
      <c r="L1112" s="15" t="s">
        <v>41</v>
      </c>
      <c r="M1112" s="15" t="s">
        <v>595</v>
      </c>
      <c r="N1112" s="15" t="s">
        <v>596</v>
      </c>
      <c r="O1112" s="15" t="s">
        <v>44</v>
      </c>
      <c r="P1112" s="15" t="s">
        <v>7150</v>
      </c>
      <c r="Q1112" s="15" t="s">
        <v>7151</v>
      </c>
      <c r="R1112" s="16">
        <v>44329</v>
      </c>
      <c r="S1112" s="17" t="s">
        <v>2703</v>
      </c>
      <c r="T1112" s="20">
        <f>HYPERLINK("https://vnm.spiral.com.vn//uploaded/20210513/95BE07A0-0948-4292-A846-9164E11E582C.jpg","14:47:22")</f>
      </c>
      <c r="U1112" s="18"/>
      <c r="V1112" s="18" t="s">
        <v>35</v>
      </c>
      <c r="W1112" s="15" t="s">
        <v>7152</v>
      </c>
      <c r="X1112" s="15" t="s">
        <v>35</v>
      </c>
      <c r="Y1112" s="15" t="s">
        <v>35</v>
      </c>
      <c r="Z1112" s="19">
        <v>0</v>
      </c>
      <c r="AA1112" s="15">
        <v>0</v>
      </c>
      <c r="AB1112" s="15" t="s">
        <v>35</v>
      </c>
    </row>
    <row r="1113">
      <c r="A1113" s="15">
        <v>1109</v>
      </c>
      <c r="B1113" s="15" t="s">
        <v>33</v>
      </c>
      <c r="C1113" s="15" t="s">
        <v>979</v>
      </c>
      <c r="D1113" s="15" t="s">
        <v>35</v>
      </c>
      <c r="E1113" s="15" t="s">
        <v>35</v>
      </c>
      <c r="F1113" s="15" t="s">
        <v>35</v>
      </c>
      <c r="G1113" s="15" t="s">
        <v>36</v>
      </c>
      <c r="H1113" s="15" t="s">
        <v>7153</v>
      </c>
      <c r="I1113" s="15" t="s">
        <v>7154</v>
      </c>
      <c r="J1113" s="15" t="s">
        <v>7155</v>
      </c>
      <c r="K1113" s="15" t="s">
        <v>40</v>
      </c>
      <c r="L1113" s="15" t="s">
        <v>41</v>
      </c>
      <c r="M1113" s="15" t="s">
        <v>42</v>
      </c>
      <c r="N1113" s="15" t="s">
        <v>43</v>
      </c>
      <c r="O1113" s="15" t="s">
        <v>44</v>
      </c>
      <c r="P1113" s="15" t="s">
        <v>7156</v>
      </c>
      <c r="Q1113" s="15" t="s">
        <v>7157</v>
      </c>
      <c r="R1113" s="16">
        <v>44329</v>
      </c>
      <c r="S1113" s="17" t="s">
        <v>686</v>
      </c>
      <c r="T1113" s="20">
        <f>HYPERLINK("https://vnm.spiral.com.vn//uploaded/20210513/E3ECDD7A-81B2-4831-A0E0-A89B1F57A3D4.jpg","14:47:14")</f>
      </c>
      <c r="U1113" s="18"/>
      <c r="V1113" s="18" t="s">
        <v>35</v>
      </c>
      <c r="W1113" s="15" t="s">
        <v>7158</v>
      </c>
      <c r="X1113" s="15" t="s">
        <v>35</v>
      </c>
      <c r="Y1113" s="15" t="s">
        <v>35</v>
      </c>
      <c r="Z1113" s="19">
        <v>0</v>
      </c>
      <c r="AA1113" s="15">
        <v>0</v>
      </c>
      <c r="AB1113" s="15" t="s">
        <v>35</v>
      </c>
    </row>
    <row r="1114">
      <c r="A1114" s="15">
        <v>1110</v>
      </c>
      <c r="B1114" s="15" t="s">
        <v>33</v>
      </c>
      <c r="C1114" s="15" t="s">
        <v>979</v>
      </c>
      <c r="D1114" s="15" t="s">
        <v>35</v>
      </c>
      <c r="E1114" s="15" t="s">
        <v>35</v>
      </c>
      <c r="F1114" s="15" t="s">
        <v>35</v>
      </c>
      <c r="G1114" s="15" t="s">
        <v>36</v>
      </c>
      <c r="H1114" s="15" t="s">
        <v>7153</v>
      </c>
      <c r="I1114" s="15" t="s">
        <v>7154</v>
      </c>
      <c r="J1114" s="15" t="s">
        <v>7155</v>
      </c>
      <c r="K1114" s="15" t="s">
        <v>40</v>
      </c>
      <c r="L1114" s="15" t="s">
        <v>41</v>
      </c>
      <c r="M1114" s="15" t="s">
        <v>42</v>
      </c>
      <c r="N1114" s="15" t="s">
        <v>43</v>
      </c>
      <c r="O1114" s="15" t="s">
        <v>44</v>
      </c>
      <c r="P1114" s="15" t="s">
        <v>7156</v>
      </c>
      <c r="Q1114" s="15" t="s">
        <v>7157</v>
      </c>
      <c r="R1114" s="16">
        <v>44329</v>
      </c>
      <c r="S1114" s="17" t="s">
        <v>317</v>
      </c>
      <c r="T1114" s="20">
        <f>HYPERLINK("https://vnm.spiral.com.vn//uploaded/20210513/04CF7773-8F25-4B01-96E6-06077E61BC8A.jpg","08:08:48")</f>
      </c>
      <c r="U1114" s="20">
        <f>HYPERLINK("https://vnm.spiral.com.vn//uploaded/20210513/18CE10C1-D1D9-4742-9EF9-4639AA409FD8.jpg","14:46:57")</f>
      </c>
      <c r="V1114" s="18">
        <v>0.27649305555555553</v>
      </c>
      <c r="W1114" s="15" t="s">
        <v>7159</v>
      </c>
      <c r="X1114" s="15" t="s">
        <v>7158</v>
      </c>
      <c r="Y1114" s="15" t="s">
        <v>35</v>
      </c>
      <c r="Z1114" s="19">
        <v>0</v>
      </c>
      <c r="AA1114" s="15">
        <v>0</v>
      </c>
      <c r="AB1114" s="15" t="s">
        <v>35</v>
      </c>
    </row>
    <row r="1115">
      <c r="A1115" s="15">
        <v>1111</v>
      </c>
      <c r="B1115" s="15" t="s">
        <v>103</v>
      </c>
      <c r="C1115" s="15" t="s">
        <v>186</v>
      </c>
      <c r="D1115" s="15" t="s">
        <v>35</v>
      </c>
      <c r="E1115" s="15" t="s">
        <v>35</v>
      </c>
      <c r="F1115" s="15" t="s">
        <v>35</v>
      </c>
      <c r="G1115" s="15" t="s">
        <v>36</v>
      </c>
      <c r="H1115" s="15" t="s">
        <v>7160</v>
      </c>
      <c r="I1115" s="15" t="s">
        <v>7161</v>
      </c>
      <c r="J1115" s="15" t="s">
        <v>7162</v>
      </c>
      <c r="K1115" s="15" t="s">
        <v>40</v>
      </c>
      <c r="L1115" s="15" t="s">
        <v>41</v>
      </c>
      <c r="M1115" s="15" t="s">
        <v>565</v>
      </c>
      <c r="N1115" s="15" t="s">
        <v>566</v>
      </c>
      <c r="O1115" s="15" t="s">
        <v>44</v>
      </c>
      <c r="P1115" s="15" t="s">
        <v>7163</v>
      </c>
      <c r="Q1115" s="15" t="s">
        <v>2685</v>
      </c>
      <c r="R1115" s="16">
        <v>44329</v>
      </c>
      <c r="S1115" s="17" t="s">
        <v>686</v>
      </c>
      <c r="T1115" s="20">
        <f>HYPERLINK("https://vnm.spiral.com.vn//uploaded/20210513/8a281cf2-75da-4a40-ba3c-72e53effe822.JPEG","14:46:11")</f>
      </c>
      <c r="U1115" s="18"/>
      <c r="V1115" s="18" t="s">
        <v>35</v>
      </c>
      <c r="W1115" s="15" t="s">
        <v>7164</v>
      </c>
      <c r="X1115" s="15" t="s">
        <v>35</v>
      </c>
      <c r="Y1115" s="15" t="s">
        <v>35</v>
      </c>
      <c r="Z1115" s="19">
        <v>0</v>
      </c>
      <c r="AA1115" s="15">
        <v>0</v>
      </c>
      <c r="AB1115" s="15" t="s">
        <v>35</v>
      </c>
    </row>
    <row r="1116">
      <c r="A1116" s="15">
        <v>1112</v>
      </c>
      <c r="B1116" s="15" t="s">
        <v>87</v>
      </c>
      <c r="C1116" s="15" t="s">
        <v>88</v>
      </c>
      <c r="D1116" s="15" t="s">
        <v>610</v>
      </c>
      <c r="E1116" s="15" t="s">
        <v>90</v>
      </c>
      <c r="F1116" s="15" t="s">
        <v>35</v>
      </c>
      <c r="G1116" s="15" t="s">
        <v>74</v>
      </c>
      <c r="H1116" s="15" t="s">
        <v>7165</v>
      </c>
      <c r="I1116" s="15" t="s">
        <v>7166</v>
      </c>
      <c r="J1116" s="15" t="s">
        <v>7167</v>
      </c>
      <c r="K1116" s="15" t="s">
        <v>94</v>
      </c>
      <c r="L1116" s="15" t="s">
        <v>95</v>
      </c>
      <c r="M1116" s="15" t="s">
        <v>614</v>
      </c>
      <c r="N1116" s="15" t="s">
        <v>615</v>
      </c>
      <c r="O1116" s="15" t="s">
        <v>82</v>
      </c>
      <c r="P1116" s="15" t="s">
        <v>1341</v>
      </c>
      <c r="Q1116" s="15" t="s">
        <v>1342</v>
      </c>
      <c r="R1116" s="16">
        <v>44329</v>
      </c>
      <c r="S1116" s="17" t="s">
        <v>70</v>
      </c>
      <c r="T1116" s="20">
        <f>HYPERLINK("https://vnm.spiral.com.vn//uploaded/20210513/9A3B7A19-1AA1-4050-ADC0-044EAE26611C.jpg","14:22:53")</f>
      </c>
      <c r="U1116" s="20">
        <f>HYPERLINK("https://vnm.spiral.com.vn//uploaded/20210513/F6FF470A-0F67-489C-8B78-9121E3924703.jpg","14:46:07")</f>
      </c>
      <c r="V1116" s="18">
        <v>0.016134259259259258</v>
      </c>
      <c r="W1116" s="15" t="s">
        <v>7168</v>
      </c>
      <c r="X1116" s="15" t="s">
        <v>7169</v>
      </c>
      <c r="Y1116" s="15" t="s">
        <v>35</v>
      </c>
      <c r="Z1116" s="19">
        <v>0</v>
      </c>
      <c r="AA1116" s="15">
        <v>0</v>
      </c>
      <c r="AB1116" s="15" t="s">
        <v>35</v>
      </c>
    </row>
    <row r="1117">
      <c r="A1117" s="15">
        <v>1113</v>
      </c>
      <c r="B1117" s="15" t="s">
        <v>87</v>
      </c>
      <c r="C1117" s="15" t="s">
        <v>88</v>
      </c>
      <c r="D1117" s="15" t="s">
        <v>35</v>
      </c>
      <c r="E1117" s="15" t="s">
        <v>35</v>
      </c>
      <c r="F1117" s="15" t="s">
        <v>4780</v>
      </c>
      <c r="G1117" s="15" t="s">
        <v>36</v>
      </c>
      <c r="H1117" s="15" t="s">
        <v>7170</v>
      </c>
      <c r="I1117" s="15" t="s">
        <v>7171</v>
      </c>
      <c r="J1117" s="15" t="s">
        <v>7172</v>
      </c>
      <c r="K1117" s="15" t="s">
        <v>40</v>
      </c>
      <c r="L1117" s="15" t="s">
        <v>41</v>
      </c>
      <c r="M1117" s="15" t="s">
        <v>810</v>
      </c>
      <c r="N1117" s="15" t="s">
        <v>811</v>
      </c>
      <c r="O1117" s="15" t="s">
        <v>44</v>
      </c>
      <c r="P1117" s="15" t="s">
        <v>7173</v>
      </c>
      <c r="Q1117" s="15" t="s">
        <v>7174</v>
      </c>
      <c r="R1117" s="16">
        <v>44329</v>
      </c>
      <c r="S1117" s="17" t="s">
        <v>2925</v>
      </c>
      <c r="T1117" s="20">
        <f>HYPERLINK("https://vnm.spiral.com.vn//uploaded/20210513/31af1a72-d167-454e-aedd-9e95d55b3bd1.JPEG","14:45:52")</f>
      </c>
      <c r="U1117" s="18"/>
      <c r="V1117" s="18" t="s">
        <v>35</v>
      </c>
      <c r="W1117" s="15" t="s">
        <v>7175</v>
      </c>
      <c r="X1117" s="15" t="s">
        <v>35</v>
      </c>
      <c r="Y1117" s="15" t="s">
        <v>35</v>
      </c>
      <c r="Z1117" s="19">
        <v>0</v>
      </c>
      <c r="AA1117" s="15">
        <v>0</v>
      </c>
      <c r="AB1117" s="15" t="s">
        <v>35</v>
      </c>
    </row>
    <row r="1118">
      <c r="A1118" s="15">
        <v>1114</v>
      </c>
      <c r="B1118" s="15" t="s">
        <v>61</v>
      </c>
      <c r="C1118" s="15" t="s">
        <v>398</v>
      </c>
      <c r="D1118" s="15" t="s">
        <v>35</v>
      </c>
      <c r="E1118" s="15" t="s">
        <v>35</v>
      </c>
      <c r="F1118" s="15" t="s">
        <v>35</v>
      </c>
      <c r="G1118" s="15" t="s">
        <v>36</v>
      </c>
      <c r="H1118" s="15" t="s">
        <v>7176</v>
      </c>
      <c r="I1118" s="15" t="s">
        <v>7177</v>
      </c>
      <c r="J1118" s="15" t="s">
        <v>7178</v>
      </c>
      <c r="K1118" s="15" t="s">
        <v>40</v>
      </c>
      <c r="L1118" s="15" t="s">
        <v>41</v>
      </c>
      <c r="M1118" s="15" t="s">
        <v>66</v>
      </c>
      <c r="N1118" s="15" t="s">
        <v>67</v>
      </c>
      <c r="O1118" s="15" t="s">
        <v>44</v>
      </c>
      <c r="P1118" s="15" t="s">
        <v>7179</v>
      </c>
      <c r="Q1118" s="15" t="s">
        <v>7180</v>
      </c>
      <c r="R1118" s="16">
        <v>44329</v>
      </c>
      <c r="S1118" s="17" t="s">
        <v>7181</v>
      </c>
      <c r="T1118" s="20">
        <f>HYPERLINK("https://vnm.spiral.com.vn//uploaded/20210513/3557473b-9edc-4a2d-aa4c-de79cc19b90b.JPEG","06:34:20")</f>
      </c>
      <c r="U1118" s="20">
        <f>HYPERLINK("https://vnm.spiral.com.vn//uploaded/20210513/0b263f83-87b5-4e8d-a001-6654343fe2ec.JPEG","14:45:31")</f>
      </c>
      <c r="V1118" s="18">
        <v>0.34109953703703705</v>
      </c>
      <c r="W1118" s="15" t="s">
        <v>7182</v>
      </c>
      <c r="X1118" s="15" t="s">
        <v>7183</v>
      </c>
      <c r="Y1118" s="15" t="s">
        <v>35</v>
      </c>
      <c r="Z1118" s="19">
        <v>0</v>
      </c>
      <c r="AA1118" s="15">
        <v>0</v>
      </c>
      <c r="AB1118" s="15" t="s">
        <v>35</v>
      </c>
    </row>
    <row r="1119">
      <c r="A1119" s="15">
        <v>1115</v>
      </c>
      <c r="B1119" s="15" t="s">
        <v>103</v>
      </c>
      <c r="C1119" s="15" t="s">
        <v>186</v>
      </c>
      <c r="D1119" s="15" t="s">
        <v>135</v>
      </c>
      <c r="E1119" s="15" t="s">
        <v>116</v>
      </c>
      <c r="F1119" s="15" t="s">
        <v>35</v>
      </c>
      <c r="G1119" s="15" t="s">
        <v>74</v>
      </c>
      <c r="H1119" s="15" t="s">
        <v>7184</v>
      </c>
      <c r="I1119" s="15" t="s">
        <v>7185</v>
      </c>
      <c r="J1119" s="15" t="s">
        <v>7186</v>
      </c>
      <c r="K1119" s="15" t="s">
        <v>190</v>
      </c>
      <c r="L1119" s="15" t="s">
        <v>191</v>
      </c>
      <c r="M1119" s="15" t="s">
        <v>436</v>
      </c>
      <c r="N1119" s="15" t="s">
        <v>437</v>
      </c>
      <c r="O1119" s="15" t="s">
        <v>98</v>
      </c>
      <c r="P1119" s="15" t="s">
        <v>438</v>
      </c>
      <c r="Q1119" s="15" t="s">
        <v>439</v>
      </c>
      <c r="R1119" s="16">
        <v>44329</v>
      </c>
      <c r="S1119" s="17" t="s">
        <v>70</v>
      </c>
      <c r="T1119" s="20">
        <f>HYPERLINK("https://vnm.spiral.com.vn//uploaded/20210513/2788BDC5-4629-487C-9627-33069BEE401B.jpg","13:36:54")</f>
      </c>
      <c r="U1119" s="20">
        <f>HYPERLINK("https://vnm.spiral.com.vn//uploaded/20210513/312616D0-8BC4-42F9-999D-BCE6EB2E741B.jpg","14:44:12")</f>
      </c>
      <c r="V1119" s="18">
        <v>0.04673611111111111</v>
      </c>
      <c r="W1119" s="15" t="s">
        <v>7187</v>
      </c>
      <c r="X1119" s="15" t="s">
        <v>7188</v>
      </c>
      <c r="Y1119" s="15" t="s">
        <v>35</v>
      </c>
      <c r="Z1119" s="19">
        <v>0</v>
      </c>
      <c r="AA1119" s="15">
        <v>0</v>
      </c>
      <c r="AB1119" s="15" t="s">
        <v>35</v>
      </c>
    </row>
    <row r="1120">
      <c r="A1120" s="15">
        <v>1116</v>
      </c>
      <c r="B1120" s="15" t="s">
        <v>343</v>
      </c>
      <c r="C1120" s="15" t="s">
        <v>344</v>
      </c>
      <c r="D1120" s="15" t="s">
        <v>1644</v>
      </c>
      <c r="E1120" s="15" t="s">
        <v>35</v>
      </c>
      <c r="F1120" s="15" t="s">
        <v>35</v>
      </c>
      <c r="G1120" s="15" t="s">
        <v>74</v>
      </c>
      <c r="H1120" s="15" t="s">
        <v>7189</v>
      </c>
      <c r="I1120" s="15" t="s">
        <v>7190</v>
      </c>
      <c r="J1120" s="15" t="s">
        <v>7191</v>
      </c>
      <c r="K1120" s="15" t="s">
        <v>584</v>
      </c>
      <c r="L1120" s="15" t="s">
        <v>585</v>
      </c>
      <c r="M1120" s="15" t="s">
        <v>827</v>
      </c>
      <c r="N1120" s="15" t="s">
        <v>828</v>
      </c>
      <c r="O1120" s="15" t="s">
        <v>82</v>
      </c>
      <c r="P1120" s="15" t="s">
        <v>2717</v>
      </c>
      <c r="Q1120" s="15" t="s">
        <v>2718</v>
      </c>
      <c r="R1120" s="16">
        <v>44329</v>
      </c>
      <c r="S1120" s="17" t="s">
        <v>70</v>
      </c>
      <c r="T1120" s="20">
        <f>HYPERLINK("https://vnm.spiral.com.vn//uploaded/20210513/9A903513-CCF6-49A5-A763-E49AC2596B06.jpg","14:27:19")</f>
      </c>
      <c r="U1120" s="20">
        <f>HYPERLINK("https://vnm.spiral.com.vn//uploaded/20210513/3D766E2C-6446-4122-A017-8D3755CF2BEA.jpg","14:44:08")</f>
      </c>
      <c r="V1120" s="18">
        <v>0.01167824074074074</v>
      </c>
      <c r="W1120" s="15" t="s">
        <v>7192</v>
      </c>
      <c r="X1120" s="15" t="s">
        <v>7193</v>
      </c>
      <c r="Y1120" s="15" t="s">
        <v>35</v>
      </c>
      <c r="Z1120" s="19">
        <v>0</v>
      </c>
      <c r="AA1120" s="15">
        <v>0</v>
      </c>
      <c r="AB1120" s="15" t="s">
        <v>35</v>
      </c>
    </row>
    <row r="1121">
      <c r="A1121" s="15">
        <v>1117</v>
      </c>
      <c r="B1121" s="15" t="s">
        <v>87</v>
      </c>
      <c r="C1121" s="15" t="s">
        <v>88</v>
      </c>
      <c r="D1121" s="15" t="s">
        <v>357</v>
      </c>
      <c r="E1121" s="15" t="s">
        <v>90</v>
      </c>
      <c r="F1121" s="15" t="s">
        <v>35</v>
      </c>
      <c r="G1121" s="15" t="s">
        <v>74</v>
      </c>
      <c r="H1121" s="15" t="s">
        <v>7194</v>
      </c>
      <c r="I1121" s="15" t="s">
        <v>7195</v>
      </c>
      <c r="J1121" s="15" t="s">
        <v>7196</v>
      </c>
      <c r="K1121" s="15" t="s">
        <v>1570</v>
      </c>
      <c r="L1121" s="15" t="s">
        <v>1571</v>
      </c>
      <c r="M1121" s="15" t="s">
        <v>1572</v>
      </c>
      <c r="N1121" s="15" t="s">
        <v>1573</v>
      </c>
      <c r="O1121" s="15" t="s">
        <v>82</v>
      </c>
      <c r="P1121" s="15" t="s">
        <v>1579</v>
      </c>
      <c r="Q1121" s="15" t="s">
        <v>1580</v>
      </c>
      <c r="R1121" s="16">
        <v>44329</v>
      </c>
      <c r="S1121" s="17" t="s">
        <v>70</v>
      </c>
      <c r="T1121" s="20">
        <f>HYPERLINK("https://vnm.spiral.com.vn//uploaded/20210513/452B9346-8224-4CC5-97EE-135D77F09AE4.jpg","14:09:32")</f>
      </c>
      <c r="U1121" s="20">
        <f>HYPERLINK("https://vnm.spiral.com.vn//uploaded/20210513/4576725D-05E3-49AE-BF37-F6586C9B9872.jpg","14:43:44")</f>
      </c>
      <c r="V1121" s="18">
        <v>0.02375</v>
      </c>
      <c r="W1121" s="15" t="s">
        <v>7197</v>
      </c>
      <c r="X1121" s="15" t="s">
        <v>7198</v>
      </c>
      <c r="Y1121" s="15" t="s">
        <v>35</v>
      </c>
      <c r="Z1121" s="19">
        <v>0</v>
      </c>
      <c r="AA1121" s="15">
        <v>0</v>
      </c>
      <c r="AB1121" s="15" t="s">
        <v>35</v>
      </c>
    </row>
    <row r="1122">
      <c r="A1122" s="15">
        <v>1118</v>
      </c>
      <c r="B1122" s="15" t="s">
        <v>87</v>
      </c>
      <c r="C1122" s="15" t="s">
        <v>88</v>
      </c>
      <c r="D1122" s="15" t="s">
        <v>432</v>
      </c>
      <c r="E1122" s="15" t="s">
        <v>116</v>
      </c>
      <c r="F1122" s="15" t="s">
        <v>35</v>
      </c>
      <c r="G1122" s="15" t="s">
        <v>74</v>
      </c>
      <c r="H1122" s="15" t="s">
        <v>7199</v>
      </c>
      <c r="I1122" s="15" t="s">
        <v>7200</v>
      </c>
      <c r="J1122" s="15" t="s">
        <v>7201</v>
      </c>
      <c r="K1122" s="15" t="s">
        <v>625</v>
      </c>
      <c r="L1122" s="15" t="s">
        <v>626</v>
      </c>
      <c r="M1122" s="15" t="s">
        <v>627</v>
      </c>
      <c r="N1122" s="15" t="s">
        <v>628</v>
      </c>
      <c r="O1122" s="15" t="s">
        <v>82</v>
      </c>
      <c r="P1122" s="15" t="s">
        <v>1804</v>
      </c>
      <c r="Q1122" s="15" t="s">
        <v>1805</v>
      </c>
      <c r="R1122" s="16">
        <v>44329</v>
      </c>
      <c r="S1122" s="17" t="s">
        <v>70</v>
      </c>
      <c r="T1122" s="20">
        <f>HYPERLINK("https://vnm.spiral.com.vn//uploaded/20210513/599d5dd2-076d-4a88-b650-71f45c277017.JPEG","13:58:12")</f>
      </c>
      <c r="U1122" s="20">
        <f>HYPERLINK("https://vnm.spiral.com.vn//uploaded/20210513/38e2c0f8-39bf-4ecd-89fb-cfb165d40aa9.JPEG","14:43:42")</f>
      </c>
      <c r="V1122" s="18">
        <v>0.03159722222222222</v>
      </c>
      <c r="W1122" s="15" t="s">
        <v>7202</v>
      </c>
      <c r="X1122" s="15" t="s">
        <v>7203</v>
      </c>
      <c r="Y1122" s="15" t="s">
        <v>35</v>
      </c>
      <c r="Z1122" s="19">
        <v>0</v>
      </c>
      <c r="AA1122" s="15">
        <v>0</v>
      </c>
      <c r="AB1122" s="15" t="s">
        <v>35</v>
      </c>
    </row>
    <row r="1123">
      <c r="A1123" s="15">
        <v>1119</v>
      </c>
      <c r="B1123" s="15" t="s">
        <v>343</v>
      </c>
      <c r="C1123" s="15" t="s">
        <v>344</v>
      </c>
      <c r="D1123" s="15" t="s">
        <v>432</v>
      </c>
      <c r="E1123" s="15" t="s">
        <v>116</v>
      </c>
      <c r="F1123" s="15" t="s">
        <v>35</v>
      </c>
      <c r="G1123" s="15" t="s">
        <v>74</v>
      </c>
      <c r="H1123" s="15" t="s">
        <v>7204</v>
      </c>
      <c r="I1123" s="15" t="s">
        <v>7205</v>
      </c>
      <c r="J1123" s="15" t="s">
        <v>7206</v>
      </c>
      <c r="K1123" s="15" t="s">
        <v>915</v>
      </c>
      <c r="L1123" s="15" t="s">
        <v>916</v>
      </c>
      <c r="M1123" s="15" t="s">
        <v>1168</v>
      </c>
      <c r="N1123" s="15" t="s">
        <v>1169</v>
      </c>
      <c r="O1123" s="15" t="s">
        <v>98</v>
      </c>
      <c r="P1123" s="15" t="s">
        <v>1170</v>
      </c>
      <c r="Q1123" s="15" t="s">
        <v>1171</v>
      </c>
      <c r="R1123" s="16">
        <v>44329</v>
      </c>
      <c r="S1123" s="17" t="s">
        <v>70</v>
      </c>
      <c r="T1123" s="20">
        <f>HYPERLINK("https://vnm.spiral.com.vn//uploaded/20210513/665e9f61-f5b4-40e1-bedb-21dddfd3ae98.JPEG","08:29:09")</f>
      </c>
      <c r="U1123" s="20">
        <f>HYPERLINK("https://vnm.spiral.com.vn//uploaded/20210513/863204d0-fe32-433d-aff0-a25b4ac3ed80.JPEG","14:43:37")</f>
      </c>
      <c r="V1123" s="18">
        <v>0.2600462962962963</v>
      </c>
      <c r="W1123" s="15" t="s">
        <v>7207</v>
      </c>
      <c r="X1123" s="15" t="s">
        <v>7208</v>
      </c>
      <c r="Y1123" s="15" t="s">
        <v>35</v>
      </c>
      <c r="Z1123" s="19">
        <v>0</v>
      </c>
      <c r="AA1123" s="15">
        <v>0</v>
      </c>
      <c r="AB1123" s="15" t="s">
        <v>35</v>
      </c>
    </row>
    <row r="1124">
      <c r="A1124" s="15">
        <v>1120</v>
      </c>
      <c r="B1124" s="15" t="s">
        <v>343</v>
      </c>
      <c r="C1124" s="15" t="s">
        <v>645</v>
      </c>
      <c r="D1124" s="15" t="s">
        <v>35</v>
      </c>
      <c r="E1124" s="15" t="s">
        <v>35</v>
      </c>
      <c r="F1124" s="15" t="s">
        <v>35</v>
      </c>
      <c r="G1124" s="15" t="s">
        <v>36</v>
      </c>
      <c r="H1124" s="15" t="s">
        <v>7209</v>
      </c>
      <c r="I1124" s="15" t="s">
        <v>7210</v>
      </c>
      <c r="J1124" s="15" t="s">
        <v>7211</v>
      </c>
      <c r="K1124" s="15" t="s">
        <v>40</v>
      </c>
      <c r="L1124" s="15" t="s">
        <v>41</v>
      </c>
      <c r="M1124" s="15" t="s">
        <v>42</v>
      </c>
      <c r="N1124" s="15" t="s">
        <v>43</v>
      </c>
      <c r="O1124" s="15" t="s">
        <v>44</v>
      </c>
      <c r="P1124" s="15" t="s">
        <v>7212</v>
      </c>
      <c r="Q1124" s="15" t="s">
        <v>7213</v>
      </c>
      <c r="R1124" s="16">
        <v>44329</v>
      </c>
      <c r="S1124" s="17" t="s">
        <v>5993</v>
      </c>
      <c r="T1124" s="20">
        <f>HYPERLINK("https://vnm.spiral.com.vn//uploaded/20210513/b6b8f3f1-d5f0-4534-ac39-c7d1b94d1fa5.JPEG","14:43:36")</f>
      </c>
      <c r="U1124" s="18"/>
      <c r="V1124" s="18" t="s">
        <v>35</v>
      </c>
      <c r="W1124" s="15" t="s">
        <v>7214</v>
      </c>
      <c r="X1124" s="15" t="s">
        <v>35</v>
      </c>
      <c r="Y1124" s="15" t="s">
        <v>35</v>
      </c>
      <c r="Z1124" s="19">
        <v>0</v>
      </c>
      <c r="AA1124" s="15">
        <v>0</v>
      </c>
      <c r="AB1124" s="15" t="s">
        <v>35</v>
      </c>
    </row>
    <row r="1125">
      <c r="A1125" s="15">
        <v>1121</v>
      </c>
      <c r="B1125" s="15" t="s">
        <v>103</v>
      </c>
      <c r="C1125" s="15" t="s">
        <v>186</v>
      </c>
      <c r="D1125" s="15" t="s">
        <v>135</v>
      </c>
      <c r="E1125" s="15" t="s">
        <v>116</v>
      </c>
      <c r="F1125" s="15" t="s">
        <v>35</v>
      </c>
      <c r="G1125" s="15" t="s">
        <v>74</v>
      </c>
      <c r="H1125" s="15" t="s">
        <v>7215</v>
      </c>
      <c r="I1125" s="15" t="s">
        <v>7216</v>
      </c>
      <c r="J1125" s="15" t="s">
        <v>7217</v>
      </c>
      <c r="K1125" s="15" t="s">
        <v>436</v>
      </c>
      <c r="L1125" s="15" t="s">
        <v>437</v>
      </c>
      <c r="M1125" s="15" t="s">
        <v>438</v>
      </c>
      <c r="N1125" s="15" t="s">
        <v>439</v>
      </c>
      <c r="O1125" s="15" t="s">
        <v>82</v>
      </c>
      <c r="P1125" s="15" t="s">
        <v>2431</v>
      </c>
      <c r="Q1125" s="15" t="s">
        <v>2432</v>
      </c>
      <c r="R1125" s="16">
        <v>44329</v>
      </c>
      <c r="S1125" s="17" t="s">
        <v>70</v>
      </c>
      <c r="T1125" s="20">
        <f>HYPERLINK("https://vnm.spiral.com.vn//uploaded/20210513/AB6DC435-A178-4610-B407-529910140BD5.jpg","13:59:24")</f>
      </c>
      <c r="U1125" s="20">
        <f>HYPERLINK("https://vnm.spiral.com.vn//uploaded/20210513/C250A189-1AD1-4138-B4D2-3ED7158E3050.jpg","14:43:06")</f>
      </c>
      <c r="V1125" s="18">
        <v>0.030347222222222223</v>
      </c>
      <c r="W1125" s="15" t="s">
        <v>7218</v>
      </c>
      <c r="X1125" s="15" t="s">
        <v>7219</v>
      </c>
      <c r="Y1125" s="15" t="s">
        <v>35</v>
      </c>
      <c r="Z1125" s="19">
        <v>0</v>
      </c>
      <c r="AA1125" s="15">
        <v>0</v>
      </c>
      <c r="AB1125" s="15" t="s">
        <v>35</v>
      </c>
    </row>
    <row r="1126">
      <c r="A1126" s="15">
        <v>1122</v>
      </c>
      <c r="B1126" s="15" t="s">
        <v>61</v>
      </c>
      <c r="C1126" s="15" t="s">
        <v>303</v>
      </c>
      <c r="D1126" s="15" t="s">
        <v>432</v>
      </c>
      <c r="E1126" s="15" t="s">
        <v>116</v>
      </c>
      <c r="F1126" s="15" t="s">
        <v>35</v>
      </c>
      <c r="G1126" s="15" t="s">
        <v>74</v>
      </c>
      <c r="H1126" s="15" t="s">
        <v>7220</v>
      </c>
      <c r="I1126" s="15" t="s">
        <v>7221</v>
      </c>
      <c r="J1126" s="15" t="s">
        <v>7222</v>
      </c>
      <c r="K1126" s="15" t="s">
        <v>309</v>
      </c>
      <c r="L1126" s="15" t="s">
        <v>310</v>
      </c>
      <c r="M1126" s="15" t="s">
        <v>311</v>
      </c>
      <c r="N1126" s="15" t="s">
        <v>312</v>
      </c>
      <c r="O1126" s="15" t="s">
        <v>82</v>
      </c>
      <c r="P1126" s="15" t="s">
        <v>7223</v>
      </c>
      <c r="Q1126" s="15" t="s">
        <v>7224</v>
      </c>
      <c r="R1126" s="16">
        <v>44329</v>
      </c>
      <c r="S1126" s="17" t="s">
        <v>70</v>
      </c>
      <c r="T1126" s="20">
        <f>HYPERLINK("https://vnm.spiral.com.vn//uploaded/20210513/5AA516FB-EA3D-44F7-B4FC-1EBEA3E1DB0B.jpg","14:19:53")</f>
      </c>
      <c r="U1126" s="20">
        <f>HYPERLINK("https://vnm.spiral.com.vn//uploaded/20210513/58AD4456-CC68-415B-9540-C7F25B2B6DBE.jpg","14:42:51")</f>
      </c>
      <c r="V1126" s="18">
        <v>0.015949074074074074</v>
      </c>
      <c r="W1126" s="15" t="s">
        <v>7225</v>
      </c>
      <c r="X1126" s="15" t="s">
        <v>7226</v>
      </c>
      <c r="Y1126" s="15" t="s">
        <v>35</v>
      </c>
      <c r="Z1126" s="19">
        <v>0</v>
      </c>
      <c r="AA1126" s="15">
        <v>0</v>
      </c>
      <c r="AB1126" s="15" t="s">
        <v>35</v>
      </c>
    </row>
    <row r="1127">
      <c r="A1127" s="15">
        <v>1123</v>
      </c>
      <c r="B1127" s="15" t="s">
        <v>343</v>
      </c>
      <c r="C1127" s="15" t="s">
        <v>7227</v>
      </c>
      <c r="D1127" s="15" t="s">
        <v>35</v>
      </c>
      <c r="E1127" s="15" t="s">
        <v>35</v>
      </c>
      <c r="F1127" s="15" t="s">
        <v>7228</v>
      </c>
      <c r="G1127" s="15" t="s">
        <v>36</v>
      </c>
      <c r="H1127" s="15" t="s">
        <v>7229</v>
      </c>
      <c r="I1127" s="15" t="s">
        <v>7230</v>
      </c>
      <c r="J1127" s="15" t="s">
        <v>7231</v>
      </c>
      <c r="K1127" s="15" t="s">
        <v>40</v>
      </c>
      <c r="L1127" s="15" t="s">
        <v>41</v>
      </c>
      <c r="M1127" s="15" t="s">
        <v>595</v>
      </c>
      <c r="N1127" s="15" t="s">
        <v>596</v>
      </c>
      <c r="O1127" s="15" t="s">
        <v>44</v>
      </c>
      <c r="P1127" s="15" t="s">
        <v>7232</v>
      </c>
      <c r="Q1127" s="15" t="s">
        <v>7233</v>
      </c>
      <c r="R1127" s="16">
        <v>44329</v>
      </c>
      <c r="S1127" s="17" t="s">
        <v>2703</v>
      </c>
      <c r="T1127" s="20">
        <f>HYPERLINK("https://vnm.spiral.com.vn//uploaded/20210513/bd02f5b0-9494-4845-bb91-daac5ba0a022.JPEG","14:41:53")</f>
      </c>
      <c r="U1127" s="18"/>
      <c r="V1127" s="18" t="s">
        <v>35</v>
      </c>
      <c r="W1127" s="15" t="s">
        <v>7234</v>
      </c>
      <c r="X1127" s="15" t="s">
        <v>35</v>
      </c>
      <c r="Y1127" s="15" t="s">
        <v>35</v>
      </c>
      <c r="Z1127" s="19">
        <v>0</v>
      </c>
      <c r="AA1127" s="15">
        <v>0</v>
      </c>
      <c r="AB1127" s="15" t="s">
        <v>35</v>
      </c>
    </row>
    <row r="1128">
      <c r="A1128" s="15">
        <v>1124</v>
      </c>
      <c r="B1128" s="15" t="s">
        <v>87</v>
      </c>
      <c r="C1128" s="15" t="s">
        <v>88</v>
      </c>
      <c r="D1128" s="15" t="s">
        <v>432</v>
      </c>
      <c r="E1128" s="15" t="s">
        <v>116</v>
      </c>
      <c r="F1128" s="15" t="s">
        <v>35</v>
      </c>
      <c r="G1128" s="15" t="s">
        <v>74</v>
      </c>
      <c r="H1128" s="15" t="s">
        <v>7235</v>
      </c>
      <c r="I1128" s="15" t="s">
        <v>7236</v>
      </c>
      <c r="J1128" s="15" t="s">
        <v>7237</v>
      </c>
      <c r="K1128" s="15" t="s">
        <v>625</v>
      </c>
      <c r="L1128" s="15" t="s">
        <v>626</v>
      </c>
      <c r="M1128" s="15" t="s">
        <v>1022</v>
      </c>
      <c r="N1128" s="15" t="s">
        <v>1023</v>
      </c>
      <c r="O1128" s="15" t="s">
        <v>82</v>
      </c>
      <c r="P1128" s="15" t="s">
        <v>2209</v>
      </c>
      <c r="Q1128" s="15" t="s">
        <v>2210</v>
      </c>
      <c r="R1128" s="16">
        <v>44329</v>
      </c>
      <c r="S1128" s="17" t="s">
        <v>70</v>
      </c>
      <c r="T1128" s="20">
        <f>HYPERLINK("https://vnm.spiral.com.vn//uploaded/20210513/0ce3e354-db31-487d-b607-50af118e68d3.jpg","13:44:29")</f>
      </c>
      <c r="U1128" s="20">
        <f>HYPERLINK("https://vnm.spiral.com.vn//uploaded/20210513/0ac93074-7aa9-4856-93bd-f1c84e055644.jpg","14:41:47")</f>
      </c>
      <c r="V1128" s="18">
        <v>0.03979166666666667</v>
      </c>
      <c r="W1128" s="15" t="s">
        <v>7238</v>
      </c>
      <c r="X1128" s="15" t="s">
        <v>7239</v>
      </c>
      <c r="Y1128" s="15" t="s">
        <v>35</v>
      </c>
      <c r="Z1128" s="19">
        <v>0</v>
      </c>
      <c r="AA1128" s="15">
        <v>0</v>
      </c>
      <c r="AB1128" s="15" t="s">
        <v>35</v>
      </c>
    </row>
    <row r="1129">
      <c r="A1129" s="15">
        <v>1125</v>
      </c>
      <c r="B1129" s="15" t="s">
        <v>87</v>
      </c>
      <c r="C1129" s="15" t="s">
        <v>88</v>
      </c>
      <c r="D1129" s="15" t="s">
        <v>135</v>
      </c>
      <c r="E1129" s="15" t="s">
        <v>116</v>
      </c>
      <c r="F1129" s="15" t="s">
        <v>35</v>
      </c>
      <c r="G1129" s="15" t="s">
        <v>74</v>
      </c>
      <c r="H1129" s="15" t="s">
        <v>7240</v>
      </c>
      <c r="I1129" s="15" t="s">
        <v>7241</v>
      </c>
      <c r="J1129" s="15" t="s">
        <v>7242</v>
      </c>
      <c r="K1129" s="15" t="s">
        <v>139</v>
      </c>
      <c r="L1129" s="15" t="s">
        <v>140</v>
      </c>
      <c r="M1129" s="15" t="s">
        <v>530</v>
      </c>
      <c r="N1129" s="15" t="s">
        <v>531</v>
      </c>
      <c r="O1129" s="15" t="s">
        <v>82</v>
      </c>
      <c r="P1129" s="15" t="s">
        <v>2108</v>
      </c>
      <c r="Q1129" s="15" t="s">
        <v>2109</v>
      </c>
      <c r="R1129" s="16">
        <v>44329</v>
      </c>
      <c r="S1129" s="17" t="s">
        <v>70</v>
      </c>
      <c r="T1129" s="20">
        <f>HYPERLINK("https://vnm.spiral.com.vn//uploaded/20210513/03d1d0ec-36eb-453e-85d4-6265011e4244.JPEG","13:48:31")</f>
      </c>
      <c r="U1129" s="20">
        <f>HYPERLINK("https://vnm.spiral.com.vn//uploaded/20210513/74f88d34-e0ee-49bb-a000-b1c90cf274f8.JPEG","14:41:31")</f>
      </c>
      <c r="V1129" s="18">
        <v>0.03680555555555556</v>
      </c>
      <c r="W1129" s="15" t="s">
        <v>7243</v>
      </c>
      <c r="X1129" s="15" t="s">
        <v>7244</v>
      </c>
      <c r="Y1129" s="15" t="s">
        <v>35</v>
      </c>
      <c r="Z1129" s="19">
        <v>0</v>
      </c>
      <c r="AA1129" s="15">
        <v>0</v>
      </c>
      <c r="AB1129" s="15" t="s">
        <v>35</v>
      </c>
    </row>
    <row r="1130">
      <c r="A1130" s="15">
        <v>1126</v>
      </c>
      <c r="B1130" s="15" t="s">
        <v>87</v>
      </c>
      <c r="C1130" s="15" t="s">
        <v>88</v>
      </c>
      <c r="D1130" s="15" t="s">
        <v>432</v>
      </c>
      <c r="E1130" s="15" t="s">
        <v>116</v>
      </c>
      <c r="F1130" s="15" t="s">
        <v>35</v>
      </c>
      <c r="G1130" s="15" t="s">
        <v>74</v>
      </c>
      <c r="H1130" s="15" t="s">
        <v>7245</v>
      </c>
      <c r="I1130" s="15" t="s">
        <v>7246</v>
      </c>
      <c r="J1130" s="15" t="s">
        <v>7247</v>
      </c>
      <c r="K1130" s="15" t="s">
        <v>94</v>
      </c>
      <c r="L1130" s="15" t="s">
        <v>95</v>
      </c>
      <c r="M1130" s="15" t="s">
        <v>625</v>
      </c>
      <c r="N1130" s="15" t="s">
        <v>626</v>
      </c>
      <c r="O1130" s="15" t="s">
        <v>98</v>
      </c>
      <c r="P1130" s="15" t="s">
        <v>627</v>
      </c>
      <c r="Q1130" s="15" t="s">
        <v>628</v>
      </c>
      <c r="R1130" s="16">
        <v>44329</v>
      </c>
      <c r="S1130" s="17" t="s">
        <v>70</v>
      </c>
      <c r="T1130" s="20">
        <f>HYPERLINK("https://vnm.spiral.com.vn//uploaded/20210513/70bfd249-e07d-488e-a106-30a92055d10e.JPEG","14:04:33")</f>
      </c>
      <c r="U1130" s="20">
        <f>HYPERLINK("https://vnm.spiral.com.vn//uploaded/20210513/214eb731-3973-4d53-bbb0-591b7b4389e7.JPEG","14:41:13")</f>
      </c>
      <c r="V1130" s="18">
        <v>0.02546296296296296</v>
      </c>
      <c r="W1130" s="15" t="s">
        <v>7248</v>
      </c>
      <c r="X1130" s="15" t="s">
        <v>7249</v>
      </c>
      <c r="Y1130" s="15" t="s">
        <v>35</v>
      </c>
      <c r="Z1130" s="19">
        <v>0</v>
      </c>
      <c r="AA1130" s="15">
        <v>0</v>
      </c>
      <c r="AB1130" s="15" t="s">
        <v>35</v>
      </c>
    </row>
    <row r="1131">
      <c r="A1131" s="15">
        <v>1127</v>
      </c>
      <c r="B1131" s="15" t="s">
        <v>246</v>
      </c>
      <c r="C1131" s="15" t="s">
        <v>864</v>
      </c>
      <c r="D1131" s="15" t="s">
        <v>35</v>
      </c>
      <c r="E1131" s="15" t="s">
        <v>35</v>
      </c>
      <c r="F1131" s="15" t="s">
        <v>2406</v>
      </c>
      <c r="G1131" s="15" t="s">
        <v>36</v>
      </c>
      <c r="H1131" s="15" t="s">
        <v>7250</v>
      </c>
      <c r="I1131" s="15" t="s">
        <v>4124</v>
      </c>
      <c r="J1131" s="15" t="s">
        <v>7251</v>
      </c>
      <c r="K1131" s="15" t="s">
        <v>40</v>
      </c>
      <c r="L1131" s="15" t="s">
        <v>41</v>
      </c>
      <c r="M1131" s="15" t="s">
        <v>252</v>
      </c>
      <c r="N1131" s="15" t="s">
        <v>253</v>
      </c>
      <c r="O1131" s="15" t="s">
        <v>44</v>
      </c>
      <c r="P1131" s="15" t="s">
        <v>7252</v>
      </c>
      <c r="Q1131" s="15" t="s">
        <v>7253</v>
      </c>
      <c r="R1131" s="16">
        <v>44329</v>
      </c>
      <c r="S1131" s="17" t="s">
        <v>2703</v>
      </c>
      <c r="T1131" s="20">
        <f>HYPERLINK("https://vnm.spiral.com.vn//uploaded/20210513/F11483AC-A3B1-419E-8026-C4C920BC1C2C.jpg","14:41:11")</f>
      </c>
      <c r="U1131" s="18"/>
      <c r="V1131" s="18" t="s">
        <v>35</v>
      </c>
      <c r="W1131" s="15" t="s">
        <v>7254</v>
      </c>
      <c r="X1131" s="15" t="s">
        <v>35</v>
      </c>
      <c r="Y1131" s="15" t="s">
        <v>35</v>
      </c>
      <c r="Z1131" s="19">
        <v>0</v>
      </c>
      <c r="AA1131" s="15">
        <v>0</v>
      </c>
      <c r="AB1131" s="15" t="s">
        <v>35</v>
      </c>
    </row>
    <row r="1132">
      <c r="A1132" s="15">
        <v>1128</v>
      </c>
      <c r="B1132" s="15" t="s">
        <v>61</v>
      </c>
      <c r="C1132" s="15" t="s">
        <v>228</v>
      </c>
      <c r="D1132" s="15" t="s">
        <v>135</v>
      </c>
      <c r="E1132" s="15" t="s">
        <v>116</v>
      </c>
      <c r="F1132" s="15" t="s">
        <v>35</v>
      </c>
      <c r="G1132" s="15" t="s">
        <v>74</v>
      </c>
      <c r="H1132" s="15" t="s">
        <v>7255</v>
      </c>
      <c r="I1132" s="15" t="s">
        <v>7256</v>
      </c>
      <c r="J1132" s="15" t="s">
        <v>7257</v>
      </c>
      <c r="K1132" s="15" t="s">
        <v>152</v>
      </c>
      <c r="L1132" s="15" t="s">
        <v>153</v>
      </c>
      <c r="M1132" s="15" t="s">
        <v>232</v>
      </c>
      <c r="N1132" s="15" t="s">
        <v>233</v>
      </c>
      <c r="O1132" s="15" t="s">
        <v>82</v>
      </c>
      <c r="P1132" s="15" t="s">
        <v>234</v>
      </c>
      <c r="Q1132" s="15" t="s">
        <v>235</v>
      </c>
      <c r="R1132" s="16">
        <v>44329</v>
      </c>
      <c r="S1132" s="17" t="s">
        <v>70</v>
      </c>
      <c r="T1132" s="20">
        <f>HYPERLINK("https://vnm.spiral.com.vn//uploaded/20210513/f800caaf-3772-49bc-a6b7-6706c5eb3a05.JPEG","13:28:18")</f>
      </c>
      <c r="U1132" s="20">
        <f>HYPERLINK("https://vnm.spiral.com.vn//uploaded/20210513/46506c02-23e3-4d59-9332-c9c3eee131ef.JPEG","14:41:07")</f>
      </c>
      <c r="V1132" s="18">
        <v>0.05056712962962963</v>
      </c>
      <c r="W1132" s="15" t="s">
        <v>7258</v>
      </c>
      <c r="X1132" s="15" t="s">
        <v>7259</v>
      </c>
      <c r="Y1132" s="15" t="s">
        <v>35</v>
      </c>
      <c r="Z1132" s="19">
        <v>0</v>
      </c>
      <c r="AA1132" s="15">
        <v>0</v>
      </c>
      <c r="AB1132" s="15" t="s">
        <v>35</v>
      </c>
    </row>
    <row r="1133">
      <c r="A1133" s="15">
        <v>1129</v>
      </c>
      <c r="B1133" s="15" t="s">
        <v>87</v>
      </c>
      <c r="C1133" s="15" t="s">
        <v>88</v>
      </c>
      <c r="D1133" s="15" t="s">
        <v>357</v>
      </c>
      <c r="E1133" s="15" t="s">
        <v>90</v>
      </c>
      <c r="F1133" s="15" t="s">
        <v>35</v>
      </c>
      <c r="G1133" s="15" t="s">
        <v>74</v>
      </c>
      <c r="H1133" s="15" t="s">
        <v>7260</v>
      </c>
      <c r="I1133" s="15" t="s">
        <v>7261</v>
      </c>
      <c r="J1133" s="15" t="s">
        <v>7262</v>
      </c>
      <c r="K1133" s="15" t="s">
        <v>1570</v>
      </c>
      <c r="L1133" s="15" t="s">
        <v>1571</v>
      </c>
      <c r="M1133" s="15" t="s">
        <v>2024</v>
      </c>
      <c r="N1133" s="15" t="s">
        <v>2025</v>
      </c>
      <c r="O1133" s="15" t="s">
        <v>82</v>
      </c>
      <c r="P1133" s="15" t="s">
        <v>2521</v>
      </c>
      <c r="Q1133" s="15" t="s">
        <v>2522</v>
      </c>
      <c r="R1133" s="16">
        <v>44329</v>
      </c>
      <c r="S1133" s="17" t="s">
        <v>70</v>
      </c>
      <c r="T1133" s="20">
        <f>HYPERLINK("https://vnm.spiral.com.vn//uploaded/20210513/6c166577-c08b-40ef-97f2-e5fff7253621.JPEG","13:56:18")</f>
      </c>
      <c r="U1133" s="20">
        <f>HYPERLINK("https://vnm.spiral.com.vn//uploaded/20210513/10c17ec9-5df8-40de-a873-3ff6c16c35ce.JPEG","14:41:04")</f>
      </c>
      <c r="V1133" s="18">
        <v>0.031087962962962963</v>
      </c>
      <c r="W1133" s="15" t="s">
        <v>7263</v>
      </c>
      <c r="X1133" s="15" t="s">
        <v>7264</v>
      </c>
      <c r="Y1133" s="15" t="s">
        <v>35</v>
      </c>
      <c r="Z1133" s="19">
        <v>0</v>
      </c>
      <c r="AA1133" s="15">
        <v>0</v>
      </c>
      <c r="AB1133" s="15" t="s">
        <v>35</v>
      </c>
    </row>
    <row r="1134">
      <c r="A1134" s="15">
        <v>1130</v>
      </c>
      <c r="B1134" s="15" t="s">
        <v>61</v>
      </c>
      <c r="C1134" s="15" t="s">
        <v>228</v>
      </c>
      <c r="D1134" s="15" t="s">
        <v>135</v>
      </c>
      <c r="E1134" s="15" t="s">
        <v>116</v>
      </c>
      <c r="F1134" s="15" t="s">
        <v>35</v>
      </c>
      <c r="G1134" s="15" t="s">
        <v>74</v>
      </c>
      <c r="H1134" s="15" t="s">
        <v>7255</v>
      </c>
      <c r="I1134" s="15" t="s">
        <v>7256</v>
      </c>
      <c r="J1134" s="15" t="s">
        <v>7257</v>
      </c>
      <c r="K1134" s="15" t="s">
        <v>152</v>
      </c>
      <c r="L1134" s="15" t="s">
        <v>153</v>
      </c>
      <c r="M1134" s="15" t="s">
        <v>232</v>
      </c>
      <c r="N1134" s="15" t="s">
        <v>233</v>
      </c>
      <c r="O1134" s="15" t="s">
        <v>98</v>
      </c>
      <c r="P1134" s="15" t="s">
        <v>453</v>
      </c>
      <c r="Q1134" s="15" t="s">
        <v>454</v>
      </c>
      <c r="R1134" s="16">
        <v>44329</v>
      </c>
      <c r="S1134" s="17" t="s">
        <v>35</v>
      </c>
      <c r="T1134" s="20">
        <f>HYPERLINK("https://vnm.spiral.com.vn//uploaded/20210513/FC09A66E-690C-4C4C-8174-896040C3AED2.jpg","13:27:54")</f>
      </c>
      <c r="U1134" s="20">
        <f>HYPERLINK("https://vnm.spiral.com.vn//uploaded/20210513/8D8318FB-F1CC-4EC9-8A3C-A8430793CDF4.jpg","14:41:01")</f>
      </c>
      <c r="V1134" s="18">
        <v>0.05077546296296296</v>
      </c>
      <c r="W1134" s="15" t="s">
        <v>7265</v>
      </c>
      <c r="X1134" s="15" t="s">
        <v>7266</v>
      </c>
      <c r="Y1134" s="15" t="s">
        <v>35</v>
      </c>
      <c r="Z1134" s="19">
        <v>0</v>
      </c>
      <c r="AA1134" s="15">
        <v>0</v>
      </c>
      <c r="AB1134" s="15" t="s">
        <v>35</v>
      </c>
    </row>
    <row r="1135">
      <c r="A1135" s="15">
        <v>1131</v>
      </c>
      <c r="B1135" s="15" t="s">
        <v>49</v>
      </c>
      <c r="C1135" s="15" t="s">
        <v>468</v>
      </c>
      <c r="D1135" s="15" t="s">
        <v>35</v>
      </c>
      <c r="E1135" s="15" t="s">
        <v>35</v>
      </c>
      <c r="F1135" s="15" t="s">
        <v>3311</v>
      </c>
      <c r="G1135" s="15" t="s">
        <v>36</v>
      </c>
      <c r="H1135" s="15" t="s">
        <v>7267</v>
      </c>
      <c r="I1135" s="15" t="s">
        <v>7268</v>
      </c>
      <c r="J1135" s="15" t="s">
        <v>7269</v>
      </c>
      <c r="K1135" s="15" t="s">
        <v>40</v>
      </c>
      <c r="L1135" s="15" t="s">
        <v>41</v>
      </c>
      <c r="M1135" s="15" t="s">
        <v>55</v>
      </c>
      <c r="N1135" s="15" t="s">
        <v>56</v>
      </c>
      <c r="O1135" s="15" t="s">
        <v>44</v>
      </c>
      <c r="P1135" s="15" t="s">
        <v>7270</v>
      </c>
      <c r="Q1135" s="15" t="s">
        <v>7271</v>
      </c>
      <c r="R1135" s="16">
        <v>44329</v>
      </c>
      <c r="S1135" s="17" t="s">
        <v>2703</v>
      </c>
      <c r="T1135" s="20">
        <f>HYPERLINK("https://vnm.spiral.com.vn//uploaded/20210513/97a81488-f82b-4511-bdcb-d95570497561.JPEG","14:41:00")</f>
      </c>
      <c r="U1135" s="18"/>
      <c r="V1135" s="18" t="s">
        <v>35</v>
      </c>
      <c r="W1135" s="15" t="s">
        <v>7272</v>
      </c>
      <c r="X1135" s="15" t="s">
        <v>35</v>
      </c>
      <c r="Y1135" s="15" t="s">
        <v>35</v>
      </c>
      <c r="Z1135" s="19">
        <v>0</v>
      </c>
      <c r="AA1135" s="15">
        <v>0</v>
      </c>
      <c r="AB1135" s="15" t="s">
        <v>35</v>
      </c>
    </row>
    <row r="1136">
      <c r="A1136" s="15">
        <v>1132</v>
      </c>
      <c r="B1136" s="15" t="s">
        <v>343</v>
      </c>
      <c r="C1136" s="15" t="s">
        <v>344</v>
      </c>
      <c r="D1136" s="15" t="s">
        <v>35</v>
      </c>
      <c r="E1136" s="15" t="s">
        <v>35</v>
      </c>
      <c r="F1136" s="15" t="s">
        <v>35</v>
      </c>
      <c r="G1136" s="15" t="s">
        <v>36</v>
      </c>
      <c r="H1136" s="15" t="s">
        <v>7273</v>
      </c>
      <c r="I1136" s="15" t="s">
        <v>7274</v>
      </c>
      <c r="J1136" s="15" t="s">
        <v>7275</v>
      </c>
      <c r="K1136" s="15" t="s">
        <v>40</v>
      </c>
      <c r="L1136" s="15" t="s">
        <v>41</v>
      </c>
      <c r="M1136" s="15" t="s">
        <v>595</v>
      </c>
      <c r="N1136" s="15" t="s">
        <v>596</v>
      </c>
      <c r="O1136" s="15" t="s">
        <v>44</v>
      </c>
      <c r="P1136" s="15" t="s">
        <v>7276</v>
      </c>
      <c r="Q1136" s="15" t="s">
        <v>7277</v>
      </c>
      <c r="R1136" s="16">
        <v>44329</v>
      </c>
      <c r="S1136" s="17" t="s">
        <v>2703</v>
      </c>
      <c r="T1136" s="20">
        <f>HYPERLINK("https://vnm.spiral.com.vn//uploaded/20210513/1A42A8DE-2EBD-469E-8A26-A4912F431EC0.jpg","14:40:58")</f>
      </c>
      <c r="U1136" s="18"/>
      <c r="V1136" s="18" t="s">
        <v>35</v>
      </c>
      <c r="W1136" s="15" t="s">
        <v>7278</v>
      </c>
      <c r="X1136" s="15" t="s">
        <v>35</v>
      </c>
      <c r="Y1136" s="15" t="s">
        <v>35</v>
      </c>
      <c r="Z1136" s="19">
        <v>0</v>
      </c>
      <c r="AA1136" s="15">
        <v>0</v>
      </c>
      <c r="AB1136" s="15" t="s">
        <v>35</v>
      </c>
    </row>
    <row r="1137">
      <c r="A1137" s="15">
        <v>1133</v>
      </c>
      <c r="B1137" s="15" t="s">
        <v>87</v>
      </c>
      <c r="C1137" s="15" t="s">
        <v>88</v>
      </c>
      <c r="D1137" s="15" t="s">
        <v>357</v>
      </c>
      <c r="E1137" s="15" t="s">
        <v>90</v>
      </c>
      <c r="F1137" s="15" t="s">
        <v>35</v>
      </c>
      <c r="G1137" s="15" t="s">
        <v>74</v>
      </c>
      <c r="H1137" s="15" t="s">
        <v>7279</v>
      </c>
      <c r="I1137" s="15" t="s">
        <v>7280</v>
      </c>
      <c r="J1137" s="15" t="s">
        <v>7281</v>
      </c>
      <c r="K1137" s="15" t="s">
        <v>94</v>
      </c>
      <c r="L1137" s="15" t="s">
        <v>95</v>
      </c>
      <c r="M1137" s="15" t="s">
        <v>1570</v>
      </c>
      <c r="N1137" s="15" t="s">
        <v>1571</v>
      </c>
      <c r="O1137" s="15" t="s">
        <v>98</v>
      </c>
      <c r="P1137" s="15" t="s">
        <v>2024</v>
      </c>
      <c r="Q1137" s="15" t="s">
        <v>2025</v>
      </c>
      <c r="R1137" s="16">
        <v>44329</v>
      </c>
      <c r="S1137" s="17" t="s">
        <v>70</v>
      </c>
      <c r="T1137" s="20">
        <f>HYPERLINK("https://vnm.spiral.com.vn//uploaded/20210513/20cd800b-483e-42cc-9a97-3ce0010f0432.JPEG","14:17:03")</f>
      </c>
      <c r="U1137" s="20">
        <f>HYPERLINK("https://vnm.spiral.com.vn//uploaded/20210513/f9160e35-2149-4ac6-9dc6-0b25c20bf51b.JPEG","14:40:50")</f>
      </c>
      <c r="V1137" s="18">
        <v>0.016516203703703703</v>
      </c>
      <c r="W1137" s="15" t="s">
        <v>7282</v>
      </c>
      <c r="X1137" s="15" t="s">
        <v>7283</v>
      </c>
      <c r="Y1137" s="15" t="s">
        <v>35</v>
      </c>
      <c r="Z1137" s="19">
        <v>0</v>
      </c>
      <c r="AA1137" s="15">
        <v>0</v>
      </c>
      <c r="AB1137" s="15" t="s">
        <v>35</v>
      </c>
    </row>
    <row r="1138">
      <c r="A1138" s="15">
        <v>1134</v>
      </c>
      <c r="B1138" s="15" t="s">
        <v>87</v>
      </c>
      <c r="C1138" s="15" t="s">
        <v>88</v>
      </c>
      <c r="D1138" s="15" t="s">
        <v>357</v>
      </c>
      <c r="E1138" s="15" t="s">
        <v>90</v>
      </c>
      <c r="F1138" s="15" t="s">
        <v>35</v>
      </c>
      <c r="G1138" s="15" t="s">
        <v>74</v>
      </c>
      <c r="H1138" s="15" t="s">
        <v>7284</v>
      </c>
      <c r="I1138" s="15" t="s">
        <v>7285</v>
      </c>
      <c r="J1138" s="15" t="s">
        <v>7286</v>
      </c>
      <c r="K1138" s="15" t="s">
        <v>1570</v>
      </c>
      <c r="L1138" s="15" t="s">
        <v>1571</v>
      </c>
      <c r="M1138" s="15" t="s">
        <v>2024</v>
      </c>
      <c r="N1138" s="15" t="s">
        <v>2025</v>
      </c>
      <c r="O1138" s="15" t="s">
        <v>82</v>
      </c>
      <c r="P1138" s="15" t="s">
        <v>2172</v>
      </c>
      <c r="Q1138" s="15" t="s">
        <v>2173</v>
      </c>
      <c r="R1138" s="16">
        <v>44329</v>
      </c>
      <c r="S1138" s="17" t="s">
        <v>70</v>
      </c>
      <c r="T1138" s="20">
        <f>HYPERLINK("https://vnm.spiral.com.vn//uploaded/20210513/b4c0c683-472c-46f4-995e-97b76f10505e.JPEG","12:53:41")</f>
      </c>
      <c r="U1138" s="20">
        <f>HYPERLINK("https://vnm.spiral.com.vn//uploaded/20210513/eddbfbe0-aae5-4638-9135-426be867b3e1.JPEG","14:40:45")</f>
      </c>
      <c r="V1138" s="18">
        <v>0.07435185185185185</v>
      </c>
      <c r="W1138" s="15" t="s">
        <v>7287</v>
      </c>
      <c r="X1138" s="15" t="s">
        <v>7288</v>
      </c>
      <c r="Y1138" s="15" t="s">
        <v>35</v>
      </c>
      <c r="Z1138" s="19">
        <v>0</v>
      </c>
      <c r="AA1138" s="15">
        <v>0</v>
      </c>
      <c r="AB1138" s="15" t="s">
        <v>35</v>
      </c>
    </row>
    <row r="1139">
      <c r="A1139" s="15">
        <v>1135</v>
      </c>
      <c r="B1139" s="15" t="s">
        <v>87</v>
      </c>
      <c r="C1139" s="15" t="s">
        <v>88</v>
      </c>
      <c r="D1139" s="15" t="s">
        <v>432</v>
      </c>
      <c r="E1139" s="15" t="s">
        <v>116</v>
      </c>
      <c r="F1139" s="15" t="s">
        <v>35</v>
      </c>
      <c r="G1139" s="15" t="s">
        <v>74</v>
      </c>
      <c r="H1139" s="15" t="s">
        <v>7245</v>
      </c>
      <c r="I1139" s="15" t="s">
        <v>7246</v>
      </c>
      <c r="J1139" s="15" t="s">
        <v>7247</v>
      </c>
      <c r="K1139" s="15" t="s">
        <v>625</v>
      </c>
      <c r="L1139" s="15" t="s">
        <v>626</v>
      </c>
      <c r="M1139" s="15" t="s">
        <v>627</v>
      </c>
      <c r="N1139" s="15" t="s">
        <v>628</v>
      </c>
      <c r="O1139" s="15" t="s">
        <v>82</v>
      </c>
      <c r="P1139" s="15" t="s">
        <v>2569</v>
      </c>
      <c r="Q1139" s="15" t="s">
        <v>2570</v>
      </c>
      <c r="R1139" s="16">
        <v>44329</v>
      </c>
      <c r="S1139" s="17" t="s">
        <v>70</v>
      </c>
      <c r="T1139" s="20">
        <f>HYPERLINK("https://vnm.spiral.com.vn//uploaded/20210513/46DCAEB3-5BEA-4231-8E01-F1E079D3995B.jpg","14:03:20")</f>
      </c>
      <c r="U1139" s="20">
        <f>HYPERLINK("https://vnm.spiral.com.vn//uploaded/20210513/A26C8DAE-378F-4849-930A-02F0B6BBC93E.jpg","14:40:33")</f>
      </c>
      <c r="V1139" s="18">
        <v>0.025844907407407407</v>
      </c>
      <c r="W1139" s="15" t="s">
        <v>7289</v>
      </c>
      <c r="X1139" s="15" t="s">
        <v>7290</v>
      </c>
      <c r="Y1139" s="15" t="s">
        <v>35</v>
      </c>
      <c r="Z1139" s="19">
        <v>0</v>
      </c>
      <c r="AA1139" s="15">
        <v>0</v>
      </c>
      <c r="AB1139" s="15" t="s">
        <v>35</v>
      </c>
    </row>
    <row r="1140">
      <c r="A1140" s="15">
        <v>1136</v>
      </c>
      <c r="B1140" s="15" t="s">
        <v>49</v>
      </c>
      <c r="C1140" s="15" t="s">
        <v>162</v>
      </c>
      <c r="D1140" s="15" t="s">
        <v>135</v>
      </c>
      <c r="E1140" s="15" t="s">
        <v>116</v>
      </c>
      <c r="F1140" s="15" t="s">
        <v>35</v>
      </c>
      <c r="G1140" s="15" t="s">
        <v>74</v>
      </c>
      <c r="H1140" s="15" t="s">
        <v>7291</v>
      </c>
      <c r="I1140" s="15" t="s">
        <v>7292</v>
      </c>
      <c r="J1140" s="15" t="s">
        <v>7293</v>
      </c>
      <c r="K1140" s="15" t="s">
        <v>166</v>
      </c>
      <c r="L1140" s="15" t="s">
        <v>167</v>
      </c>
      <c r="M1140" s="15" t="s">
        <v>168</v>
      </c>
      <c r="N1140" s="15" t="s">
        <v>169</v>
      </c>
      <c r="O1140" s="15" t="s">
        <v>82</v>
      </c>
      <c r="P1140" s="15" t="s">
        <v>4399</v>
      </c>
      <c r="Q1140" s="15" t="s">
        <v>4400</v>
      </c>
      <c r="R1140" s="16">
        <v>44329</v>
      </c>
      <c r="S1140" s="17" t="s">
        <v>70</v>
      </c>
      <c r="T1140" s="20">
        <f>HYPERLINK("https://vnm.spiral.com.vn//uploaded/20210513/51815290-7D97-4A4C-ABD3-7AA94539A174.jpg","14:21:03")</f>
      </c>
      <c r="U1140" s="20">
        <f>HYPERLINK("https://vnm.spiral.com.vn//uploaded/20210513/1B95EE71-5D74-4DF4-A2FD-FB1AC273EB47.jpg","14:40:29")</f>
      </c>
      <c r="V1140" s="18">
        <v>0.013495370370370371</v>
      </c>
      <c r="W1140" s="15" t="s">
        <v>7294</v>
      </c>
      <c r="X1140" s="15" t="s">
        <v>7295</v>
      </c>
      <c r="Y1140" s="15" t="s">
        <v>35</v>
      </c>
      <c r="Z1140" s="19">
        <v>0</v>
      </c>
      <c r="AA1140" s="15">
        <v>0</v>
      </c>
      <c r="AB1140" s="15" t="s">
        <v>35</v>
      </c>
    </row>
    <row r="1141">
      <c r="A1141" s="15">
        <v>1137</v>
      </c>
      <c r="B1141" s="15" t="s">
        <v>49</v>
      </c>
      <c r="C1141" s="15" t="s">
        <v>756</v>
      </c>
      <c r="D1141" s="15" t="s">
        <v>89</v>
      </c>
      <c r="E1141" s="15" t="s">
        <v>90</v>
      </c>
      <c r="F1141" s="15" t="s">
        <v>35</v>
      </c>
      <c r="G1141" s="15" t="s">
        <v>74</v>
      </c>
      <c r="H1141" s="15" t="s">
        <v>2637</v>
      </c>
      <c r="I1141" s="15" t="s">
        <v>2638</v>
      </c>
      <c r="J1141" s="15" t="s">
        <v>2639</v>
      </c>
      <c r="K1141" s="15" t="s">
        <v>166</v>
      </c>
      <c r="L1141" s="15" t="s">
        <v>167</v>
      </c>
      <c r="M1141" s="15" t="s">
        <v>168</v>
      </c>
      <c r="N1141" s="15" t="s">
        <v>169</v>
      </c>
      <c r="O1141" s="15" t="s">
        <v>98</v>
      </c>
      <c r="P1141" s="15" t="s">
        <v>2640</v>
      </c>
      <c r="Q1141" s="15" t="s">
        <v>2641</v>
      </c>
      <c r="R1141" s="16">
        <v>44329</v>
      </c>
      <c r="S1141" s="17" t="s">
        <v>70</v>
      </c>
      <c r="T1141" s="20">
        <f>HYPERLINK("https://vnm.spiral.com.vn//uploaded/20210513/00296cf6-eac4-422c-9732-25c22da1c561.JPEG","07:59:30")</f>
      </c>
      <c r="U1141" s="20">
        <f>HYPERLINK("https://vnm.spiral.com.vn//uploaded/20210513/27f8f716-6ff1-4e4f-9e7c-103b8a199e53.JPEG","14:40:18")</f>
      </c>
      <c r="V1141" s="18">
        <v>0.2783333333333333</v>
      </c>
      <c r="W1141" s="15" t="s">
        <v>7296</v>
      </c>
      <c r="X1141" s="15" t="s">
        <v>7297</v>
      </c>
      <c r="Y1141" s="15" t="s">
        <v>35</v>
      </c>
      <c r="Z1141" s="19">
        <v>0</v>
      </c>
      <c r="AA1141" s="15">
        <v>0</v>
      </c>
      <c r="AB1141" s="15" t="s">
        <v>35</v>
      </c>
    </row>
    <row r="1142">
      <c r="A1142" s="15">
        <v>1138</v>
      </c>
      <c r="B1142" s="15" t="s">
        <v>87</v>
      </c>
      <c r="C1142" s="15" t="s">
        <v>88</v>
      </c>
      <c r="D1142" s="15" t="s">
        <v>135</v>
      </c>
      <c r="E1142" s="15" t="s">
        <v>116</v>
      </c>
      <c r="F1142" s="15" t="s">
        <v>35</v>
      </c>
      <c r="G1142" s="15" t="s">
        <v>74</v>
      </c>
      <c r="H1142" s="15" t="s">
        <v>7298</v>
      </c>
      <c r="I1142" s="15" t="s">
        <v>7299</v>
      </c>
      <c r="J1142" s="15" t="s">
        <v>7300</v>
      </c>
      <c r="K1142" s="15" t="s">
        <v>139</v>
      </c>
      <c r="L1142" s="15" t="s">
        <v>140</v>
      </c>
      <c r="M1142" s="15" t="s">
        <v>141</v>
      </c>
      <c r="N1142" s="15" t="s">
        <v>142</v>
      </c>
      <c r="O1142" s="15" t="s">
        <v>82</v>
      </c>
      <c r="P1142" s="15" t="s">
        <v>1400</v>
      </c>
      <c r="Q1142" s="15" t="s">
        <v>1401</v>
      </c>
      <c r="R1142" s="16">
        <v>44329</v>
      </c>
      <c r="S1142" s="17" t="s">
        <v>70</v>
      </c>
      <c r="T1142" s="20">
        <f>HYPERLINK("https://vnm.spiral.com.vn//uploaded/20210513/8EFF614A-99A7-4FBB-B179-C4CAD9959755.jpg","13:29:28")</f>
      </c>
      <c r="U1142" s="20">
        <f>HYPERLINK("https://vnm.spiral.com.vn//uploaded/20210513/5CB51BF5-4294-4BA0-BADE-4DB053185CD3.jpg","14:39:59")</f>
      </c>
      <c r="V1142" s="18">
        <v>0.048969907407407406</v>
      </c>
      <c r="W1142" s="15" t="s">
        <v>7301</v>
      </c>
      <c r="X1142" s="15" t="s">
        <v>7302</v>
      </c>
      <c r="Y1142" s="15" t="s">
        <v>35</v>
      </c>
      <c r="Z1142" s="19">
        <v>0</v>
      </c>
      <c r="AA1142" s="15">
        <v>0</v>
      </c>
      <c r="AB1142" s="15" t="s">
        <v>35</v>
      </c>
    </row>
    <row r="1143">
      <c r="A1143" s="15">
        <v>1139</v>
      </c>
      <c r="B1143" s="15" t="s">
        <v>87</v>
      </c>
      <c r="C1143" s="15" t="s">
        <v>88</v>
      </c>
      <c r="D1143" s="15" t="s">
        <v>35</v>
      </c>
      <c r="E1143" s="15" t="s">
        <v>35</v>
      </c>
      <c r="F1143" s="15" t="s">
        <v>35</v>
      </c>
      <c r="G1143" s="15" t="s">
        <v>74</v>
      </c>
      <c r="H1143" s="15" t="s">
        <v>7303</v>
      </c>
      <c r="I1143" s="15" t="s">
        <v>7304</v>
      </c>
      <c r="J1143" s="15" t="s">
        <v>7305</v>
      </c>
      <c r="K1143" s="15" t="s">
        <v>888</v>
      </c>
      <c r="L1143" s="15" t="s">
        <v>889</v>
      </c>
      <c r="M1143" s="15" t="s">
        <v>924</v>
      </c>
      <c r="N1143" s="15" t="s">
        <v>925</v>
      </c>
      <c r="O1143" s="15" t="s">
        <v>82</v>
      </c>
      <c r="P1143" s="15" t="s">
        <v>1893</v>
      </c>
      <c r="Q1143" s="15" t="s">
        <v>1894</v>
      </c>
      <c r="R1143" s="16">
        <v>44329</v>
      </c>
      <c r="S1143" s="17" t="s">
        <v>70</v>
      </c>
      <c r="T1143" s="20">
        <f>HYPERLINK("https://vnm.spiral.com.vn//uploaded/20210513/410A8149-FEA6-4CCA-A8ED-E0FA0F7765C7.jpg","11:42:18")</f>
      </c>
      <c r="U1143" s="20">
        <f>HYPERLINK("https://vnm.spiral.com.vn//uploaded/20210513/0FEC4D86-8739-47A4-87EB-3A64A1482022.jpg","14:39:52")</f>
      </c>
      <c r="V1143" s="18">
        <v>0.12331018518518519</v>
      </c>
      <c r="W1143" s="15" t="s">
        <v>7306</v>
      </c>
      <c r="X1143" s="15" t="s">
        <v>7307</v>
      </c>
      <c r="Y1143" s="15" t="s">
        <v>35</v>
      </c>
      <c r="Z1143" s="19">
        <v>0</v>
      </c>
      <c r="AA1143" s="15">
        <v>0</v>
      </c>
      <c r="AB1143" s="15" t="s">
        <v>35</v>
      </c>
    </row>
    <row r="1144">
      <c r="A1144" s="15">
        <v>1140</v>
      </c>
      <c r="B1144" s="15" t="s">
        <v>103</v>
      </c>
      <c r="C1144" s="15" t="s">
        <v>174</v>
      </c>
      <c r="D1144" s="15" t="s">
        <v>135</v>
      </c>
      <c r="E1144" s="15" t="s">
        <v>116</v>
      </c>
      <c r="F1144" s="15" t="s">
        <v>35</v>
      </c>
      <c r="G1144" s="15" t="s">
        <v>74</v>
      </c>
      <c r="H1144" s="15" t="s">
        <v>7308</v>
      </c>
      <c r="I1144" s="15" t="s">
        <v>7309</v>
      </c>
      <c r="J1144" s="15" t="s">
        <v>7310</v>
      </c>
      <c r="K1144" s="15" t="s">
        <v>178</v>
      </c>
      <c r="L1144" s="15" t="s">
        <v>179</v>
      </c>
      <c r="M1144" s="15" t="s">
        <v>180</v>
      </c>
      <c r="N1144" s="15" t="s">
        <v>181</v>
      </c>
      <c r="O1144" s="15" t="s">
        <v>82</v>
      </c>
      <c r="P1144" s="15" t="s">
        <v>182</v>
      </c>
      <c r="Q1144" s="15" t="s">
        <v>183</v>
      </c>
      <c r="R1144" s="16">
        <v>44329</v>
      </c>
      <c r="S1144" s="17" t="s">
        <v>70</v>
      </c>
      <c r="T1144" s="20">
        <f>HYPERLINK("https://vnm.spiral.com.vn//uploaded/20210513/62628496-aa12-4ca6-96ed-852a48369021.JPEG","13:44:12")</f>
      </c>
      <c r="U1144" s="20">
        <f>HYPERLINK("https://vnm.spiral.com.vn//uploaded/20210513/dfadc570-4528-430e-b72a-d78a30927583.JPEG","14:39:39")</f>
      </c>
      <c r="V1144" s="18">
        <v>0.03850694444444445</v>
      </c>
      <c r="W1144" s="15" t="s">
        <v>7311</v>
      </c>
      <c r="X1144" s="15" t="s">
        <v>7312</v>
      </c>
      <c r="Y1144" s="15" t="s">
        <v>35</v>
      </c>
      <c r="Z1144" s="19">
        <v>0</v>
      </c>
      <c r="AA1144" s="15">
        <v>0</v>
      </c>
      <c r="AB1144" s="15" t="s">
        <v>35</v>
      </c>
    </row>
    <row r="1145">
      <c r="A1145" s="15">
        <v>1141</v>
      </c>
      <c r="B1145" s="15" t="s">
        <v>61</v>
      </c>
      <c r="C1145" s="15" t="s">
        <v>442</v>
      </c>
      <c r="D1145" s="15" t="s">
        <v>35</v>
      </c>
      <c r="E1145" s="15" t="s">
        <v>35</v>
      </c>
      <c r="F1145" s="15" t="s">
        <v>35</v>
      </c>
      <c r="G1145" s="15" t="s">
        <v>36</v>
      </c>
      <c r="H1145" s="15" t="s">
        <v>7313</v>
      </c>
      <c r="I1145" s="15" t="s">
        <v>7314</v>
      </c>
      <c r="J1145" s="15" t="s">
        <v>7315</v>
      </c>
      <c r="K1145" s="15" t="s">
        <v>40</v>
      </c>
      <c r="L1145" s="15" t="s">
        <v>41</v>
      </c>
      <c r="M1145" s="15" t="s">
        <v>205</v>
      </c>
      <c r="N1145" s="15" t="s">
        <v>206</v>
      </c>
      <c r="O1145" s="15" t="s">
        <v>44</v>
      </c>
      <c r="P1145" s="15" t="s">
        <v>7316</v>
      </c>
      <c r="Q1145" s="15" t="s">
        <v>7317</v>
      </c>
      <c r="R1145" s="16">
        <v>44329</v>
      </c>
      <c r="S1145" s="17" t="s">
        <v>5058</v>
      </c>
      <c r="T1145" s="20">
        <f>HYPERLINK("https://vnm.spiral.com.vn//uploaded/20210513/bdf49f25-ee2a-4636-8ac0-0dca2b727568.JPEG","14:39:11")</f>
      </c>
      <c r="U1145" s="18"/>
      <c r="V1145" s="18" t="s">
        <v>35</v>
      </c>
      <c r="W1145" s="15" t="s">
        <v>7318</v>
      </c>
      <c r="X1145" s="15" t="s">
        <v>35</v>
      </c>
      <c r="Y1145" s="15" t="s">
        <v>35</v>
      </c>
      <c r="Z1145" s="19">
        <v>0</v>
      </c>
      <c r="AA1145" s="15">
        <v>0</v>
      </c>
      <c r="AB1145" s="15" t="s">
        <v>35</v>
      </c>
    </row>
    <row r="1146">
      <c r="A1146" s="15">
        <v>1142</v>
      </c>
      <c r="B1146" s="15" t="s">
        <v>87</v>
      </c>
      <c r="C1146" s="15" t="s">
        <v>88</v>
      </c>
      <c r="D1146" s="15" t="s">
        <v>35</v>
      </c>
      <c r="E1146" s="15" t="s">
        <v>35</v>
      </c>
      <c r="F1146" s="15" t="s">
        <v>35</v>
      </c>
      <c r="G1146" s="15" t="s">
        <v>74</v>
      </c>
      <c r="H1146" s="15" t="s">
        <v>7319</v>
      </c>
      <c r="I1146" s="15" t="s">
        <v>7320</v>
      </c>
      <c r="J1146" s="15" t="s">
        <v>7321</v>
      </c>
      <c r="K1146" s="15" t="s">
        <v>120</v>
      </c>
      <c r="L1146" s="15" t="s">
        <v>121</v>
      </c>
      <c r="M1146" s="15" t="s">
        <v>1073</v>
      </c>
      <c r="N1146" s="15" t="s">
        <v>1074</v>
      </c>
      <c r="O1146" s="15" t="s">
        <v>82</v>
      </c>
      <c r="P1146" s="15" t="s">
        <v>6397</v>
      </c>
      <c r="Q1146" s="15" t="s">
        <v>6398</v>
      </c>
      <c r="R1146" s="16">
        <v>44329</v>
      </c>
      <c r="S1146" s="17" t="s">
        <v>70</v>
      </c>
      <c r="T1146" s="20">
        <f>HYPERLINK("https://vnm.spiral.com.vn//uploaded/20210513/19dbf975-cf6f-4512-bfa1-f045c6ee7980.JPEG","13:49:03")</f>
      </c>
      <c r="U1146" s="20">
        <f>HYPERLINK("https://vnm.spiral.com.vn//uploaded/20210513/5dcdf063-b46f-44bb-8898-38e7a4661444.JPEG","14:39:08")</f>
      </c>
      <c r="V1146" s="18">
        <v>0.03478009259259259</v>
      </c>
      <c r="W1146" s="15" t="s">
        <v>7322</v>
      </c>
      <c r="X1146" s="15" t="s">
        <v>7323</v>
      </c>
      <c r="Y1146" s="15" t="s">
        <v>35</v>
      </c>
      <c r="Z1146" s="19">
        <v>0</v>
      </c>
      <c r="AA1146" s="15">
        <v>0</v>
      </c>
      <c r="AB1146" s="15" t="s">
        <v>35</v>
      </c>
    </row>
    <row r="1147">
      <c r="A1147" s="15">
        <v>1143</v>
      </c>
      <c r="B1147" s="15" t="s">
        <v>246</v>
      </c>
      <c r="C1147" s="15" t="s">
        <v>864</v>
      </c>
      <c r="D1147" s="15" t="s">
        <v>35</v>
      </c>
      <c r="E1147" s="15" t="s">
        <v>35</v>
      </c>
      <c r="F1147" s="15" t="s">
        <v>35</v>
      </c>
      <c r="G1147" s="15" t="s">
        <v>35</v>
      </c>
      <c r="H1147" s="15" t="s">
        <v>7324</v>
      </c>
      <c r="I1147" s="15" t="s">
        <v>7325</v>
      </c>
      <c r="J1147" s="15" t="s">
        <v>7326</v>
      </c>
      <c r="K1147" s="15" t="s">
        <v>40</v>
      </c>
      <c r="L1147" s="15" t="s">
        <v>41</v>
      </c>
      <c r="M1147" s="15" t="s">
        <v>252</v>
      </c>
      <c r="N1147" s="15" t="s">
        <v>253</v>
      </c>
      <c r="O1147" s="15" t="s">
        <v>44</v>
      </c>
      <c r="P1147" s="15" t="s">
        <v>7327</v>
      </c>
      <c r="Q1147" s="15" t="s">
        <v>7328</v>
      </c>
      <c r="R1147" s="16">
        <v>44329</v>
      </c>
      <c r="S1147" s="17" t="s">
        <v>2703</v>
      </c>
      <c r="T1147" s="20">
        <f>HYPERLINK("https://vnm.spiral.com.vn//uploaded/20210513/066CA4B4-6D4F-4AC8-BF81-86CC1DE3F968.jpg","14:38:46")</f>
      </c>
      <c r="U1147" s="18"/>
      <c r="V1147" s="18" t="s">
        <v>35</v>
      </c>
      <c r="W1147" s="15" t="s">
        <v>7329</v>
      </c>
      <c r="X1147" s="15" t="s">
        <v>35</v>
      </c>
      <c r="Y1147" s="15" t="s">
        <v>35</v>
      </c>
      <c r="Z1147" s="19">
        <v>0</v>
      </c>
      <c r="AA1147" s="15">
        <v>0</v>
      </c>
      <c r="AB1147" s="15" t="s">
        <v>35</v>
      </c>
    </row>
    <row r="1148">
      <c r="A1148" s="15">
        <v>1144</v>
      </c>
      <c r="B1148" s="15" t="s">
        <v>33</v>
      </c>
      <c r="C1148" s="15" t="s">
        <v>34</v>
      </c>
      <c r="D1148" s="15" t="s">
        <v>35</v>
      </c>
      <c r="E1148" s="15" t="s">
        <v>35</v>
      </c>
      <c r="F1148" s="15" t="s">
        <v>35</v>
      </c>
      <c r="G1148" s="15" t="s">
        <v>36</v>
      </c>
      <c r="H1148" s="15" t="s">
        <v>7330</v>
      </c>
      <c r="I1148" s="15" t="s">
        <v>7331</v>
      </c>
      <c r="J1148" s="15" t="s">
        <v>7332</v>
      </c>
      <c r="K1148" s="15" t="s">
        <v>40</v>
      </c>
      <c r="L1148" s="15" t="s">
        <v>41</v>
      </c>
      <c r="M1148" s="15" t="s">
        <v>42</v>
      </c>
      <c r="N1148" s="15" t="s">
        <v>43</v>
      </c>
      <c r="O1148" s="15" t="s">
        <v>44</v>
      </c>
      <c r="P1148" s="15" t="s">
        <v>7333</v>
      </c>
      <c r="Q1148" s="15" t="s">
        <v>7334</v>
      </c>
      <c r="R1148" s="16">
        <v>44329</v>
      </c>
      <c r="S1148" s="17" t="s">
        <v>2703</v>
      </c>
      <c r="T1148" s="20">
        <f>HYPERLINK("https://vnm.spiral.com.vn//uploaded/20210513/fd579e8d-6628-4ff1-9fbd-f20ec25790fa.JPEG","14:38:45")</f>
      </c>
      <c r="U1148" s="18"/>
      <c r="V1148" s="18" t="s">
        <v>35</v>
      </c>
      <c r="W1148" s="15" t="s">
        <v>7335</v>
      </c>
      <c r="X1148" s="15" t="s">
        <v>35</v>
      </c>
      <c r="Y1148" s="15" t="s">
        <v>35</v>
      </c>
      <c r="Z1148" s="19">
        <v>0</v>
      </c>
      <c r="AA1148" s="15">
        <v>0</v>
      </c>
      <c r="AB1148" s="15" t="s">
        <v>35</v>
      </c>
    </row>
    <row r="1149">
      <c r="A1149" s="15">
        <v>1145</v>
      </c>
      <c r="B1149" s="15" t="s">
        <v>103</v>
      </c>
      <c r="C1149" s="15" t="s">
        <v>186</v>
      </c>
      <c r="D1149" s="15" t="s">
        <v>35</v>
      </c>
      <c r="E1149" s="15" t="s">
        <v>35</v>
      </c>
      <c r="F1149" s="15" t="s">
        <v>35</v>
      </c>
      <c r="G1149" s="15" t="s">
        <v>36</v>
      </c>
      <c r="H1149" s="15" t="s">
        <v>7336</v>
      </c>
      <c r="I1149" s="15" t="s">
        <v>7337</v>
      </c>
      <c r="J1149" s="15" t="s">
        <v>7338</v>
      </c>
      <c r="K1149" s="15" t="s">
        <v>40</v>
      </c>
      <c r="L1149" s="15" t="s">
        <v>41</v>
      </c>
      <c r="M1149" s="15" t="s">
        <v>565</v>
      </c>
      <c r="N1149" s="15" t="s">
        <v>566</v>
      </c>
      <c r="O1149" s="15" t="s">
        <v>44</v>
      </c>
      <c r="P1149" s="15" t="s">
        <v>7339</v>
      </c>
      <c r="Q1149" s="15" t="s">
        <v>7340</v>
      </c>
      <c r="R1149" s="16">
        <v>44329</v>
      </c>
      <c r="S1149" s="17" t="s">
        <v>2703</v>
      </c>
      <c r="T1149" s="20">
        <f>HYPERLINK("https://vnm.spiral.com.vn//uploaded/20210513/6A18FACB-B2A3-436A-B841-B4FE4883E7AC.jpg","14:38:34")</f>
      </c>
      <c r="U1149" s="18"/>
      <c r="V1149" s="18" t="s">
        <v>35</v>
      </c>
      <c r="W1149" s="15" t="s">
        <v>7341</v>
      </c>
      <c r="X1149" s="15" t="s">
        <v>35</v>
      </c>
      <c r="Y1149" s="15" t="s">
        <v>35</v>
      </c>
      <c r="Z1149" s="19">
        <v>0</v>
      </c>
      <c r="AA1149" s="15">
        <v>0</v>
      </c>
      <c r="AB1149" s="15" t="s">
        <v>35</v>
      </c>
    </row>
    <row r="1150">
      <c r="A1150" s="15">
        <v>1146</v>
      </c>
      <c r="B1150" s="15" t="s">
        <v>61</v>
      </c>
      <c r="C1150" s="15" t="s">
        <v>398</v>
      </c>
      <c r="D1150" s="15" t="s">
        <v>135</v>
      </c>
      <c r="E1150" s="15" t="s">
        <v>116</v>
      </c>
      <c r="F1150" s="15" t="s">
        <v>35</v>
      </c>
      <c r="G1150" s="15" t="s">
        <v>74</v>
      </c>
      <c r="H1150" s="15" t="s">
        <v>7342</v>
      </c>
      <c r="I1150" s="15" t="s">
        <v>7343</v>
      </c>
      <c r="J1150" s="15" t="s">
        <v>7344</v>
      </c>
      <c r="K1150" s="15" t="s">
        <v>1586</v>
      </c>
      <c r="L1150" s="15" t="s">
        <v>1587</v>
      </c>
      <c r="M1150" s="15" t="s">
        <v>1588</v>
      </c>
      <c r="N1150" s="15" t="s">
        <v>1589</v>
      </c>
      <c r="O1150" s="15" t="s">
        <v>82</v>
      </c>
      <c r="P1150" s="15" t="s">
        <v>5215</v>
      </c>
      <c r="Q1150" s="15" t="s">
        <v>5216</v>
      </c>
      <c r="R1150" s="16">
        <v>44329</v>
      </c>
      <c r="S1150" s="17" t="s">
        <v>70</v>
      </c>
      <c r="T1150" s="20">
        <f>HYPERLINK("https://vnm.spiral.com.vn//uploaded/20210513/3b892f1c-8b6c-464f-87db-8251169d6bf1.JPEG","13:57:00")</f>
      </c>
      <c r="U1150" s="20">
        <f>HYPERLINK("https://vnm.spiral.com.vn//uploaded/20210513/4a6265f1-7e70-4044-a6a2-28625f2513d9.JPEG","14:38:25")</f>
      </c>
      <c r="V1150" s="18">
        <v>0.028761574074074075</v>
      </c>
      <c r="W1150" s="15" t="s">
        <v>7345</v>
      </c>
      <c r="X1150" s="15" t="s">
        <v>7346</v>
      </c>
      <c r="Y1150" s="15" t="s">
        <v>35</v>
      </c>
      <c r="Z1150" s="19">
        <v>0</v>
      </c>
      <c r="AA1150" s="15">
        <v>0</v>
      </c>
      <c r="AB1150" s="15" t="s">
        <v>35</v>
      </c>
    </row>
    <row r="1151">
      <c r="A1151" s="15">
        <v>1147</v>
      </c>
      <c r="B1151" s="15" t="s">
        <v>246</v>
      </c>
      <c r="C1151" s="15" t="s">
        <v>247</v>
      </c>
      <c r="D1151" s="15" t="s">
        <v>35</v>
      </c>
      <c r="E1151" s="15" t="s">
        <v>35</v>
      </c>
      <c r="F1151" s="15" t="s">
        <v>7347</v>
      </c>
      <c r="G1151" s="15" t="s">
        <v>36</v>
      </c>
      <c r="H1151" s="15" t="s">
        <v>7348</v>
      </c>
      <c r="I1151" s="15" t="s">
        <v>7349</v>
      </c>
      <c r="J1151" s="15" t="s">
        <v>7350</v>
      </c>
      <c r="K1151" s="15" t="s">
        <v>40</v>
      </c>
      <c r="L1151" s="15" t="s">
        <v>41</v>
      </c>
      <c r="M1151" s="15" t="s">
        <v>252</v>
      </c>
      <c r="N1151" s="15" t="s">
        <v>253</v>
      </c>
      <c r="O1151" s="15" t="s">
        <v>44</v>
      </c>
      <c r="P1151" s="15" t="s">
        <v>7351</v>
      </c>
      <c r="Q1151" s="15" t="s">
        <v>7352</v>
      </c>
      <c r="R1151" s="16">
        <v>44329</v>
      </c>
      <c r="S1151" s="17" t="s">
        <v>7353</v>
      </c>
      <c r="T1151" s="20">
        <f>HYPERLINK("https://vnm.spiral.com.vn//uploaded/20210513/e81af16e-0c72-4a71-9f5b-7e1ee9fbc96f.JPEG","14:38:12")</f>
      </c>
      <c r="U1151" s="18"/>
      <c r="V1151" s="18" t="s">
        <v>35</v>
      </c>
      <c r="W1151" s="15" t="s">
        <v>7354</v>
      </c>
      <c r="X1151" s="15" t="s">
        <v>35</v>
      </c>
      <c r="Y1151" s="15" t="s">
        <v>35</v>
      </c>
      <c r="Z1151" s="19">
        <v>0</v>
      </c>
      <c r="AA1151" s="15">
        <v>0</v>
      </c>
      <c r="AB1151" s="15" t="s">
        <v>35</v>
      </c>
    </row>
    <row r="1152">
      <c r="A1152" s="15">
        <v>1148</v>
      </c>
      <c r="B1152" s="15" t="s">
        <v>343</v>
      </c>
      <c r="C1152" s="15" t="s">
        <v>344</v>
      </c>
      <c r="D1152" s="15" t="s">
        <v>432</v>
      </c>
      <c r="E1152" s="15" t="s">
        <v>116</v>
      </c>
      <c r="F1152" s="15" t="s">
        <v>35</v>
      </c>
      <c r="G1152" s="15" t="s">
        <v>74</v>
      </c>
      <c r="H1152" s="15" t="s">
        <v>7355</v>
      </c>
      <c r="I1152" s="15" t="s">
        <v>7356</v>
      </c>
      <c r="J1152" s="15" t="s">
        <v>7357</v>
      </c>
      <c r="K1152" s="15" t="s">
        <v>512</v>
      </c>
      <c r="L1152" s="15" t="s">
        <v>513</v>
      </c>
      <c r="M1152" s="15" t="s">
        <v>514</v>
      </c>
      <c r="N1152" s="15" t="s">
        <v>515</v>
      </c>
      <c r="O1152" s="15" t="s">
        <v>82</v>
      </c>
      <c r="P1152" s="15" t="s">
        <v>1633</v>
      </c>
      <c r="Q1152" s="15" t="s">
        <v>1634</v>
      </c>
      <c r="R1152" s="16">
        <v>44329</v>
      </c>
      <c r="S1152" s="17" t="s">
        <v>70</v>
      </c>
      <c r="T1152" s="20">
        <f>HYPERLINK("https://vnm.spiral.com.vn//uploaded/20210513/4ec08540-fb19-411a-9787-dcdda899076f.JPEG","11:48:40")</f>
      </c>
      <c r="U1152" s="20">
        <f>HYPERLINK("https://vnm.spiral.com.vn//uploaded/20210513/76ebb55c-5541-4c02-8c23-bd8680b4def5.JPEG","14:37:50")</f>
      </c>
      <c r="V1152" s="18">
        <v>0.11747685185185185</v>
      </c>
      <c r="W1152" s="15" t="s">
        <v>7358</v>
      </c>
      <c r="X1152" s="15" t="s">
        <v>7359</v>
      </c>
      <c r="Y1152" s="15" t="s">
        <v>35</v>
      </c>
      <c r="Z1152" s="19">
        <v>0</v>
      </c>
      <c r="AA1152" s="15">
        <v>0</v>
      </c>
      <c r="AB1152" s="15" t="s">
        <v>35</v>
      </c>
    </row>
    <row r="1153">
      <c r="A1153" s="15">
        <v>1149</v>
      </c>
      <c r="B1153" s="15" t="s">
        <v>87</v>
      </c>
      <c r="C1153" s="15" t="s">
        <v>88</v>
      </c>
      <c r="D1153" s="15" t="s">
        <v>35</v>
      </c>
      <c r="E1153" s="15" t="s">
        <v>35</v>
      </c>
      <c r="F1153" s="15" t="s">
        <v>2077</v>
      </c>
      <c r="G1153" s="15" t="s">
        <v>36</v>
      </c>
      <c r="H1153" s="15" t="s">
        <v>7360</v>
      </c>
      <c r="I1153" s="15" t="s">
        <v>7361</v>
      </c>
      <c r="J1153" s="15" t="s">
        <v>7362</v>
      </c>
      <c r="K1153" s="15" t="s">
        <v>40</v>
      </c>
      <c r="L1153" s="15" t="s">
        <v>41</v>
      </c>
      <c r="M1153" s="15" t="s">
        <v>289</v>
      </c>
      <c r="N1153" s="15" t="s">
        <v>290</v>
      </c>
      <c r="O1153" s="15" t="s">
        <v>44</v>
      </c>
      <c r="P1153" s="15" t="s">
        <v>7363</v>
      </c>
      <c r="Q1153" s="15" t="s">
        <v>7364</v>
      </c>
      <c r="R1153" s="16">
        <v>44329</v>
      </c>
      <c r="S1153" s="17" t="s">
        <v>6565</v>
      </c>
      <c r="T1153" s="20">
        <f>HYPERLINK("https://vnm.spiral.com.vn//uploaded/20210513/1e708044-9854-466a-827c-36fb2827812f.JPEG","14:37:34")</f>
      </c>
      <c r="U1153" s="18"/>
      <c r="V1153" s="18" t="s">
        <v>35</v>
      </c>
      <c r="W1153" s="15" t="s">
        <v>7365</v>
      </c>
      <c r="X1153" s="15" t="s">
        <v>35</v>
      </c>
      <c r="Y1153" s="15" t="s">
        <v>35</v>
      </c>
      <c r="Z1153" s="19">
        <v>0</v>
      </c>
      <c r="AA1153" s="15">
        <v>0</v>
      </c>
      <c r="AB1153" s="15" t="s">
        <v>35</v>
      </c>
    </row>
    <row r="1154">
      <c r="A1154" s="15">
        <v>1150</v>
      </c>
      <c r="B1154" s="15" t="s">
        <v>61</v>
      </c>
      <c r="C1154" s="15" t="s">
        <v>398</v>
      </c>
      <c r="D1154" s="15" t="s">
        <v>35</v>
      </c>
      <c r="E1154" s="15" t="s">
        <v>35</v>
      </c>
      <c r="F1154" s="15" t="s">
        <v>35</v>
      </c>
      <c r="G1154" s="15" t="s">
        <v>36</v>
      </c>
      <c r="H1154" s="15" t="s">
        <v>7366</v>
      </c>
      <c r="I1154" s="15" t="s">
        <v>7367</v>
      </c>
      <c r="J1154" s="15" t="s">
        <v>7368</v>
      </c>
      <c r="K1154" s="15" t="s">
        <v>40</v>
      </c>
      <c r="L1154" s="15" t="s">
        <v>41</v>
      </c>
      <c r="M1154" s="15" t="s">
        <v>66</v>
      </c>
      <c r="N1154" s="15" t="s">
        <v>67</v>
      </c>
      <c r="O1154" s="15" t="s">
        <v>44</v>
      </c>
      <c r="P1154" s="15" t="s">
        <v>7369</v>
      </c>
      <c r="Q1154" s="15" t="s">
        <v>7370</v>
      </c>
      <c r="R1154" s="16">
        <v>44329</v>
      </c>
      <c r="S1154" s="17" t="s">
        <v>686</v>
      </c>
      <c r="T1154" s="20">
        <f>HYPERLINK("https://vnm.spiral.com.vn//uploaded/20210513/9DBAFF20-EE6C-4C23-A52E-741A9E5A238F.jpg","14:36:47")</f>
      </c>
      <c r="U1154" s="18"/>
      <c r="V1154" s="18" t="s">
        <v>35</v>
      </c>
      <c r="W1154" s="15" t="s">
        <v>7371</v>
      </c>
      <c r="X1154" s="15" t="s">
        <v>35</v>
      </c>
      <c r="Y1154" s="15" t="s">
        <v>35</v>
      </c>
      <c r="Z1154" s="19">
        <v>0</v>
      </c>
      <c r="AA1154" s="15">
        <v>0</v>
      </c>
      <c r="AB1154" s="15" t="s">
        <v>35</v>
      </c>
    </row>
    <row r="1155">
      <c r="A1155" s="15">
        <v>1151</v>
      </c>
      <c r="B1155" s="15" t="s">
        <v>87</v>
      </c>
      <c r="C1155" s="15" t="s">
        <v>88</v>
      </c>
      <c r="D1155" s="15" t="s">
        <v>89</v>
      </c>
      <c r="E1155" s="15" t="s">
        <v>90</v>
      </c>
      <c r="F1155" s="15" t="s">
        <v>35</v>
      </c>
      <c r="G1155" s="15" t="s">
        <v>74</v>
      </c>
      <c r="H1155" s="15" t="s">
        <v>2448</v>
      </c>
      <c r="I1155" s="15" t="s">
        <v>2449</v>
      </c>
      <c r="J1155" s="15" t="s">
        <v>2450</v>
      </c>
      <c r="K1155" s="15" t="s">
        <v>94</v>
      </c>
      <c r="L1155" s="15" t="s">
        <v>95</v>
      </c>
      <c r="M1155" s="15" t="s">
        <v>96</v>
      </c>
      <c r="N1155" s="15" t="s">
        <v>97</v>
      </c>
      <c r="O1155" s="15" t="s">
        <v>98</v>
      </c>
      <c r="P1155" s="15" t="s">
        <v>99</v>
      </c>
      <c r="Q1155" s="15" t="s">
        <v>100</v>
      </c>
      <c r="R1155" s="16">
        <v>44329</v>
      </c>
      <c r="S1155" s="17" t="s">
        <v>70</v>
      </c>
      <c r="T1155" s="20">
        <f>HYPERLINK("https://vnm.spiral.com.vn//uploaded/20210513/4c4d1bba-5f4d-48de-a109-e089ab1f7aa1.JPEG","13:38:27")</f>
      </c>
      <c r="U1155" s="20">
        <f>HYPERLINK("https://vnm.spiral.com.vn//uploaded/20210513/837d5253-5b52-4bd3-b4b2-b0b1e0e186c2.JPEG","14:36:40")</f>
      </c>
      <c r="V1155" s="18">
        <v>0.040428240740740744</v>
      </c>
      <c r="W1155" s="15" t="s">
        <v>7372</v>
      </c>
      <c r="X1155" s="15" t="s">
        <v>7373</v>
      </c>
      <c r="Y1155" s="15" t="s">
        <v>35</v>
      </c>
      <c r="Z1155" s="19">
        <v>0</v>
      </c>
      <c r="AA1155" s="15">
        <v>0</v>
      </c>
      <c r="AB1155" s="15" t="s">
        <v>35</v>
      </c>
    </row>
    <row r="1156">
      <c r="A1156" s="15">
        <v>1152</v>
      </c>
      <c r="B1156" s="15" t="s">
        <v>87</v>
      </c>
      <c r="C1156" s="15" t="s">
        <v>88</v>
      </c>
      <c r="D1156" s="15" t="s">
        <v>610</v>
      </c>
      <c r="E1156" s="15" t="s">
        <v>90</v>
      </c>
      <c r="F1156" s="15" t="s">
        <v>35</v>
      </c>
      <c r="G1156" s="15" t="s">
        <v>74</v>
      </c>
      <c r="H1156" s="15" t="s">
        <v>7374</v>
      </c>
      <c r="I1156" s="15" t="s">
        <v>7375</v>
      </c>
      <c r="J1156" s="15" t="s">
        <v>7376</v>
      </c>
      <c r="K1156" s="15" t="s">
        <v>614</v>
      </c>
      <c r="L1156" s="15" t="s">
        <v>615</v>
      </c>
      <c r="M1156" s="15" t="s">
        <v>616</v>
      </c>
      <c r="N1156" s="15" t="s">
        <v>617</v>
      </c>
      <c r="O1156" s="15" t="s">
        <v>82</v>
      </c>
      <c r="P1156" s="15" t="s">
        <v>1251</v>
      </c>
      <c r="Q1156" s="15" t="s">
        <v>1252</v>
      </c>
      <c r="R1156" s="16">
        <v>44329</v>
      </c>
      <c r="S1156" s="17" t="s">
        <v>70</v>
      </c>
      <c r="T1156" s="20">
        <f>HYPERLINK("https://vnm.spiral.com.vn//uploaded/20210513/A264E12D-B08B-48AF-852A-26EA2B22AE1A.jpg","14:15:18")</f>
      </c>
      <c r="U1156" s="20">
        <f>HYPERLINK("https://vnm.spiral.com.vn//uploaded/20210513/E440C3FD-2894-4572-A18A-49002E6594E9.jpg","14:36:02")</f>
      </c>
      <c r="V1156" s="18">
        <v>0.014398148148148148</v>
      </c>
      <c r="W1156" s="15" t="s">
        <v>7377</v>
      </c>
      <c r="X1156" s="15" t="s">
        <v>7378</v>
      </c>
      <c r="Y1156" s="15" t="s">
        <v>35</v>
      </c>
      <c r="Z1156" s="19">
        <v>0</v>
      </c>
      <c r="AA1156" s="15">
        <v>0</v>
      </c>
      <c r="AB1156" s="15" t="s">
        <v>35</v>
      </c>
    </row>
    <row r="1157">
      <c r="A1157" s="15">
        <v>1153</v>
      </c>
      <c r="B1157" s="15" t="s">
        <v>103</v>
      </c>
      <c r="C1157" s="15" t="s">
        <v>186</v>
      </c>
      <c r="D1157" s="15" t="s">
        <v>35</v>
      </c>
      <c r="E1157" s="15" t="s">
        <v>35</v>
      </c>
      <c r="F1157" s="15" t="s">
        <v>35</v>
      </c>
      <c r="G1157" s="15" t="s">
        <v>36</v>
      </c>
      <c r="H1157" s="15" t="s">
        <v>7379</v>
      </c>
      <c r="I1157" s="15" t="s">
        <v>7380</v>
      </c>
      <c r="J1157" s="15" t="s">
        <v>7381</v>
      </c>
      <c r="K1157" s="15" t="s">
        <v>40</v>
      </c>
      <c r="L1157" s="15" t="s">
        <v>41</v>
      </c>
      <c r="M1157" s="15" t="s">
        <v>565</v>
      </c>
      <c r="N1157" s="15" t="s">
        <v>566</v>
      </c>
      <c r="O1157" s="15" t="s">
        <v>44</v>
      </c>
      <c r="P1157" s="15" t="s">
        <v>7382</v>
      </c>
      <c r="Q1157" s="15" t="s">
        <v>7383</v>
      </c>
      <c r="R1157" s="16">
        <v>44329</v>
      </c>
      <c r="S1157" s="17" t="s">
        <v>7353</v>
      </c>
      <c r="T1157" s="20">
        <f>HYPERLINK("https://vnm.spiral.com.vn//uploaded/20210513/2c80e1c9-456b-496e-a145-faf3a0ee84a2.JPEG","14:35:59")</f>
      </c>
      <c r="U1157" s="18"/>
      <c r="V1157" s="18" t="s">
        <v>35</v>
      </c>
      <c r="W1157" s="15" t="s">
        <v>7384</v>
      </c>
      <c r="X1157" s="15" t="s">
        <v>35</v>
      </c>
      <c r="Y1157" s="15" t="s">
        <v>35</v>
      </c>
      <c r="Z1157" s="19">
        <v>0</v>
      </c>
      <c r="AA1157" s="15">
        <v>0</v>
      </c>
      <c r="AB1157" s="15" t="s">
        <v>35</v>
      </c>
    </row>
    <row r="1158">
      <c r="A1158" s="15">
        <v>1154</v>
      </c>
      <c r="B1158" s="15" t="s">
        <v>87</v>
      </c>
      <c r="C1158" s="15" t="s">
        <v>88</v>
      </c>
      <c r="D1158" s="15" t="s">
        <v>35</v>
      </c>
      <c r="E1158" s="15" t="s">
        <v>35</v>
      </c>
      <c r="F1158" s="15" t="s">
        <v>2789</v>
      </c>
      <c r="G1158" s="15" t="s">
        <v>36</v>
      </c>
      <c r="H1158" s="15" t="s">
        <v>7385</v>
      </c>
      <c r="I1158" s="15" t="s">
        <v>7386</v>
      </c>
      <c r="J1158" s="15" t="s">
        <v>7387</v>
      </c>
      <c r="K1158" s="15" t="s">
        <v>40</v>
      </c>
      <c r="L1158" s="15" t="s">
        <v>41</v>
      </c>
      <c r="M1158" s="15" t="s">
        <v>289</v>
      </c>
      <c r="N1158" s="15" t="s">
        <v>290</v>
      </c>
      <c r="O1158" s="15" t="s">
        <v>44</v>
      </c>
      <c r="P1158" s="15" t="s">
        <v>7388</v>
      </c>
      <c r="Q1158" s="15" t="s">
        <v>7389</v>
      </c>
      <c r="R1158" s="16">
        <v>44329</v>
      </c>
      <c r="S1158" s="17" t="s">
        <v>2703</v>
      </c>
      <c r="T1158" s="20">
        <f>HYPERLINK("https://vnm.spiral.com.vn//uploaded/20210513/bfd9338f-b089-4da1-bb62-8a73485f40ec.JPEG","14:35:54")</f>
      </c>
      <c r="U1158" s="18"/>
      <c r="V1158" s="18" t="s">
        <v>35</v>
      </c>
      <c r="W1158" s="15" t="s">
        <v>7390</v>
      </c>
      <c r="X1158" s="15" t="s">
        <v>35</v>
      </c>
      <c r="Y1158" s="15" t="s">
        <v>35</v>
      </c>
      <c r="Z1158" s="19">
        <v>0</v>
      </c>
      <c r="AA1158" s="15">
        <v>0</v>
      </c>
      <c r="AB1158" s="15" t="s">
        <v>35</v>
      </c>
    </row>
    <row r="1159">
      <c r="A1159" s="15">
        <v>1155</v>
      </c>
      <c r="B1159" s="15" t="s">
        <v>87</v>
      </c>
      <c r="C1159" s="15" t="s">
        <v>88</v>
      </c>
      <c r="D1159" s="15" t="s">
        <v>89</v>
      </c>
      <c r="E1159" s="15" t="s">
        <v>90</v>
      </c>
      <c r="F1159" s="15" t="s">
        <v>35</v>
      </c>
      <c r="G1159" s="15" t="s">
        <v>74</v>
      </c>
      <c r="H1159" s="15" t="s">
        <v>7391</v>
      </c>
      <c r="I1159" s="15" t="s">
        <v>7392</v>
      </c>
      <c r="J1159" s="15" t="s">
        <v>7393</v>
      </c>
      <c r="K1159" s="15" t="s">
        <v>94</v>
      </c>
      <c r="L1159" s="15" t="s">
        <v>95</v>
      </c>
      <c r="M1159" s="15" t="s">
        <v>1554</v>
      </c>
      <c r="N1159" s="15" t="s">
        <v>1555</v>
      </c>
      <c r="O1159" s="15" t="s">
        <v>98</v>
      </c>
      <c r="P1159" s="15" t="s">
        <v>2528</v>
      </c>
      <c r="Q1159" s="15" t="s">
        <v>2529</v>
      </c>
      <c r="R1159" s="16">
        <v>44329</v>
      </c>
      <c r="S1159" s="17" t="s">
        <v>70</v>
      </c>
      <c r="T1159" s="20">
        <f>HYPERLINK("https://vnm.spiral.com.vn//uploaded/20210513/928CA4CD-470D-4619-8220-16C500EE94AF.jpg","14:04:09")</f>
      </c>
      <c r="U1159" s="20">
        <f>HYPERLINK("https://vnm.spiral.com.vn//uploaded/20210513/163BDB0A-C8D9-427E-A5B6-9ABB2952B776.jpg","14:35:40")</f>
      </c>
      <c r="V1159" s="18">
        <v>0.021886574074074076</v>
      </c>
      <c r="W1159" s="15" t="s">
        <v>7394</v>
      </c>
      <c r="X1159" s="15" t="s">
        <v>7395</v>
      </c>
      <c r="Y1159" s="15" t="s">
        <v>35</v>
      </c>
      <c r="Z1159" s="19">
        <v>0</v>
      </c>
      <c r="AA1159" s="15">
        <v>0</v>
      </c>
      <c r="AB1159" s="15" t="s">
        <v>35</v>
      </c>
    </row>
    <row r="1160">
      <c r="A1160" s="15">
        <v>1156</v>
      </c>
      <c r="B1160" s="15" t="s">
        <v>246</v>
      </c>
      <c r="C1160" s="15" t="s">
        <v>782</v>
      </c>
      <c r="D1160" s="15" t="s">
        <v>432</v>
      </c>
      <c r="E1160" s="15" t="s">
        <v>116</v>
      </c>
      <c r="F1160" s="15" t="s">
        <v>35</v>
      </c>
      <c r="G1160" s="15" t="s">
        <v>74</v>
      </c>
      <c r="H1160" s="15" t="s">
        <v>7396</v>
      </c>
      <c r="I1160" s="15" t="s">
        <v>7397</v>
      </c>
      <c r="J1160" s="15" t="s">
        <v>7398</v>
      </c>
      <c r="K1160" s="15" t="s">
        <v>263</v>
      </c>
      <c r="L1160" s="15" t="s">
        <v>264</v>
      </c>
      <c r="M1160" s="15" t="s">
        <v>280</v>
      </c>
      <c r="N1160" s="15" t="s">
        <v>281</v>
      </c>
      <c r="O1160" s="15" t="s">
        <v>156</v>
      </c>
      <c r="P1160" s="15" t="s">
        <v>5056</v>
      </c>
      <c r="Q1160" s="15" t="s">
        <v>5057</v>
      </c>
      <c r="R1160" s="16">
        <v>44329</v>
      </c>
      <c r="S1160" s="17" t="s">
        <v>5058</v>
      </c>
      <c r="T1160" s="20">
        <f>HYPERLINK("https://vnm.spiral.com.vn//uploaded/20210513/9C769E01-666E-41E2-9AAC-EA3E0C034FDB.jpg","14:20:24")</f>
      </c>
      <c r="U1160" s="20">
        <f>HYPERLINK("https://vnm.spiral.com.vn//uploaded/20210513/AA25E9FF-1249-4CA4-AF92-BAB5A3CC548E.jpg","14:35:30")</f>
      </c>
      <c r="V1160" s="18">
        <v>0.010486111111111111</v>
      </c>
      <c r="W1160" s="15" t="s">
        <v>7399</v>
      </c>
      <c r="X1160" s="15" t="s">
        <v>7400</v>
      </c>
      <c r="Y1160" s="15" t="s">
        <v>35</v>
      </c>
      <c r="Z1160" s="19">
        <v>0</v>
      </c>
      <c r="AA1160" s="15">
        <v>0</v>
      </c>
      <c r="AB1160" s="15" t="s">
        <v>35</v>
      </c>
    </row>
    <row r="1161">
      <c r="A1161" s="15">
        <v>1157</v>
      </c>
      <c r="B1161" s="15" t="s">
        <v>33</v>
      </c>
      <c r="C1161" s="15" t="s">
        <v>2883</v>
      </c>
      <c r="D1161" s="15" t="s">
        <v>35</v>
      </c>
      <c r="E1161" s="15" t="s">
        <v>35</v>
      </c>
      <c r="F1161" s="15" t="s">
        <v>35</v>
      </c>
      <c r="G1161" s="15" t="s">
        <v>36</v>
      </c>
      <c r="H1161" s="15" t="s">
        <v>7401</v>
      </c>
      <c r="I1161" s="15" t="s">
        <v>7402</v>
      </c>
      <c r="J1161" s="15" t="s">
        <v>7403</v>
      </c>
      <c r="K1161" s="15" t="s">
        <v>40</v>
      </c>
      <c r="L1161" s="15" t="s">
        <v>41</v>
      </c>
      <c r="M1161" s="15" t="s">
        <v>42</v>
      </c>
      <c r="N1161" s="15" t="s">
        <v>43</v>
      </c>
      <c r="O1161" s="15" t="s">
        <v>44</v>
      </c>
      <c r="P1161" s="15" t="s">
        <v>7404</v>
      </c>
      <c r="Q1161" s="15" t="s">
        <v>7405</v>
      </c>
      <c r="R1161" s="16">
        <v>44329</v>
      </c>
      <c r="S1161" s="17" t="s">
        <v>569</v>
      </c>
      <c r="T1161" s="20">
        <f>HYPERLINK("https://vnm.spiral.com.vn//uploaded/20210513/6da1f0b5-093d-4b6a-ab06-ce2f426622a8.JPEG","14:35:06")</f>
      </c>
      <c r="U1161" s="18"/>
      <c r="V1161" s="18" t="s">
        <v>35</v>
      </c>
      <c r="W1161" s="15" t="s">
        <v>7406</v>
      </c>
      <c r="X1161" s="15" t="s">
        <v>35</v>
      </c>
      <c r="Y1161" s="15" t="s">
        <v>35</v>
      </c>
      <c r="Z1161" s="19">
        <v>0</v>
      </c>
      <c r="AA1161" s="15">
        <v>0</v>
      </c>
      <c r="AB1161" s="15" t="s">
        <v>35</v>
      </c>
    </row>
    <row r="1162">
      <c r="A1162" s="15">
        <v>1158</v>
      </c>
      <c r="B1162" s="15" t="s">
        <v>343</v>
      </c>
      <c r="C1162" s="15" t="s">
        <v>344</v>
      </c>
      <c r="D1162" s="15" t="s">
        <v>432</v>
      </c>
      <c r="E1162" s="15" t="s">
        <v>116</v>
      </c>
      <c r="F1162" s="15" t="s">
        <v>35</v>
      </c>
      <c r="G1162" s="15" t="s">
        <v>74</v>
      </c>
      <c r="H1162" s="15" t="s">
        <v>7407</v>
      </c>
      <c r="I1162" s="15" t="s">
        <v>7408</v>
      </c>
      <c r="J1162" s="15" t="s">
        <v>7409</v>
      </c>
      <c r="K1162" s="15" t="s">
        <v>1168</v>
      </c>
      <c r="L1162" s="15" t="s">
        <v>1169</v>
      </c>
      <c r="M1162" s="15" t="s">
        <v>1170</v>
      </c>
      <c r="N1162" s="15" t="s">
        <v>1171</v>
      </c>
      <c r="O1162" s="15" t="s">
        <v>82</v>
      </c>
      <c r="P1162" s="15" t="s">
        <v>2597</v>
      </c>
      <c r="Q1162" s="15" t="s">
        <v>2598</v>
      </c>
      <c r="R1162" s="16">
        <v>44329</v>
      </c>
      <c r="S1162" s="17" t="s">
        <v>70</v>
      </c>
      <c r="T1162" s="20">
        <f>HYPERLINK("https://vnm.spiral.com.vn//uploaded/20210513/c0456c54-871e-4981-b529-f96789293439.JPEG","13:12:21")</f>
      </c>
      <c r="U1162" s="20">
        <f>HYPERLINK("https://vnm.spiral.com.vn//uploaded/20210513/1441de92-2b9f-4685-8430-be36f5c7c767.JPEG","14:34:58")</f>
      </c>
      <c r="V1162" s="18">
        <v>0.057372685185185186</v>
      </c>
      <c r="W1162" s="15" t="s">
        <v>7410</v>
      </c>
      <c r="X1162" s="15" t="s">
        <v>7411</v>
      </c>
      <c r="Y1162" s="15" t="s">
        <v>35</v>
      </c>
      <c r="Z1162" s="19">
        <v>0</v>
      </c>
      <c r="AA1162" s="15">
        <v>0</v>
      </c>
      <c r="AB1162" s="15" t="s">
        <v>35</v>
      </c>
    </row>
    <row r="1163">
      <c r="A1163" s="15">
        <v>1159</v>
      </c>
      <c r="B1163" s="15" t="s">
        <v>103</v>
      </c>
      <c r="C1163" s="15" t="s">
        <v>1078</v>
      </c>
      <c r="D1163" s="15" t="s">
        <v>35</v>
      </c>
      <c r="E1163" s="15" t="s">
        <v>35</v>
      </c>
      <c r="F1163" s="15" t="s">
        <v>35</v>
      </c>
      <c r="G1163" s="15" t="s">
        <v>35</v>
      </c>
      <c r="H1163" s="15" t="s">
        <v>7412</v>
      </c>
      <c r="I1163" s="15" t="s">
        <v>7413</v>
      </c>
      <c r="J1163" s="15" t="s">
        <v>7414</v>
      </c>
      <c r="K1163" s="15" t="s">
        <v>40</v>
      </c>
      <c r="L1163" s="15" t="s">
        <v>41</v>
      </c>
      <c r="M1163" s="15" t="s">
        <v>565</v>
      </c>
      <c r="N1163" s="15" t="s">
        <v>566</v>
      </c>
      <c r="O1163" s="15" t="s">
        <v>44</v>
      </c>
      <c r="P1163" s="15" t="s">
        <v>7415</v>
      </c>
      <c r="Q1163" s="15" t="s">
        <v>7416</v>
      </c>
      <c r="R1163" s="16">
        <v>44329</v>
      </c>
      <c r="S1163" s="17" t="s">
        <v>2703</v>
      </c>
      <c r="T1163" s="20">
        <f>HYPERLINK("https://vnm.spiral.com.vn//uploaded/20210513/fccb7ebf-8e43-4338-9ba6-c4224fb65b51.JPEG","14:34:52")</f>
      </c>
      <c r="U1163" s="18"/>
      <c r="V1163" s="18" t="s">
        <v>35</v>
      </c>
      <c r="W1163" s="15" t="s">
        <v>7417</v>
      </c>
      <c r="X1163" s="15" t="s">
        <v>35</v>
      </c>
      <c r="Y1163" s="15" t="s">
        <v>35</v>
      </c>
      <c r="Z1163" s="19">
        <v>0</v>
      </c>
      <c r="AA1163" s="15">
        <v>0</v>
      </c>
      <c r="AB1163" s="15" t="s">
        <v>35</v>
      </c>
    </row>
    <row r="1164">
      <c r="A1164" s="15">
        <v>1160</v>
      </c>
      <c r="B1164" s="15" t="s">
        <v>87</v>
      </c>
      <c r="C1164" s="15" t="s">
        <v>88</v>
      </c>
      <c r="D1164" s="15" t="s">
        <v>357</v>
      </c>
      <c r="E1164" s="15" t="s">
        <v>90</v>
      </c>
      <c r="F1164" s="15" t="s">
        <v>35</v>
      </c>
      <c r="G1164" s="15" t="s">
        <v>74</v>
      </c>
      <c r="H1164" s="15" t="s">
        <v>7418</v>
      </c>
      <c r="I1164" s="15" t="s">
        <v>7419</v>
      </c>
      <c r="J1164" s="15" t="s">
        <v>7420</v>
      </c>
      <c r="K1164" s="15" t="s">
        <v>94</v>
      </c>
      <c r="L1164" s="15" t="s">
        <v>95</v>
      </c>
      <c r="M1164" s="15" t="s">
        <v>1554</v>
      </c>
      <c r="N1164" s="15" t="s">
        <v>1555</v>
      </c>
      <c r="O1164" s="15" t="s">
        <v>82</v>
      </c>
      <c r="P1164" s="15" t="s">
        <v>4710</v>
      </c>
      <c r="Q1164" s="15" t="s">
        <v>4711</v>
      </c>
      <c r="R1164" s="16">
        <v>44329</v>
      </c>
      <c r="S1164" s="17" t="s">
        <v>70</v>
      </c>
      <c r="T1164" s="20">
        <f>HYPERLINK("https://vnm.spiral.com.vn//uploaded/20210513/6f54af1c-316a-4a52-98be-6d5171678384.jpg","10:15:04")</f>
      </c>
      <c r="U1164" s="20">
        <f>HYPERLINK("https://vnm.spiral.com.vn//uploaded/20210513/1cbcfdf0-1597-49b8-b182-c568e51e92c0.jpg","14:34:47")</f>
      </c>
      <c r="V1164" s="18">
        <v>0.1803587962962963</v>
      </c>
      <c r="W1164" s="15" t="s">
        <v>7421</v>
      </c>
      <c r="X1164" s="15" t="s">
        <v>7421</v>
      </c>
      <c r="Y1164" s="15" t="s">
        <v>35</v>
      </c>
      <c r="Z1164" s="19">
        <v>0</v>
      </c>
      <c r="AA1164" s="15">
        <v>0</v>
      </c>
      <c r="AB1164" s="15" t="s">
        <v>35</v>
      </c>
    </row>
    <row r="1165">
      <c r="A1165" s="15">
        <v>1161</v>
      </c>
      <c r="B1165" s="15" t="s">
        <v>343</v>
      </c>
      <c r="C1165" s="15" t="s">
        <v>344</v>
      </c>
      <c r="D1165" s="15" t="s">
        <v>35</v>
      </c>
      <c r="E1165" s="15" t="s">
        <v>35</v>
      </c>
      <c r="F1165" s="15" t="s">
        <v>35</v>
      </c>
      <c r="G1165" s="15" t="s">
        <v>36</v>
      </c>
      <c r="H1165" s="15" t="s">
        <v>7422</v>
      </c>
      <c r="I1165" s="15" t="s">
        <v>7423</v>
      </c>
      <c r="J1165" s="15" t="s">
        <v>7424</v>
      </c>
      <c r="K1165" s="15" t="s">
        <v>40</v>
      </c>
      <c r="L1165" s="15" t="s">
        <v>41</v>
      </c>
      <c r="M1165" s="15" t="s">
        <v>409</v>
      </c>
      <c r="N1165" s="15" t="s">
        <v>410</v>
      </c>
      <c r="O1165" s="15" t="s">
        <v>44</v>
      </c>
      <c r="P1165" s="15" t="s">
        <v>7425</v>
      </c>
      <c r="Q1165" s="15" t="s">
        <v>7426</v>
      </c>
      <c r="R1165" s="16">
        <v>44329</v>
      </c>
      <c r="S1165" s="17" t="s">
        <v>686</v>
      </c>
      <c r="T1165" s="20">
        <f>HYPERLINK("https://vnm.spiral.com.vn//uploaded/20210513/4e29c4df-5940-4799-a828-3b073eb00671.JPEG","14:34:22")</f>
      </c>
      <c r="U1165" s="18"/>
      <c r="V1165" s="18" t="s">
        <v>35</v>
      </c>
      <c r="W1165" s="15" t="s">
        <v>7427</v>
      </c>
      <c r="X1165" s="15" t="s">
        <v>35</v>
      </c>
      <c r="Y1165" s="15" t="s">
        <v>35</v>
      </c>
      <c r="Z1165" s="19">
        <v>0</v>
      </c>
      <c r="AA1165" s="15">
        <v>0</v>
      </c>
      <c r="AB1165" s="15" t="s">
        <v>35</v>
      </c>
    </row>
    <row r="1166">
      <c r="A1166" s="15">
        <v>1162</v>
      </c>
      <c r="B1166" s="15" t="s">
        <v>343</v>
      </c>
      <c r="C1166" s="15" t="s">
        <v>344</v>
      </c>
      <c r="D1166" s="15" t="s">
        <v>35</v>
      </c>
      <c r="E1166" s="15" t="s">
        <v>35</v>
      </c>
      <c r="F1166" s="15" t="s">
        <v>35</v>
      </c>
      <c r="G1166" s="15" t="s">
        <v>36</v>
      </c>
      <c r="H1166" s="15" t="s">
        <v>7428</v>
      </c>
      <c r="I1166" s="15" t="s">
        <v>7429</v>
      </c>
      <c r="J1166" s="15" t="s">
        <v>7430</v>
      </c>
      <c r="K1166" s="15" t="s">
        <v>40</v>
      </c>
      <c r="L1166" s="15" t="s">
        <v>41</v>
      </c>
      <c r="M1166" s="15" t="s">
        <v>595</v>
      </c>
      <c r="N1166" s="15" t="s">
        <v>596</v>
      </c>
      <c r="O1166" s="15" t="s">
        <v>44</v>
      </c>
      <c r="P1166" s="15" t="s">
        <v>7431</v>
      </c>
      <c r="Q1166" s="15" t="s">
        <v>7432</v>
      </c>
      <c r="R1166" s="16">
        <v>44329</v>
      </c>
      <c r="S1166" s="17" t="s">
        <v>686</v>
      </c>
      <c r="T1166" s="20">
        <f>HYPERLINK("https://vnm.spiral.com.vn//uploaded/20210513/1D3427FE-FEB0-4CD5-B808-6C6E406AE48B.jpg","14:34:18")</f>
      </c>
      <c r="U1166" s="18"/>
      <c r="V1166" s="18" t="s">
        <v>35</v>
      </c>
      <c r="W1166" s="15" t="s">
        <v>7433</v>
      </c>
      <c r="X1166" s="15" t="s">
        <v>35</v>
      </c>
      <c r="Y1166" s="15" t="s">
        <v>35</v>
      </c>
      <c r="Z1166" s="19">
        <v>0</v>
      </c>
      <c r="AA1166" s="15">
        <v>0</v>
      </c>
      <c r="AB1166" s="15" t="s">
        <v>35</v>
      </c>
    </row>
    <row r="1167">
      <c r="A1167" s="15">
        <v>1163</v>
      </c>
      <c r="B1167" s="15" t="s">
        <v>49</v>
      </c>
      <c r="C1167" s="15" t="s">
        <v>162</v>
      </c>
      <c r="D1167" s="15" t="s">
        <v>35</v>
      </c>
      <c r="E1167" s="15" t="s">
        <v>35</v>
      </c>
      <c r="F1167" s="15" t="s">
        <v>3675</v>
      </c>
      <c r="G1167" s="15" t="s">
        <v>36</v>
      </c>
      <c r="H1167" s="15" t="s">
        <v>7434</v>
      </c>
      <c r="I1167" s="15" t="s">
        <v>7435</v>
      </c>
      <c r="J1167" s="15" t="s">
        <v>7436</v>
      </c>
      <c r="K1167" s="15" t="s">
        <v>40</v>
      </c>
      <c r="L1167" s="15" t="s">
        <v>41</v>
      </c>
      <c r="M1167" s="15" t="s">
        <v>55</v>
      </c>
      <c r="N1167" s="15" t="s">
        <v>56</v>
      </c>
      <c r="O1167" s="15" t="s">
        <v>44</v>
      </c>
      <c r="P1167" s="15" t="s">
        <v>7437</v>
      </c>
      <c r="Q1167" s="15" t="s">
        <v>7438</v>
      </c>
      <c r="R1167" s="16">
        <v>44329</v>
      </c>
      <c r="S1167" s="17" t="s">
        <v>2703</v>
      </c>
      <c r="T1167" s="20">
        <f>HYPERLINK("https://vnm.spiral.com.vn//uploaded/20210513/C992D45F-C482-4288-9EDD-161342F84E87.jpg","14:34:15")</f>
      </c>
      <c r="U1167" s="18"/>
      <c r="V1167" s="18" t="s">
        <v>35</v>
      </c>
      <c r="W1167" s="15" t="s">
        <v>7439</v>
      </c>
      <c r="X1167" s="15" t="s">
        <v>35</v>
      </c>
      <c r="Y1167" s="15" t="s">
        <v>35</v>
      </c>
      <c r="Z1167" s="19">
        <v>0</v>
      </c>
      <c r="AA1167" s="15">
        <v>0</v>
      </c>
      <c r="AB1167" s="15" t="s">
        <v>35</v>
      </c>
    </row>
    <row r="1168">
      <c r="A1168" s="15">
        <v>1164</v>
      </c>
      <c r="B1168" s="15" t="s">
        <v>87</v>
      </c>
      <c r="C1168" s="15" t="s">
        <v>88</v>
      </c>
      <c r="D1168" s="15" t="s">
        <v>1897</v>
      </c>
      <c r="E1168" s="15" t="s">
        <v>90</v>
      </c>
      <c r="F1168" s="15" t="s">
        <v>35</v>
      </c>
      <c r="G1168" s="15" t="s">
        <v>74</v>
      </c>
      <c r="H1168" s="15" t="s">
        <v>4747</v>
      </c>
      <c r="I1168" s="15" t="s">
        <v>4748</v>
      </c>
      <c r="J1168" s="15" t="s">
        <v>4749</v>
      </c>
      <c r="K1168" s="15" t="s">
        <v>94</v>
      </c>
      <c r="L1168" s="15" t="s">
        <v>95</v>
      </c>
      <c r="M1168" s="15" t="s">
        <v>1204</v>
      </c>
      <c r="N1168" s="15" t="s">
        <v>1205</v>
      </c>
      <c r="O1168" s="15" t="s">
        <v>98</v>
      </c>
      <c r="P1168" s="15" t="s">
        <v>3774</v>
      </c>
      <c r="Q1168" s="15" t="s">
        <v>3775</v>
      </c>
      <c r="R1168" s="16">
        <v>44329</v>
      </c>
      <c r="S1168" s="17" t="s">
        <v>35</v>
      </c>
      <c r="T1168" s="20">
        <f>HYPERLINK("https://vnm.spiral.com.vn//uploaded/20210513/62f8dff7-326b-45e0-a732-ea98587b2a05.jpg","14:34:10")</f>
      </c>
      <c r="U1168" s="18"/>
      <c r="V1168" s="18" t="s">
        <v>35</v>
      </c>
      <c r="W1168" s="15" t="s">
        <v>7440</v>
      </c>
      <c r="X1168" s="15" t="s">
        <v>35</v>
      </c>
      <c r="Y1168" s="15" t="s">
        <v>35</v>
      </c>
      <c r="Z1168" s="19">
        <v>0</v>
      </c>
      <c r="AA1168" s="15">
        <v>0</v>
      </c>
      <c r="AB1168" s="15" t="s">
        <v>35</v>
      </c>
    </row>
    <row r="1169">
      <c r="A1169" s="15">
        <v>1165</v>
      </c>
      <c r="B1169" s="15" t="s">
        <v>87</v>
      </c>
      <c r="C1169" s="15" t="s">
        <v>88</v>
      </c>
      <c r="D1169" s="15" t="s">
        <v>35</v>
      </c>
      <c r="E1169" s="15" t="s">
        <v>35</v>
      </c>
      <c r="F1169" s="15" t="s">
        <v>2773</v>
      </c>
      <c r="G1169" s="15" t="s">
        <v>36</v>
      </c>
      <c r="H1169" s="15" t="s">
        <v>7441</v>
      </c>
      <c r="I1169" s="15" t="s">
        <v>2375</v>
      </c>
      <c r="J1169" s="15" t="s">
        <v>7442</v>
      </c>
      <c r="K1169" s="15" t="s">
        <v>40</v>
      </c>
      <c r="L1169" s="15" t="s">
        <v>41</v>
      </c>
      <c r="M1169" s="15" t="s">
        <v>810</v>
      </c>
      <c r="N1169" s="15" t="s">
        <v>811</v>
      </c>
      <c r="O1169" s="15" t="s">
        <v>44</v>
      </c>
      <c r="P1169" s="15" t="s">
        <v>7443</v>
      </c>
      <c r="Q1169" s="15" t="s">
        <v>7444</v>
      </c>
      <c r="R1169" s="16">
        <v>44329</v>
      </c>
      <c r="S1169" s="17" t="s">
        <v>7445</v>
      </c>
      <c r="T1169" s="20">
        <f>HYPERLINK("https://vnm.spiral.com.vn//uploaded/20210513/11ae036f-07e7-4f12-8e21-af119ad7dff8.JPEG","05:53:42")</f>
      </c>
      <c r="U1169" s="20">
        <f>HYPERLINK("https://vnm.spiral.com.vn//uploaded/20210513/62a8c770-621b-4a8b-ac9c-3daa130f0f3f.JPEG","14:34:04")</f>
      </c>
      <c r="V1169" s="18">
        <v>0.36136574074074074</v>
      </c>
      <c r="W1169" s="15" t="s">
        <v>7446</v>
      </c>
      <c r="X1169" s="15" t="s">
        <v>7447</v>
      </c>
      <c r="Y1169" s="15" t="s">
        <v>35</v>
      </c>
      <c r="Z1169" s="19">
        <v>0</v>
      </c>
      <c r="AA1169" s="15">
        <v>0</v>
      </c>
      <c r="AB1169" s="15" t="s">
        <v>35</v>
      </c>
    </row>
    <row r="1170">
      <c r="A1170" s="15">
        <v>1166</v>
      </c>
      <c r="B1170" s="15" t="s">
        <v>343</v>
      </c>
      <c r="C1170" s="15" t="s">
        <v>344</v>
      </c>
      <c r="D1170" s="15" t="s">
        <v>35</v>
      </c>
      <c r="E1170" s="15" t="s">
        <v>35</v>
      </c>
      <c r="F1170" s="15" t="s">
        <v>35</v>
      </c>
      <c r="G1170" s="15" t="s">
        <v>36</v>
      </c>
      <c r="H1170" s="15" t="s">
        <v>7448</v>
      </c>
      <c r="I1170" s="15" t="s">
        <v>250</v>
      </c>
      <c r="J1170" s="15" t="s">
        <v>7449</v>
      </c>
      <c r="K1170" s="15" t="s">
        <v>40</v>
      </c>
      <c r="L1170" s="15" t="s">
        <v>41</v>
      </c>
      <c r="M1170" s="15" t="s">
        <v>595</v>
      </c>
      <c r="N1170" s="15" t="s">
        <v>596</v>
      </c>
      <c r="O1170" s="15" t="s">
        <v>44</v>
      </c>
      <c r="P1170" s="15" t="s">
        <v>7450</v>
      </c>
      <c r="Q1170" s="15" t="s">
        <v>7451</v>
      </c>
      <c r="R1170" s="16">
        <v>44329</v>
      </c>
      <c r="S1170" s="17" t="s">
        <v>2703</v>
      </c>
      <c r="T1170" s="20">
        <f>HYPERLINK("https://vnm.spiral.com.vn//uploaded/20210513/9a0b8847-2c71-4581-a285-587b608f7f15.JPEG","14:34:02")</f>
      </c>
      <c r="U1170" s="18"/>
      <c r="V1170" s="18" t="s">
        <v>35</v>
      </c>
      <c r="W1170" s="15" t="s">
        <v>7452</v>
      </c>
      <c r="X1170" s="15" t="s">
        <v>35</v>
      </c>
      <c r="Y1170" s="15" t="s">
        <v>35</v>
      </c>
      <c r="Z1170" s="19">
        <v>0</v>
      </c>
      <c r="AA1170" s="15">
        <v>0</v>
      </c>
      <c r="AB1170" s="15" t="s">
        <v>35</v>
      </c>
    </row>
    <row r="1171">
      <c r="A1171" s="15">
        <v>1167</v>
      </c>
      <c r="B1171" s="15" t="s">
        <v>87</v>
      </c>
      <c r="C1171" s="15" t="s">
        <v>88</v>
      </c>
      <c r="D1171" s="15" t="s">
        <v>357</v>
      </c>
      <c r="E1171" s="15" t="s">
        <v>90</v>
      </c>
      <c r="F1171" s="15" t="s">
        <v>35</v>
      </c>
      <c r="G1171" s="15" t="s">
        <v>74</v>
      </c>
      <c r="H1171" s="15" t="s">
        <v>7453</v>
      </c>
      <c r="I1171" s="15" t="s">
        <v>7454</v>
      </c>
      <c r="J1171" s="15" t="s">
        <v>7455</v>
      </c>
      <c r="K1171" s="15" t="s">
        <v>94</v>
      </c>
      <c r="L1171" s="15" t="s">
        <v>95</v>
      </c>
      <c r="M1171" s="15" t="s">
        <v>1570</v>
      </c>
      <c r="N1171" s="15" t="s">
        <v>1571</v>
      </c>
      <c r="O1171" s="15" t="s">
        <v>98</v>
      </c>
      <c r="P1171" s="15" t="s">
        <v>1572</v>
      </c>
      <c r="Q1171" s="15" t="s">
        <v>1573</v>
      </c>
      <c r="R1171" s="16">
        <v>44329</v>
      </c>
      <c r="S1171" s="17" t="s">
        <v>70</v>
      </c>
      <c r="T1171" s="20">
        <f>HYPERLINK("https://vnm.spiral.com.vn//uploaded/20210513/4a6ccd24-ea3d-4357-9f87-59ababfdb859.JPEG","14:10:59")</f>
      </c>
      <c r="U1171" s="20">
        <f>HYPERLINK("https://vnm.spiral.com.vn//uploaded/20210513/5f50dded-762b-4462-889c-b6b95d94d503.JPEG","14:34:01")</f>
      </c>
      <c r="V1171" s="18">
        <v>0.01599537037037037</v>
      </c>
      <c r="W1171" s="15" t="s">
        <v>7456</v>
      </c>
      <c r="X1171" s="15" t="s">
        <v>7457</v>
      </c>
      <c r="Y1171" s="15" t="s">
        <v>35</v>
      </c>
      <c r="Z1171" s="19">
        <v>0</v>
      </c>
      <c r="AA1171" s="15">
        <v>0</v>
      </c>
      <c r="AB1171" s="15" t="s">
        <v>35</v>
      </c>
    </row>
    <row r="1172">
      <c r="A1172" s="15">
        <v>1168</v>
      </c>
      <c r="B1172" s="15" t="s">
        <v>49</v>
      </c>
      <c r="C1172" s="15" t="s">
        <v>1389</v>
      </c>
      <c r="D1172" s="15" t="s">
        <v>35</v>
      </c>
      <c r="E1172" s="15" t="s">
        <v>35</v>
      </c>
      <c r="F1172" s="15" t="s">
        <v>4452</v>
      </c>
      <c r="G1172" s="15" t="s">
        <v>36</v>
      </c>
      <c r="H1172" s="15" t="s">
        <v>7458</v>
      </c>
      <c r="I1172" s="15" t="s">
        <v>7459</v>
      </c>
      <c r="J1172" s="15" t="s">
        <v>4455</v>
      </c>
      <c r="K1172" s="15" t="s">
        <v>40</v>
      </c>
      <c r="L1172" s="15" t="s">
        <v>41</v>
      </c>
      <c r="M1172" s="15" t="s">
        <v>55</v>
      </c>
      <c r="N1172" s="15" t="s">
        <v>56</v>
      </c>
      <c r="O1172" s="15" t="s">
        <v>44</v>
      </c>
      <c r="P1172" s="15" t="s">
        <v>7460</v>
      </c>
      <c r="Q1172" s="15" t="s">
        <v>7461</v>
      </c>
      <c r="R1172" s="16">
        <v>44329</v>
      </c>
      <c r="S1172" s="17" t="s">
        <v>7462</v>
      </c>
      <c r="T1172" s="20">
        <f>HYPERLINK("https://vnm.spiral.com.vn//uploaded/20210513/f475de99-c168-4683-b9b7-a6b9aad45f0b.JPEG","14:33:57")</f>
      </c>
      <c r="U1172" s="18"/>
      <c r="V1172" s="18" t="s">
        <v>35</v>
      </c>
      <c r="W1172" s="15" t="s">
        <v>7463</v>
      </c>
      <c r="X1172" s="15" t="s">
        <v>35</v>
      </c>
      <c r="Y1172" s="15" t="s">
        <v>35</v>
      </c>
      <c r="Z1172" s="19">
        <v>0</v>
      </c>
      <c r="AA1172" s="15">
        <v>0</v>
      </c>
      <c r="AB1172" s="15" t="s">
        <v>35</v>
      </c>
    </row>
    <row r="1173">
      <c r="A1173" s="15">
        <v>1169</v>
      </c>
      <c r="B1173" s="15" t="s">
        <v>33</v>
      </c>
      <c r="C1173" s="15" t="s">
        <v>2999</v>
      </c>
      <c r="D1173" s="15" t="s">
        <v>35</v>
      </c>
      <c r="E1173" s="15" t="s">
        <v>35</v>
      </c>
      <c r="F1173" s="15" t="s">
        <v>35</v>
      </c>
      <c r="G1173" s="15" t="s">
        <v>36</v>
      </c>
      <c r="H1173" s="15" t="s">
        <v>7464</v>
      </c>
      <c r="I1173" s="15" t="s">
        <v>7465</v>
      </c>
      <c r="J1173" s="15" t="s">
        <v>7466</v>
      </c>
      <c r="K1173" s="15" t="s">
        <v>40</v>
      </c>
      <c r="L1173" s="15" t="s">
        <v>41</v>
      </c>
      <c r="M1173" s="15" t="s">
        <v>42</v>
      </c>
      <c r="N1173" s="15" t="s">
        <v>43</v>
      </c>
      <c r="O1173" s="15" t="s">
        <v>44</v>
      </c>
      <c r="P1173" s="15" t="s">
        <v>7467</v>
      </c>
      <c r="Q1173" s="15" t="s">
        <v>7468</v>
      </c>
      <c r="R1173" s="16">
        <v>44329</v>
      </c>
      <c r="S1173" s="17" t="s">
        <v>2703</v>
      </c>
      <c r="T1173" s="20">
        <f>HYPERLINK("https://vnm.spiral.com.vn//uploaded/20210513/93582e9e-466f-4721-aefa-315e115580b5.JPEG","14:33:51")</f>
      </c>
      <c r="U1173" s="18"/>
      <c r="V1173" s="18" t="s">
        <v>35</v>
      </c>
      <c r="W1173" s="15" t="s">
        <v>7469</v>
      </c>
      <c r="X1173" s="15" t="s">
        <v>35</v>
      </c>
      <c r="Y1173" s="15" t="s">
        <v>35</v>
      </c>
      <c r="Z1173" s="19">
        <v>0</v>
      </c>
      <c r="AA1173" s="15">
        <v>0</v>
      </c>
      <c r="AB1173" s="15" t="s">
        <v>35</v>
      </c>
    </row>
    <row r="1174">
      <c r="A1174" s="15">
        <v>1170</v>
      </c>
      <c r="B1174" s="15" t="s">
        <v>49</v>
      </c>
      <c r="C1174" s="15" t="s">
        <v>369</v>
      </c>
      <c r="D1174" s="15" t="s">
        <v>35</v>
      </c>
      <c r="E1174" s="15" t="s">
        <v>35</v>
      </c>
      <c r="F1174" s="15" t="s">
        <v>370</v>
      </c>
      <c r="G1174" s="15" t="s">
        <v>36</v>
      </c>
      <c r="H1174" s="15" t="s">
        <v>7470</v>
      </c>
      <c r="I1174" s="15" t="s">
        <v>7471</v>
      </c>
      <c r="J1174" s="15" t="s">
        <v>7472</v>
      </c>
      <c r="K1174" s="15" t="s">
        <v>40</v>
      </c>
      <c r="L1174" s="15" t="s">
        <v>41</v>
      </c>
      <c r="M1174" s="15" t="s">
        <v>55</v>
      </c>
      <c r="N1174" s="15" t="s">
        <v>56</v>
      </c>
      <c r="O1174" s="15" t="s">
        <v>44</v>
      </c>
      <c r="P1174" s="15" t="s">
        <v>7473</v>
      </c>
      <c r="Q1174" s="15" t="s">
        <v>7474</v>
      </c>
      <c r="R1174" s="16">
        <v>44329</v>
      </c>
      <c r="S1174" s="17" t="s">
        <v>2703</v>
      </c>
      <c r="T1174" s="20">
        <f>HYPERLINK("https://vnm.spiral.com.vn//uploaded/20210513/f7c8f089-5185-45c6-b46c-89b02a2b6364.JPEG","14:33:45")</f>
      </c>
      <c r="U1174" s="18"/>
      <c r="V1174" s="18" t="s">
        <v>35</v>
      </c>
      <c r="W1174" s="15" t="s">
        <v>7475</v>
      </c>
      <c r="X1174" s="15" t="s">
        <v>35</v>
      </c>
      <c r="Y1174" s="15" t="s">
        <v>35</v>
      </c>
      <c r="Z1174" s="19">
        <v>0</v>
      </c>
      <c r="AA1174" s="15">
        <v>0</v>
      </c>
      <c r="AB1174" s="15" t="s">
        <v>35</v>
      </c>
    </row>
    <row r="1175">
      <c r="A1175" s="15">
        <v>1171</v>
      </c>
      <c r="B1175" s="15" t="s">
        <v>343</v>
      </c>
      <c r="C1175" s="15" t="s">
        <v>7476</v>
      </c>
      <c r="D1175" s="15" t="s">
        <v>35</v>
      </c>
      <c r="E1175" s="15" t="s">
        <v>35</v>
      </c>
      <c r="F1175" s="15" t="s">
        <v>35</v>
      </c>
      <c r="G1175" s="15" t="s">
        <v>36</v>
      </c>
      <c r="H1175" s="15" t="s">
        <v>7477</v>
      </c>
      <c r="I1175" s="15" t="s">
        <v>7478</v>
      </c>
      <c r="J1175" s="15" t="s">
        <v>7479</v>
      </c>
      <c r="K1175" s="15" t="s">
        <v>40</v>
      </c>
      <c r="L1175" s="15" t="s">
        <v>41</v>
      </c>
      <c r="M1175" s="15" t="s">
        <v>409</v>
      </c>
      <c r="N1175" s="15" t="s">
        <v>410</v>
      </c>
      <c r="O1175" s="15" t="s">
        <v>44</v>
      </c>
      <c r="P1175" s="15" t="s">
        <v>7480</v>
      </c>
      <c r="Q1175" s="15" t="s">
        <v>7481</v>
      </c>
      <c r="R1175" s="16">
        <v>44329</v>
      </c>
      <c r="S1175" s="17" t="s">
        <v>2703</v>
      </c>
      <c r="T1175" s="20">
        <f>HYPERLINK("https://vnm.spiral.com.vn//uploaded/20210513/aa1b3eb2-9425-4380-93c2-23b55adce39e.JPEG","14:33:25")</f>
      </c>
      <c r="U1175" s="18"/>
      <c r="V1175" s="18" t="s">
        <v>35</v>
      </c>
      <c r="W1175" s="15" t="s">
        <v>7482</v>
      </c>
      <c r="X1175" s="15" t="s">
        <v>35</v>
      </c>
      <c r="Y1175" s="15" t="s">
        <v>35</v>
      </c>
      <c r="Z1175" s="19">
        <v>0</v>
      </c>
      <c r="AA1175" s="15">
        <v>0</v>
      </c>
      <c r="AB1175" s="15" t="s">
        <v>35</v>
      </c>
    </row>
    <row r="1176">
      <c r="A1176" s="15">
        <v>1172</v>
      </c>
      <c r="B1176" s="15" t="s">
        <v>343</v>
      </c>
      <c r="C1176" s="15" t="s">
        <v>721</v>
      </c>
      <c r="D1176" s="15" t="s">
        <v>35</v>
      </c>
      <c r="E1176" s="15" t="s">
        <v>35</v>
      </c>
      <c r="F1176" s="15" t="s">
        <v>7483</v>
      </c>
      <c r="G1176" s="15" t="s">
        <v>36</v>
      </c>
      <c r="H1176" s="15" t="s">
        <v>7484</v>
      </c>
      <c r="I1176" s="15" t="s">
        <v>7485</v>
      </c>
      <c r="J1176" s="15" t="s">
        <v>7486</v>
      </c>
      <c r="K1176" s="15" t="s">
        <v>40</v>
      </c>
      <c r="L1176" s="15" t="s">
        <v>41</v>
      </c>
      <c r="M1176" s="15" t="s">
        <v>595</v>
      </c>
      <c r="N1176" s="15" t="s">
        <v>596</v>
      </c>
      <c r="O1176" s="15" t="s">
        <v>44</v>
      </c>
      <c r="P1176" s="15" t="s">
        <v>7487</v>
      </c>
      <c r="Q1176" s="15" t="s">
        <v>7488</v>
      </c>
      <c r="R1176" s="16">
        <v>44329</v>
      </c>
      <c r="S1176" s="17" t="s">
        <v>2703</v>
      </c>
      <c r="T1176" s="20">
        <f>HYPERLINK("https://vnm.spiral.com.vn//uploaded/20210513/0CDFEF65-1789-406B-A56D-C14915DEFE28.jpg","14:33:17")</f>
      </c>
      <c r="U1176" s="18"/>
      <c r="V1176" s="18" t="s">
        <v>35</v>
      </c>
      <c r="W1176" s="15" t="s">
        <v>7489</v>
      </c>
      <c r="X1176" s="15" t="s">
        <v>35</v>
      </c>
      <c r="Y1176" s="15" t="s">
        <v>35</v>
      </c>
      <c r="Z1176" s="19">
        <v>0</v>
      </c>
      <c r="AA1176" s="15">
        <v>0</v>
      </c>
      <c r="AB1176" s="15" t="s">
        <v>35</v>
      </c>
    </row>
    <row r="1177">
      <c r="A1177" s="15">
        <v>1173</v>
      </c>
      <c r="B1177" s="15" t="s">
        <v>343</v>
      </c>
      <c r="C1177" s="15" t="s">
        <v>344</v>
      </c>
      <c r="D1177" s="15" t="s">
        <v>35</v>
      </c>
      <c r="E1177" s="15" t="s">
        <v>35</v>
      </c>
      <c r="F1177" s="15" t="s">
        <v>35</v>
      </c>
      <c r="G1177" s="15" t="s">
        <v>36</v>
      </c>
      <c r="H1177" s="15" t="s">
        <v>7490</v>
      </c>
      <c r="I1177" s="15" t="s">
        <v>7491</v>
      </c>
      <c r="J1177" s="15" t="s">
        <v>7492</v>
      </c>
      <c r="K1177" s="15" t="s">
        <v>40</v>
      </c>
      <c r="L1177" s="15" t="s">
        <v>41</v>
      </c>
      <c r="M1177" s="15" t="s">
        <v>595</v>
      </c>
      <c r="N1177" s="15" t="s">
        <v>596</v>
      </c>
      <c r="O1177" s="15" t="s">
        <v>44</v>
      </c>
      <c r="P1177" s="15" t="s">
        <v>7493</v>
      </c>
      <c r="Q1177" s="15" t="s">
        <v>7494</v>
      </c>
      <c r="R1177" s="16">
        <v>44329</v>
      </c>
      <c r="S1177" s="17" t="s">
        <v>686</v>
      </c>
      <c r="T1177" s="20">
        <f>HYPERLINK("https://vnm.spiral.com.vn//uploaded/20210513/FF6B404F-7F4F-4517-860F-F8C1E031D6A9.jpg","14:33:15")</f>
      </c>
      <c r="U1177" s="18"/>
      <c r="V1177" s="18" t="s">
        <v>35</v>
      </c>
      <c r="W1177" s="15" t="s">
        <v>7495</v>
      </c>
      <c r="X1177" s="15" t="s">
        <v>35</v>
      </c>
      <c r="Y1177" s="15" t="s">
        <v>35</v>
      </c>
      <c r="Z1177" s="19">
        <v>0</v>
      </c>
      <c r="AA1177" s="15">
        <v>0</v>
      </c>
      <c r="AB1177" s="15" t="s">
        <v>35</v>
      </c>
    </row>
    <row r="1178">
      <c r="A1178" s="15">
        <v>1174</v>
      </c>
      <c r="B1178" s="15" t="s">
        <v>343</v>
      </c>
      <c r="C1178" s="15" t="s">
        <v>344</v>
      </c>
      <c r="D1178" s="15" t="s">
        <v>432</v>
      </c>
      <c r="E1178" s="15" t="s">
        <v>116</v>
      </c>
      <c r="F1178" s="15" t="s">
        <v>35</v>
      </c>
      <c r="G1178" s="15" t="s">
        <v>74</v>
      </c>
      <c r="H1178" s="15" t="s">
        <v>7496</v>
      </c>
      <c r="I1178" s="15" t="s">
        <v>7497</v>
      </c>
      <c r="J1178" s="15" t="s">
        <v>7498</v>
      </c>
      <c r="K1178" s="15" t="s">
        <v>1168</v>
      </c>
      <c r="L1178" s="15" t="s">
        <v>1169</v>
      </c>
      <c r="M1178" s="15" t="s">
        <v>1170</v>
      </c>
      <c r="N1178" s="15" t="s">
        <v>1171</v>
      </c>
      <c r="O1178" s="15" t="s">
        <v>82</v>
      </c>
      <c r="P1178" s="15" t="s">
        <v>1258</v>
      </c>
      <c r="Q1178" s="15" t="s">
        <v>1259</v>
      </c>
      <c r="R1178" s="16">
        <v>44329</v>
      </c>
      <c r="S1178" s="17" t="s">
        <v>70</v>
      </c>
      <c r="T1178" s="20">
        <f>HYPERLINK("https://vnm.spiral.com.vn//uploaded/20210513/6fc6277b-6f2c-4f41-93f4-9bb69c3168ee.JPEG","10:46:44")</f>
      </c>
      <c r="U1178" s="20">
        <f>HYPERLINK("https://vnm.spiral.com.vn//uploaded/20210513/f5ed7587-b43d-4b72-b7c0-036d01e65862.JPEG","14:33:00")</f>
      </c>
      <c r="V1178" s="18">
        <v>0.15712962962962962</v>
      </c>
      <c r="W1178" s="15" t="s">
        <v>7499</v>
      </c>
      <c r="X1178" s="15" t="s">
        <v>7500</v>
      </c>
      <c r="Y1178" s="15" t="s">
        <v>35</v>
      </c>
      <c r="Z1178" s="19">
        <v>0</v>
      </c>
      <c r="AA1178" s="15">
        <v>0</v>
      </c>
      <c r="AB1178" s="15" t="s">
        <v>35</v>
      </c>
    </row>
    <row r="1179">
      <c r="A1179" s="15">
        <v>1175</v>
      </c>
      <c r="B1179" s="15" t="s">
        <v>87</v>
      </c>
      <c r="C1179" s="15" t="s">
        <v>88</v>
      </c>
      <c r="D1179" s="15" t="s">
        <v>135</v>
      </c>
      <c r="E1179" s="15" t="s">
        <v>116</v>
      </c>
      <c r="F1179" s="15" t="s">
        <v>35</v>
      </c>
      <c r="G1179" s="15" t="s">
        <v>74</v>
      </c>
      <c r="H1179" s="15" t="s">
        <v>7501</v>
      </c>
      <c r="I1179" s="15" t="s">
        <v>7502</v>
      </c>
      <c r="J1179" s="15" t="s">
        <v>7503</v>
      </c>
      <c r="K1179" s="15" t="s">
        <v>139</v>
      </c>
      <c r="L1179" s="15" t="s">
        <v>140</v>
      </c>
      <c r="M1179" s="15" t="s">
        <v>141</v>
      </c>
      <c r="N1179" s="15" t="s">
        <v>142</v>
      </c>
      <c r="O1179" s="15" t="s">
        <v>82</v>
      </c>
      <c r="P1179" s="15" t="s">
        <v>2298</v>
      </c>
      <c r="Q1179" s="15" t="s">
        <v>2299</v>
      </c>
      <c r="R1179" s="16">
        <v>44329</v>
      </c>
      <c r="S1179" s="17" t="s">
        <v>70</v>
      </c>
      <c r="T1179" s="20">
        <f>HYPERLINK("https://vnm.spiral.com.vn//uploaded/20210513/01d02fcf-b1a9-4c9e-88d4-76705ee88763.JPEG","12:32:11")</f>
      </c>
      <c r="U1179" s="20">
        <f>HYPERLINK("https://vnm.spiral.com.vn//uploaded/20210513/c4f6a154-0793-4d45-b18c-5875e617be8e.JPEG","14:32:56")</f>
      </c>
      <c r="V1179" s="18">
        <v>0.08385416666666666</v>
      </c>
      <c r="W1179" s="15" t="s">
        <v>7504</v>
      </c>
      <c r="X1179" s="15" t="s">
        <v>7505</v>
      </c>
      <c r="Y1179" s="15" t="s">
        <v>35</v>
      </c>
      <c r="Z1179" s="19">
        <v>0</v>
      </c>
      <c r="AA1179" s="15">
        <v>0</v>
      </c>
      <c r="AB1179" s="15" t="s">
        <v>35</v>
      </c>
    </row>
    <row r="1180">
      <c r="A1180" s="15">
        <v>1176</v>
      </c>
      <c r="B1180" s="15" t="s">
        <v>49</v>
      </c>
      <c r="C1180" s="15" t="s">
        <v>369</v>
      </c>
      <c r="D1180" s="15" t="s">
        <v>148</v>
      </c>
      <c r="E1180" s="15" t="s">
        <v>90</v>
      </c>
      <c r="F1180" s="15" t="s">
        <v>35</v>
      </c>
      <c r="G1180" s="15" t="s">
        <v>74</v>
      </c>
      <c r="H1180" s="15" t="s">
        <v>7506</v>
      </c>
      <c r="I1180" s="15" t="s">
        <v>7507</v>
      </c>
      <c r="J1180" s="15" t="s">
        <v>7508</v>
      </c>
      <c r="K1180" s="15" t="s">
        <v>166</v>
      </c>
      <c r="L1180" s="15" t="s">
        <v>167</v>
      </c>
      <c r="M1180" s="15" t="s">
        <v>168</v>
      </c>
      <c r="N1180" s="15" t="s">
        <v>169</v>
      </c>
      <c r="O1180" s="15" t="s">
        <v>98</v>
      </c>
      <c r="P1180" s="15" t="s">
        <v>383</v>
      </c>
      <c r="Q1180" s="15" t="s">
        <v>384</v>
      </c>
      <c r="R1180" s="16">
        <v>44329</v>
      </c>
      <c r="S1180" s="17" t="s">
        <v>35</v>
      </c>
      <c r="T1180" s="20">
        <f>HYPERLINK("https://vnm.spiral.com.vn//uploaded/20210513/63E13C8D-BD0C-47F3-8F4C-03A1F5B7C861.jpg","07:46:53")</f>
      </c>
      <c r="U1180" s="20">
        <f>HYPERLINK("https://vnm.spiral.com.vn//uploaded/20210513/255457C2-A8AE-483F-9346-E7A3E35F7A1C.jpg","14:32:51")</f>
      </c>
      <c r="V1180" s="18">
        <v>0.2819212962962963</v>
      </c>
      <c r="W1180" s="15" t="s">
        <v>7509</v>
      </c>
      <c r="X1180" s="15" t="s">
        <v>7510</v>
      </c>
      <c r="Y1180" s="15" t="s">
        <v>35</v>
      </c>
      <c r="Z1180" s="19">
        <v>0</v>
      </c>
      <c r="AA1180" s="15">
        <v>0</v>
      </c>
      <c r="AB1180" s="15" t="s">
        <v>35</v>
      </c>
    </row>
    <row r="1181">
      <c r="A1181" s="15">
        <v>1177</v>
      </c>
      <c r="B1181" s="15" t="s">
        <v>49</v>
      </c>
      <c r="C1181" s="15" t="s">
        <v>162</v>
      </c>
      <c r="D1181" s="15" t="s">
        <v>35</v>
      </c>
      <c r="E1181" s="15" t="s">
        <v>35</v>
      </c>
      <c r="F1181" s="15" t="s">
        <v>1221</v>
      </c>
      <c r="G1181" s="15" t="s">
        <v>36</v>
      </c>
      <c r="H1181" s="15" t="s">
        <v>7511</v>
      </c>
      <c r="I1181" s="15" t="s">
        <v>7512</v>
      </c>
      <c r="J1181" s="15" t="s">
        <v>7513</v>
      </c>
      <c r="K1181" s="15" t="s">
        <v>40</v>
      </c>
      <c r="L1181" s="15" t="s">
        <v>41</v>
      </c>
      <c r="M1181" s="15" t="s">
        <v>55</v>
      </c>
      <c r="N1181" s="15" t="s">
        <v>56</v>
      </c>
      <c r="O1181" s="15" t="s">
        <v>44</v>
      </c>
      <c r="P1181" s="15" t="s">
        <v>7514</v>
      </c>
      <c r="Q1181" s="15" t="s">
        <v>7515</v>
      </c>
      <c r="R1181" s="16">
        <v>44329</v>
      </c>
      <c r="S1181" s="17" t="s">
        <v>686</v>
      </c>
      <c r="T1181" s="20">
        <f>HYPERLINK("https://vnm.spiral.com.vn//uploaded/20210513/15e4e666-0dee-481b-bae5-5d30341be663.JPEG","14:32:30")</f>
      </c>
      <c r="U1181" s="18"/>
      <c r="V1181" s="18" t="s">
        <v>35</v>
      </c>
      <c r="W1181" s="15" t="s">
        <v>7516</v>
      </c>
      <c r="X1181" s="15" t="s">
        <v>35</v>
      </c>
      <c r="Y1181" s="15" t="s">
        <v>35</v>
      </c>
      <c r="Z1181" s="19">
        <v>0</v>
      </c>
      <c r="AA1181" s="15">
        <v>0</v>
      </c>
      <c r="AB1181" s="15" t="s">
        <v>35</v>
      </c>
    </row>
    <row r="1182">
      <c r="A1182" s="15">
        <v>1178</v>
      </c>
      <c r="B1182" s="15" t="s">
        <v>246</v>
      </c>
      <c r="C1182" s="15" t="s">
        <v>2845</v>
      </c>
      <c r="D1182" s="15" t="s">
        <v>35</v>
      </c>
      <c r="E1182" s="15" t="s">
        <v>35</v>
      </c>
      <c r="F1182" s="15" t="s">
        <v>4265</v>
      </c>
      <c r="G1182" s="15" t="s">
        <v>36</v>
      </c>
      <c r="H1182" s="15" t="s">
        <v>7517</v>
      </c>
      <c r="I1182" s="15" t="s">
        <v>7518</v>
      </c>
      <c r="J1182" s="15" t="s">
        <v>7519</v>
      </c>
      <c r="K1182" s="15" t="s">
        <v>40</v>
      </c>
      <c r="L1182" s="15" t="s">
        <v>41</v>
      </c>
      <c r="M1182" s="15" t="s">
        <v>252</v>
      </c>
      <c r="N1182" s="15" t="s">
        <v>253</v>
      </c>
      <c r="O1182" s="15" t="s">
        <v>44</v>
      </c>
      <c r="P1182" s="15" t="s">
        <v>7520</v>
      </c>
      <c r="Q1182" s="15" t="s">
        <v>7521</v>
      </c>
      <c r="R1182" s="16">
        <v>44329</v>
      </c>
      <c r="S1182" s="17" t="s">
        <v>2703</v>
      </c>
      <c r="T1182" s="20">
        <f>HYPERLINK("https://vnm.spiral.com.vn//uploaded/20210513/e0d7dc60-5e57-4900-9ef1-a14eae6a5970.JPEG","14:32:21")</f>
      </c>
      <c r="U1182" s="18"/>
      <c r="V1182" s="18" t="s">
        <v>35</v>
      </c>
      <c r="W1182" s="15" t="s">
        <v>7522</v>
      </c>
      <c r="X1182" s="15" t="s">
        <v>35</v>
      </c>
      <c r="Y1182" s="15" t="s">
        <v>35</v>
      </c>
      <c r="Z1182" s="19">
        <v>0</v>
      </c>
      <c r="AA1182" s="15">
        <v>0</v>
      </c>
      <c r="AB1182" s="15" t="s">
        <v>35</v>
      </c>
    </row>
    <row r="1183">
      <c r="A1183" s="15">
        <v>1179</v>
      </c>
      <c r="B1183" s="15" t="s">
        <v>87</v>
      </c>
      <c r="C1183" s="15" t="s">
        <v>88</v>
      </c>
      <c r="D1183" s="15" t="s">
        <v>610</v>
      </c>
      <c r="E1183" s="15" t="s">
        <v>90</v>
      </c>
      <c r="F1183" s="15" t="s">
        <v>35</v>
      </c>
      <c r="G1183" s="15" t="s">
        <v>74</v>
      </c>
      <c r="H1183" s="15" t="s">
        <v>7523</v>
      </c>
      <c r="I1183" s="15" t="s">
        <v>7524</v>
      </c>
      <c r="J1183" s="15" t="s">
        <v>7525</v>
      </c>
      <c r="K1183" s="15" t="s">
        <v>614</v>
      </c>
      <c r="L1183" s="15" t="s">
        <v>615</v>
      </c>
      <c r="M1183" s="15" t="s">
        <v>616</v>
      </c>
      <c r="N1183" s="15" t="s">
        <v>617</v>
      </c>
      <c r="O1183" s="15" t="s">
        <v>82</v>
      </c>
      <c r="P1183" s="15" t="s">
        <v>618</v>
      </c>
      <c r="Q1183" s="15" t="s">
        <v>619</v>
      </c>
      <c r="R1183" s="16">
        <v>44329</v>
      </c>
      <c r="S1183" s="17" t="s">
        <v>70</v>
      </c>
      <c r="T1183" s="20">
        <f>HYPERLINK("https://vnm.spiral.com.vn//uploaded/20210513/A837CD33-6ACA-43B7-B464-2BA18035B19B.jpg","13:11:14")</f>
      </c>
      <c r="U1183" s="20">
        <f>HYPERLINK("https://vnm.spiral.com.vn//uploaded/20210513/BEBAADC7-3C99-4363-8682-14040BF04205.jpg","14:32:14")</f>
      </c>
      <c r="V1183" s="18">
        <v>0.05625</v>
      </c>
      <c r="W1183" s="15" t="s">
        <v>7526</v>
      </c>
      <c r="X1183" s="15" t="s">
        <v>7527</v>
      </c>
      <c r="Y1183" s="15" t="s">
        <v>35</v>
      </c>
      <c r="Z1183" s="19">
        <v>0</v>
      </c>
      <c r="AA1183" s="15">
        <v>0</v>
      </c>
      <c r="AB1183" s="15" t="s">
        <v>35</v>
      </c>
    </row>
    <row r="1184">
      <c r="A1184" s="15">
        <v>1180</v>
      </c>
      <c r="B1184" s="15" t="s">
        <v>343</v>
      </c>
      <c r="C1184" s="15" t="s">
        <v>7476</v>
      </c>
      <c r="D1184" s="15" t="s">
        <v>35</v>
      </c>
      <c r="E1184" s="15" t="s">
        <v>35</v>
      </c>
      <c r="F1184" s="15" t="s">
        <v>35</v>
      </c>
      <c r="G1184" s="15" t="s">
        <v>36</v>
      </c>
      <c r="H1184" s="15" t="s">
        <v>7528</v>
      </c>
      <c r="I1184" s="15" t="s">
        <v>7529</v>
      </c>
      <c r="J1184" s="15" t="s">
        <v>7530</v>
      </c>
      <c r="K1184" s="15" t="s">
        <v>40</v>
      </c>
      <c r="L1184" s="15" t="s">
        <v>41</v>
      </c>
      <c r="M1184" s="15" t="s">
        <v>409</v>
      </c>
      <c r="N1184" s="15" t="s">
        <v>410</v>
      </c>
      <c r="O1184" s="15" t="s">
        <v>44</v>
      </c>
      <c r="P1184" s="15" t="s">
        <v>7531</v>
      </c>
      <c r="Q1184" s="15" t="s">
        <v>7532</v>
      </c>
      <c r="R1184" s="16">
        <v>44329</v>
      </c>
      <c r="S1184" s="17" t="s">
        <v>2703</v>
      </c>
      <c r="T1184" s="20">
        <f>HYPERLINK("https://vnm.spiral.com.vn//uploaded/20210513/437fbf7c-a132-4533-a3e8-262eb2606458.JPEG","14:32:14")</f>
      </c>
      <c r="U1184" s="18"/>
      <c r="V1184" s="18" t="s">
        <v>35</v>
      </c>
      <c r="W1184" s="15" t="s">
        <v>7533</v>
      </c>
      <c r="X1184" s="15" t="s">
        <v>35</v>
      </c>
      <c r="Y1184" s="15" t="s">
        <v>35</v>
      </c>
      <c r="Z1184" s="19">
        <v>0</v>
      </c>
      <c r="AA1184" s="15">
        <v>0</v>
      </c>
      <c r="AB1184" s="15" t="s">
        <v>35</v>
      </c>
    </row>
    <row r="1185">
      <c r="A1185" s="15">
        <v>1181</v>
      </c>
      <c r="B1185" s="15" t="s">
        <v>103</v>
      </c>
      <c r="C1185" s="15" t="s">
        <v>1078</v>
      </c>
      <c r="D1185" s="15" t="s">
        <v>135</v>
      </c>
      <c r="E1185" s="15" t="s">
        <v>116</v>
      </c>
      <c r="F1185" s="15" t="s">
        <v>35</v>
      </c>
      <c r="G1185" s="15" t="s">
        <v>74</v>
      </c>
      <c r="H1185" s="15" t="s">
        <v>7534</v>
      </c>
      <c r="I1185" s="15" t="s">
        <v>7535</v>
      </c>
      <c r="J1185" s="15" t="s">
        <v>7536</v>
      </c>
      <c r="K1185" s="15" t="s">
        <v>436</v>
      </c>
      <c r="L1185" s="15" t="s">
        <v>437</v>
      </c>
      <c r="M1185" s="15" t="s">
        <v>1429</v>
      </c>
      <c r="N1185" s="15" t="s">
        <v>1430</v>
      </c>
      <c r="O1185" s="15" t="s">
        <v>82</v>
      </c>
      <c r="P1185" s="15" t="s">
        <v>1825</v>
      </c>
      <c r="Q1185" s="15" t="s">
        <v>144</v>
      </c>
      <c r="R1185" s="16">
        <v>44329</v>
      </c>
      <c r="S1185" s="17" t="s">
        <v>70</v>
      </c>
      <c r="T1185" s="20">
        <f>HYPERLINK("https://vnm.spiral.com.vn//uploaded/20210513/0a1db6c0-15a5-4eb5-a1df-6a20c227b589.JPEG","12:15:43")</f>
      </c>
      <c r="U1185" s="20">
        <f>HYPERLINK("https://vnm.spiral.com.vn//uploaded/20210513/64ffcfc6-6924-446e-ac22-19c3fbfbf84d.JPEG","14:32:08")</f>
      </c>
      <c r="V1185" s="18">
        <v>0.0947337962962963</v>
      </c>
      <c r="W1185" s="15" t="s">
        <v>7537</v>
      </c>
      <c r="X1185" s="15" t="s">
        <v>7538</v>
      </c>
      <c r="Y1185" s="15" t="s">
        <v>35</v>
      </c>
      <c r="Z1185" s="19">
        <v>0</v>
      </c>
      <c r="AA1185" s="15">
        <v>0</v>
      </c>
      <c r="AB1185" s="15" t="s">
        <v>35</v>
      </c>
    </row>
    <row r="1186">
      <c r="A1186" s="15">
        <v>1182</v>
      </c>
      <c r="B1186" s="15" t="s">
        <v>246</v>
      </c>
      <c r="C1186" s="15" t="s">
        <v>782</v>
      </c>
      <c r="D1186" s="15" t="s">
        <v>35</v>
      </c>
      <c r="E1186" s="15" t="s">
        <v>35</v>
      </c>
      <c r="F1186" s="15" t="s">
        <v>6328</v>
      </c>
      <c r="G1186" s="15" t="s">
        <v>36</v>
      </c>
      <c r="H1186" s="15" t="s">
        <v>7539</v>
      </c>
      <c r="I1186" s="15" t="s">
        <v>7540</v>
      </c>
      <c r="J1186" s="15" t="s">
        <v>7541</v>
      </c>
      <c r="K1186" s="15" t="s">
        <v>40</v>
      </c>
      <c r="L1186" s="15" t="s">
        <v>41</v>
      </c>
      <c r="M1186" s="15" t="s">
        <v>252</v>
      </c>
      <c r="N1186" s="15" t="s">
        <v>253</v>
      </c>
      <c r="O1186" s="15" t="s">
        <v>44</v>
      </c>
      <c r="P1186" s="15" t="s">
        <v>7542</v>
      </c>
      <c r="Q1186" s="15" t="s">
        <v>1641</v>
      </c>
      <c r="R1186" s="16">
        <v>44329</v>
      </c>
      <c r="S1186" s="17" t="s">
        <v>2703</v>
      </c>
      <c r="T1186" s="20">
        <f>HYPERLINK("https://vnm.spiral.com.vn//uploaded/20210513/91c0793e-4509-4bac-a956-487a4a7cfb59.JPEG","14:32:03")</f>
      </c>
      <c r="U1186" s="18"/>
      <c r="V1186" s="18" t="s">
        <v>35</v>
      </c>
      <c r="W1186" s="15" t="s">
        <v>7543</v>
      </c>
      <c r="X1186" s="15" t="s">
        <v>35</v>
      </c>
      <c r="Y1186" s="15" t="s">
        <v>35</v>
      </c>
      <c r="Z1186" s="19">
        <v>0</v>
      </c>
      <c r="AA1186" s="15">
        <v>0</v>
      </c>
      <c r="AB1186" s="15" t="s">
        <v>35</v>
      </c>
    </row>
    <row r="1187">
      <c r="A1187" s="15">
        <v>1183</v>
      </c>
      <c r="B1187" s="15" t="s">
        <v>61</v>
      </c>
      <c r="C1187" s="15" t="s">
        <v>201</v>
      </c>
      <c r="D1187" s="15" t="s">
        <v>135</v>
      </c>
      <c r="E1187" s="15" t="s">
        <v>116</v>
      </c>
      <c r="F1187" s="15" t="s">
        <v>35</v>
      </c>
      <c r="G1187" s="15" t="s">
        <v>74</v>
      </c>
      <c r="H1187" s="15" t="s">
        <v>7544</v>
      </c>
      <c r="I1187" s="15" t="s">
        <v>7545</v>
      </c>
      <c r="J1187" s="15" t="s">
        <v>7546</v>
      </c>
      <c r="K1187" s="15" t="s">
        <v>152</v>
      </c>
      <c r="L1187" s="15" t="s">
        <v>153</v>
      </c>
      <c r="M1187" s="15" t="s">
        <v>154</v>
      </c>
      <c r="N1187" s="15" t="s">
        <v>155</v>
      </c>
      <c r="O1187" s="15" t="s">
        <v>82</v>
      </c>
      <c r="P1187" s="15" t="s">
        <v>2250</v>
      </c>
      <c r="Q1187" s="15" t="s">
        <v>2251</v>
      </c>
      <c r="R1187" s="16">
        <v>44329</v>
      </c>
      <c r="S1187" s="17" t="s">
        <v>70</v>
      </c>
      <c r="T1187" s="20">
        <f>HYPERLINK("https://vnm.spiral.com.vn//uploaded/20210513/c04f9371-c1ab-4027-97f6-70eaad1992a4.JPEG","13:27:08")</f>
      </c>
      <c r="U1187" s="20">
        <f>HYPERLINK("https://vnm.spiral.com.vn//uploaded/20210513/b472cda7-27c3-44f7-aadc-cf5dd04b7695.JPEG","14:32:03")</f>
      </c>
      <c r="V1187" s="18">
        <v>0.04508101851851852</v>
      </c>
      <c r="W1187" s="15" t="s">
        <v>7547</v>
      </c>
      <c r="X1187" s="15" t="s">
        <v>7548</v>
      </c>
      <c r="Y1187" s="15" t="s">
        <v>35</v>
      </c>
      <c r="Z1187" s="19">
        <v>0</v>
      </c>
      <c r="AA1187" s="15">
        <v>0</v>
      </c>
      <c r="AB1187" s="15" t="s">
        <v>35</v>
      </c>
    </row>
    <row r="1188">
      <c r="A1188" s="15">
        <v>1184</v>
      </c>
      <c r="B1188" s="15" t="s">
        <v>343</v>
      </c>
      <c r="C1188" s="15" t="s">
        <v>2135</v>
      </c>
      <c r="D1188" s="15" t="s">
        <v>35</v>
      </c>
      <c r="E1188" s="15" t="s">
        <v>35</v>
      </c>
      <c r="F1188" s="15" t="s">
        <v>2706</v>
      </c>
      <c r="G1188" s="15" t="s">
        <v>36</v>
      </c>
      <c r="H1188" s="15" t="s">
        <v>7549</v>
      </c>
      <c r="I1188" s="15" t="s">
        <v>7550</v>
      </c>
      <c r="J1188" s="15" t="s">
        <v>7551</v>
      </c>
      <c r="K1188" s="15" t="s">
        <v>40</v>
      </c>
      <c r="L1188" s="15" t="s">
        <v>41</v>
      </c>
      <c r="M1188" s="15" t="s">
        <v>409</v>
      </c>
      <c r="N1188" s="15" t="s">
        <v>410</v>
      </c>
      <c r="O1188" s="15" t="s">
        <v>44</v>
      </c>
      <c r="P1188" s="15" t="s">
        <v>7552</v>
      </c>
      <c r="Q1188" s="15" t="s">
        <v>7553</v>
      </c>
      <c r="R1188" s="16">
        <v>44329</v>
      </c>
      <c r="S1188" s="17" t="s">
        <v>2703</v>
      </c>
      <c r="T1188" s="20">
        <f>HYPERLINK("https://vnm.spiral.com.vn//uploaded/20210513/90CDB51E-517A-4082-929E-36E290CC06EB.jpg","14:31:41")</f>
      </c>
      <c r="U1188" s="18"/>
      <c r="V1188" s="18" t="s">
        <v>35</v>
      </c>
      <c r="W1188" s="15" t="s">
        <v>7554</v>
      </c>
      <c r="X1188" s="15" t="s">
        <v>35</v>
      </c>
      <c r="Y1188" s="15" t="s">
        <v>35</v>
      </c>
      <c r="Z1188" s="19">
        <v>0</v>
      </c>
      <c r="AA1188" s="15">
        <v>0</v>
      </c>
      <c r="AB1188" s="15" t="s">
        <v>35</v>
      </c>
    </row>
    <row r="1189">
      <c r="A1189" s="15">
        <v>1185</v>
      </c>
      <c r="B1189" s="15" t="s">
        <v>49</v>
      </c>
      <c r="C1189" s="15" t="s">
        <v>369</v>
      </c>
      <c r="D1189" s="15" t="s">
        <v>35</v>
      </c>
      <c r="E1189" s="15" t="s">
        <v>35</v>
      </c>
      <c r="F1189" s="15" t="s">
        <v>370</v>
      </c>
      <c r="G1189" s="15" t="s">
        <v>36</v>
      </c>
      <c r="H1189" s="15" t="s">
        <v>7555</v>
      </c>
      <c r="I1189" s="15" t="s">
        <v>7556</v>
      </c>
      <c r="J1189" s="15" t="s">
        <v>7557</v>
      </c>
      <c r="K1189" s="15" t="s">
        <v>40</v>
      </c>
      <c r="L1189" s="15" t="s">
        <v>41</v>
      </c>
      <c r="M1189" s="15" t="s">
        <v>55</v>
      </c>
      <c r="N1189" s="15" t="s">
        <v>56</v>
      </c>
      <c r="O1189" s="15" t="s">
        <v>44</v>
      </c>
      <c r="P1189" s="15" t="s">
        <v>7558</v>
      </c>
      <c r="Q1189" s="15" t="s">
        <v>7559</v>
      </c>
      <c r="R1189" s="16">
        <v>44329</v>
      </c>
      <c r="S1189" s="17" t="s">
        <v>2703</v>
      </c>
      <c r="T1189" s="20">
        <f>HYPERLINK("https://vnm.spiral.com.vn//uploaded/20210513/F0D35A28-8390-46B0-8594-C898AB0CBCA0.jpg","14:30:25")</f>
      </c>
      <c r="U1189" s="18"/>
      <c r="V1189" s="18" t="s">
        <v>35</v>
      </c>
      <c r="W1189" s="15" t="s">
        <v>7560</v>
      </c>
      <c r="X1189" s="15" t="s">
        <v>35</v>
      </c>
      <c r="Y1189" s="15" t="s">
        <v>35</v>
      </c>
      <c r="Z1189" s="19">
        <v>0</v>
      </c>
      <c r="AA1189" s="15">
        <v>0</v>
      </c>
      <c r="AB1189" s="15" t="s">
        <v>35</v>
      </c>
    </row>
    <row r="1190">
      <c r="A1190" s="15">
        <v>1186</v>
      </c>
      <c r="B1190" s="15" t="s">
        <v>87</v>
      </c>
      <c r="C1190" s="15" t="s">
        <v>88</v>
      </c>
      <c r="D1190" s="15" t="s">
        <v>115</v>
      </c>
      <c r="E1190" s="15" t="s">
        <v>116</v>
      </c>
      <c r="F1190" s="15" t="s">
        <v>35</v>
      </c>
      <c r="G1190" s="15" t="s">
        <v>74</v>
      </c>
      <c r="H1190" s="15" t="s">
        <v>7561</v>
      </c>
      <c r="I1190" s="15" t="s">
        <v>7562</v>
      </c>
      <c r="J1190" s="15" t="s">
        <v>7563</v>
      </c>
      <c r="K1190" s="15" t="s">
        <v>120</v>
      </c>
      <c r="L1190" s="15" t="s">
        <v>121</v>
      </c>
      <c r="M1190" s="15" t="s">
        <v>122</v>
      </c>
      <c r="N1190" s="15" t="s">
        <v>123</v>
      </c>
      <c r="O1190" s="15" t="s">
        <v>82</v>
      </c>
      <c r="P1190" s="15" t="s">
        <v>7564</v>
      </c>
      <c r="Q1190" s="15" t="s">
        <v>7565</v>
      </c>
      <c r="R1190" s="16">
        <v>44329</v>
      </c>
      <c r="S1190" s="17" t="s">
        <v>70</v>
      </c>
      <c r="T1190" s="20">
        <f>HYPERLINK("https://vnm.spiral.com.vn//uploaded/20210513/B96DFDFE-6F64-4695-98E9-9B7E77810162.jpg","14:30:25")</f>
      </c>
      <c r="U1190" s="18"/>
      <c r="V1190" s="18" t="s">
        <v>35</v>
      </c>
      <c r="W1190" s="15" t="s">
        <v>7566</v>
      </c>
      <c r="X1190" s="15" t="s">
        <v>35</v>
      </c>
      <c r="Y1190" s="15" t="s">
        <v>35</v>
      </c>
      <c r="Z1190" s="19">
        <v>0</v>
      </c>
      <c r="AA1190" s="15">
        <v>0</v>
      </c>
      <c r="AB1190" s="15" t="s">
        <v>35</v>
      </c>
    </row>
    <row r="1191">
      <c r="A1191" s="15">
        <v>1187</v>
      </c>
      <c r="B1191" s="15" t="s">
        <v>246</v>
      </c>
      <c r="C1191" s="15" t="s">
        <v>259</v>
      </c>
      <c r="D1191" s="15" t="s">
        <v>35</v>
      </c>
      <c r="E1191" s="15" t="s">
        <v>35</v>
      </c>
      <c r="F1191" s="15" t="s">
        <v>1352</v>
      </c>
      <c r="G1191" s="15" t="s">
        <v>36</v>
      </c>
      <c r="H1191" s="15" t="s">
        <v>7567</v>
      </c>
      <c r="I1191" s="15" t="s">
        <v>7568</v>
      </c>
      <c r="J1191" s="15" t="s">
        <v>7569</v>
      </c>
      <c r="K1191" s="15" t="s">
        <v>40</v>
      </c>
      <c r="L1191" s="15" t="s">
        <v>41</v>
      </c>
      <c r="M1191" s="15" t="s">
        <v>252</v>
      </c>
      <c r="N1191" s="15" t="s">
        <v>253</v>
      </c>
      <c r="O1191" s="15" t="s">
        <v>44</v>
      </c>
      <c r="P1191" s="15" t="s">
        <v>7570</v>
      </c>
      <c r="Q1191" s="15" t="s">
        <v>4862</v>
      </c>
      <c r="R1191" s="16">
        <v>44329</v>
      </c>
      <c r="S1191" s="17" t="s">
        <v>686</v>
      </c>
      <c r="T1191" s="20">
        <f>HYPERLINK("https://vnm.spiral.com.vn//uploaded/20210513/04a08b29-1b33-479e-a0a3-1d4e7f42db15.JPEG","14:30:22")</f>
      </c>
      <c r="U1191" s="18"/>
      <c r="V1191" s="18" t="s">
        <v>35</v>
      </c>
      <c r="W1191" s="15" t="s">
        <v>7571</v>
      </c>
      <c r="X1191" s="15" t="s">
        <v>35</v>
      </c>
      <c r="Y1191" s="15" t="s">
        <v>35</v>
      </c>
      <c r="Z1191" s="19">
        <v>0</v>
      </c>
      <c r="AA1191" s="15">
        <v>0</v>
      </c>
      <c r="AB1191" s="15" t="s">
        <v>35</v>
      </c>
    </row>
    <row r="1192">
      <c r="A1192" s="15">
        <v>1188</v>
      </c>
      <c r="B1192" s="15" t="s">
        <v>343</v>
      </c>
      <c r="C1192" s="15" t="s">
        <v>344</v>
      </c>
      <c r="D1192" s="15" t="s">
        <v>35</v>
      </c>
      <c r="E1192" s="15" t="s">
        <v>35</v>
      </c>
      <c r="F1192" s="15" t="s">
        <v>35</v>
      </c>
      <c r="G1192" s="15" t="s">
        <v>36</v>
      </c>
      <c r="H1192" s="15" t="s">
        <v>7572</v>
      </c>
      <c r="I1192" s="15" t="s">
        <v>7573</v>
      </c>
      <c r="J1192" s="15" t="s">
        <v>7574</v>
      </c>
      <c r="K1192" s="15" t="s">
        <v>40</v>
      </c>
      <c r="L1192" s="15" t="s">
        <v>41</v>
      </c>
      <c r="M1192" s="15" t="s">
        <v>595</v>
      </c>
      <c r="N1192" s="15" t="s">
        <v>596</v>
      </c>
      <c r="O1192" s="15" t="s">
        <v>44</v>
      </c>
      <c r="P1192" s="15" t="s">
        <v>7575</v>
      </c>
      <c r="Q1192" s="15" t="s">
        <v>7576</v>
      </c>
      <c r="R1192" s="16">
        <v>44329</v>
      </c>
      <c r="S1192" s="17" t="s">
        <v>7577</v>
      </c>
      <c r="T1192" s="20">
        <f>HYPERLINK("https://vnm.spiral.com.vn//uploaded/20210513/1e0bdeba-ce57-412c-8fdd-2150fa6facea.JPEG","14:30:19")</f>
      </c>
      <c r="U1192" s="18"/>
      <c r="V1192" s="18" t="s">
        <v>35</v>
      </c>
      <c r="W1192" s="15" t="s">
        <v>7578</v>
      </c>
      <c r="X1192" s="15" t="s">
        <v>35</v>
      </c>
      <c r="Y1192" s="15" t="s">
        <v>35</v>
      </c>
      <c r="Z1192" s="19">
        <v>0</v>
      </c>
      <c r="AA1192" s="15">
        <v>0</v>
      </c>
      <c r="AB1192" s="15" t="s">
        <v>35</v>
      </c>
    </row>
    <row r="1193">
      <c r="A1193" s="15">
        <v>1189</v>
      </c>
      <c r="B1193" s="15" t="s">
        <v>343</v>
      </c>
      <c r="C1193" s="15" t="s">
        <v>7476</v>
      </c>
      <c r="D1193" s="15" t="s">
        <v>35</v>
      </c>
      <c r="E1193" s="15" t="s">
        <v>35</v>
      </c>
      <c r="F1193" s="15" t="s">
        <v>35</v>
      </c>
      <c r="G1193" s="15" t="s">
        <v>36</v>
      </c>
      <c r="H1193" s="15" t="s">
        <v>7579</v>
      </c>
      <c r="I1193" s="15" t="s">
        <v>7580</v>
      </c>
      <c r="J1193" s="15" t="s">
        <v>7479</v>
      </c>
      <c r="K1193" s="15" t="s">
        <v>40</v>
      </c>
      <c r="L1193" s="15" t="s">
        <v>41</v>
      </c>
      <c r="M1193" s="15" t="s">
        <v>409</v>
      </c>
      <c r="N1193" s="15" t="s">
        <v>410</v>
      </c>
      <c r="O1193" s="15" t="s">
        <v>44</v>
      </c>
      <c r="P1193" s="15" t="s">
        <v>7581</v>
      </c>
      <c r="Q1193" s="15" t="s">
        <v>7582</v>
      </c>
      <c r="R1193" s="16">
        <v>44329</v>
      </c>
      <c r="S1193" s="17" t="s">
        <v>2703</v>
      </c>
      <c r="T1193" s="20">
        <f>HYPERLINK("https://vnm.spiral.com.vn//uploaded/20210513/1D1AFB95-BD51-4B16-A579-B658022BDD3D.jpg","14:30:08")</f>
      </c>
      <c r="U1193" s="18"/>
      <c r="V1193" s="18" t="s">
        <v>35</v>
      </c>
      <c r="W1193" s="15" t="s">
        <v>7583</v>
      </c>
      <c r="X1193" s="15" t="s">
        <v>35</v>
      </c>
      <c r="Y1193" s="15" t="s">
        <v>35</v>
      </c>
      <c r="Z1193" s="19">
        <v>0</v>
      </c>
      <c r="AA1193" s="15">
        <v>0</v>
      </c>
      <c r="AB1193" s="15" t="s">
        <v>35</v>
      </c>
    </row>
    <row r="1194">
      <c r="A1194" s="15">
        <v>1190</v>
      </c>
      <c r="B1194" s="15" t="s">
        <v>246</v>
      </c>
      <c r="C1194" s="15" t="s">
        <v>864</v>
      </c>
      <c r="D1194" s="15" t="s">
        <v>35</v>
      </c>
      <c r="E1194" s="15" t="s">
        <v>35</v>
      </c>
      <c r="F1194" s="15" t="s">
        <v>1676</v>
      </c>
      <c r="G1194" s="15" t="s">
        <v>36</v>
      </c>
      <c r="H1194" s="15" t="s">
        <v>7584</v>
      </c>
      <c r="I1194" s="15" t="s">
        <v>7585</v>
      </c>
      <c r="J1194" s="15" t="s">
        <v>7586</v>
      </c>
      <c r="K1194" s="15" t="s">
        <v>40</v>
      </c>
      <c r="L1194" s="15" t="s">
        <v>41</v>
      </c>
      <c r="M1194" s="15" t="s">
        <v>252</v>
      </c>
      <c r="N1194" s="15" t="s">
        <v>253</v>
      </c>
      <c r="O1194" s="15" t="s">
        <v>44</v>
      </c>
      <c r="P1194" s="15" t="s">
        <v>7587</v>
      </c>
      <c r="Q1194" s="15" t="s">
        <v>7588</v>
      </c>
      <c r="R1194" s="16">
        <v>44329</v>
      </c>
      <c r="S1194" s="17" t="s">
        <v>2703</v>
      </c>
      <c r="T1194" s="20">
        <f>HYPERLINK("https://vnm.spiral.com.vn//uploaded/20210513/83fe283c-56b5-4f33-ae84-21b9e50f6b71.JPEG","14:30:05")</f>
      </c>
      <c r="U1194" s="18"/>
      <c r="V1194" s="18" t="s">
        <v>35</v>
      </c>
      <c r="W1194" s="15" t="s">
        <v>7589</v>
      </c>
      <c r="X1194" s="15" t="s">
        <v>35</v>
      </c>
      <c r="Y1194" s="15" t="s">
        <v>35</v>
      </c>
      <c r="Z1194" s="19">
        <v>0</v>
      </c>
      <c r="AA1194" s="15">
        <v>0</v>
      </c>
      <c r="AB1194" s="15" t="s">
        <v>35</v>
      </c>
    </row>
    <row r="1195">
      <c r="A1195" s="15">
        <v>1191</v>
      </c>
      <c r="B1195" s="15" t="s">
        <v>49</v>
      </c>
      <c r="C1195" s="15" t="s">
        <v>369</v>
      </c>
      <c r="D1195" s="15" t="s">
        <v>432</v>
      </c>
      <c r="E1195" s="15" t="s">
        <v>116</v>
      </c>
      <c r="F1195" s="15" t="s">
        <v>35</v>
      </c>
      <c r="G1195" s="15" t="s">
        <v>74</v>
      </c>
      <c r="H1195" s="15" t="s">
        <v>7590</v>
      </c>
      <c r="I1195" s="15" t="s">
        <v>7591</v>
      </c>
      <c r="J1195" s="15" t="s">
        <v>7592</v>
      </c>
      <c r="K1195" s="15" t="s">
        <v>166</v>
      </c>
      <c r="L1195" s="15" t="s">
        <v>167</v>
      </c>
      <c r="M1195" s="15" t="s">
        <v>168</v>
      </c>
      <c r="N1195" s="15" t="s">
        <v>169</v>
      </c>
      <c r="O1195" s="15" t="s">
        <v>82</v>
      </c>
      <c r="P1195" s="15" t="s">
        <v>5228</v>
      </c>
      <c r="Q1195" s="15" t="s">
        <v>5229</v>
      </c>
      <c r="R1195" s="16">
        <v>44329</v>
      </c>
      <c r="S1195" s="17" t="s">
        <v>70</v>
      </c>
      <c r="T1195" s="20">
        <f>HYPERLINK("https://vnm.spiral.com.vn//uploaded/20210513/5619EFC8-DF93-4D4F-916F-4F0BD26E3EB8.jpg","11:56:53")</f>
      </c>
      <c r="U1195" s="20">
        <f>HYPERLINK("https://vnm.spiral.com.vn//uploaded/20210513/B6268088-96DB-4E9A-AD43-FB95E0589813.jpg","14:30:03")</f>
      </c>
      <c r="V1195" s="18">
        <v>0.10636574074074075</v>
      </c>
      <c r="W1195" s="15" t="s">
        <v>7593</v>
      </c>
      <c r="X1195" s="15" t="s">
        <v>7594</v>
      </c>
      <c r="Y1195" s="15" t="s">
        <v>35</v>
      </c>
      <c r="Z1195" s="19">
        <v>0</v>
      </c>
      <c r="AA1195" s="15">
        <v>0</v>
      </c>
      <c r="AB1195" s="15" t="s">
        <v>35</v>
      </c>
    </row>
    <row r="1196">
      <c r="A1196" s="15">
        <v>1192</v>
      </c>
      <c r="B1196" s="15" t="s">
        <v>33</v>
      </c>
      <c r="C1196" s="15" t="s">
        <v>765</v>
      </c>
      <c r="D1196" s="15" t="s">
        <v>35</v>
      </c>
      <c r="E1196" s="15" t="s">
        <v>35</v>
      </c>
      <c r="F1196" s="15" t="s">
        <v>35</v>
      </c>
      <c r="G1196" s="15" t="s">
        <v>36</v>
      </c>
      <c r="H1196" s="15" t="s">
        <v>7595</v>
      </c>
      <c r="I1196" s="15" t="s">
        <v>7596</v>
      </c>
      <c r="J1196" s="15" t="s">
        <v>7597</v>
      </c>
      <c r="K1196" s="15" t="s">
        <v>40</v>
      </c>
      <c r="L1196" s="15" t="s">
        <v>41</v>
      </c>
      <c r="M1196" s="15" t="s">
        <v>42</v>
      </c>
      <c r="N1196" s="15" t="s">
        <v>43</v>
      </c>
      <c r="O1196" s="15" t="s">
        <v>44</v>
      </c>
      <c r="P1196" s="15" t="s">
        <v>7598</v>
      </c>
      <c r="Q1196" s="15" t="s">
        <v>6696</v>
      </c>
      <c r="R1196" s="16">
        <v>44329</v>
      </c>
      <c r="S1196" s="17" t="s">
        <v>2703</v>
      </c>
      <c r="T1196" s="20">
        <f>HYPERLINK("https://vnm.spiral.com.vn//uploaded/20210513/AFAD6663-372D-4162-8F58-6A5B508E5A5D.jpg","14:29:56")</f>
      </c>
      <c r="U1196" s="18"/>
      <c r="V1196" s="18" t="s">
        <v>35</v>
      </c>
      <c r="W1196" s="15" t="s">
        <v>7599</v>
      </c>
      <c r="X1196" s="15" t="s">
        <v>35</v>
      </c>
      <c r="Y1196" s="15" t="s">
        <v>35</v>
      </c>
      <c r="Z1196" s="19">
        <v>0</v>
      </c>
      <c r="AA1196" s="15">
        <v>0</v>
      </c>
      <c r="AB1196" s="15" t="s">
        <v>35</v>
      </c>
    </row>
    <row r="1197">
      <c r="A1197" s="15">
        <v>1193</v>
      </c>
      <c r="B1197" s="15" t="s">
        <v>33</v>
      </c>
      <c r="C1197" s="15" t="s">
        <v>219</v>
      </c>
      <c r="D1197" s="15" t="s">
        <v>35</v>
      </c>
      <c r="E1197" s="15" t="s">
        <v>35</v>
      </c>
      <c r="F1197" s="15" t="s">
        <v>35</v>
      </c>
      <c r="G1197" s="15" t="s">
        <v>36</v>
      </c>
      <c r="H1197" s="15" t="s">
        <v>7600</v>
      </c>
      <c r="I1197" s="15" t="s">
        <v>7601</v>
      </c>
      <c r="J1197" s="15" t="s">
        <v>7602</v>
      </c>
      <c r="K1197" s="15" t="s">
        <v>40</v>
      </c>
      <c r="L1197" s="15" t="s">
        <v>41</v>
      </c>
      <c r="M1197" s="15" t="s">
        <v>42</v>
      </c>
      <c r="N1197" s="15" t="s">
        <v>43</v>
      </c>
      <c r="O1197" s="15" t="s">
        <v>44</v>
      </c>
      <c r="P1197" s="15" t="s">
        <v>7603</v>
      </c>
      <c r="Q1197" s="15" t="s">
        <v>7604</v>
      </c>
      <c r="R1197" s="16">
        <v>44329</v>
      </c>
      <c r="S1197" s="17" t="s">
        <v>2703</v>
      </c>
      <c r="T1197" s="20">
        <f>HYPERLINK("https://vnm.spiral.com.vn//uploaded/20210513/EF549091-50E7-4711-8FB7-410DB4A9132A.jpg","14:29:38")</f>
      </c>
      <c r="U1197" s="18"/>
      <c r="V1197" s="18" t="s">
        <v>35</v>
      </c>
      <c r="W1197" s="15" t="s">
        <v>7605</v>
      </c>
      <c r="X1197" s="15" t="s">
        <v>35</v>
      </c>
      <c r="Y1197" s="15" t="s">
        <v>35</v>
      </c>
      <c r="Z1197" s="19">
        <v>0</v>
      </c>
      <c r="AA1197" s="15">
        <v>0</v>
      </c>
      <c r="AB1197" s="15" t="s">
        <v>35</v>
      </c>
    </row>
    <row r="1198">
      <c r="A1198" s="15">
        <v>1194</v>
      </c>
      <c r="B1198" s="15" t="s">
        <v>33</v>
      </c>
      <c r="C1198" s="15" t="s">
        <v>34</v>
      </c>
      <c r="D1198" s="15" t="s">
        <v>35</v>
      </c>
      <c r="E1198" s="15" t="s">
        <v>35</v>
      </c>
      <c r="F1198" s="15" t="s">
        <v>35</v>
      </c>
      <c r="G1198" s="15" t="s">
        <v>36</v>
      </c>
      <c r="H1198" s="15" t="s">
        <v>7606</v>
      </c>
      <c r="I1198" s="15" t="s">
        <v>7607</v>
      </c>
      <c r="J1198" s="15" t="s">
        <v>7608</v>
      </c>
      <c r="K1198" s="15" t="s">
        <v>40</v>
      </c>
      <c r="L1198" s="15" t="s">
        <v>41</v>
      </c>
      <c r="M1198" s="15" t="s">
        <v>42</v>
      </c>
      <c r="N1198" s="15" t="s">
        <v>43</v>
      </c>
      <c r="O1198" s="15" t="s">
        <v>44</v>
      </c>
      <c r="P1198" s="15" t="s">
        <v>7609</v>
      </c>
      <c r="Q1198" s="15" t="s">
        <v>7128</v>
      </c>
      <c r="R1198" s="16">
        <v>44329</v>
      </c>
      <c r="S1198" s="17" t="s">
        <v>2703</v>
      </c>
      <c r="T1198" s="20">
        <f>HYPERLINK("https://vnm.spiral.com.vn//uploaded/20210513/eed4e83f-8f88-4172-9536-c653d5a790e7.JPEG","14:29:33")</f>
      </c>
      <c r="U1198" s="18"/>
      <c r="V1198" s="18" t="s">
        <v>35</v>
      </c>
      <c r="W1198" s="15" t="s">
        <v>7610</v>
      </c>
      <c r="X1198" s="15" t="s">
        <v>35</v>
      </c>
      <c r="Y1198" s="15" t="s">
        <v>35</v>
      </c>
      <c r="Z1198" s="19">
        <v>0</v>
      </c>
      <c r="AA1198" s="15">
        <v>0</v>
      </c>
      <c r="AB1198" s="15" t="s">
        <v>35</v>
      </c>
    </row>
    <row r="1199">
      <c r="A1199" s="15">
        <v>1195</v>
      </c>
      <c r="B1199" s="15" t="s">
        <v>343</v>
      </c>
      <c r="C1199" s="15" t="s">
        <v>7476</v>
      </c>
      <c r="D1199" s="15" t="s">
        <v>35</v>
      </c>
      <c r="E1199" s="15" t="s">
        <v>35</v>
      </c>
      <c r="F1199" s="15" t="s">
        <v>35</v>
      </c>
      <c r="G1199" s="15" t="s">
        <v>36</v>
      </c>
      <c r="H1199" s="15" t="s">
        <v>7611</v>
      </c>
      <c r="I1199" s="15" t="s">
        <v>7612</v>
      </c>
      <c r="J1199" s="15" t="s">
        <v>7613</v>
      </c>
      <c r="K1199" s="15" t="s">
        <v>40</v>
      </c>
      <c r="L1199" s="15" t="s">
        <v>41</v>
      </c>
      <c r="M1199" s="15" t="s">
        <v>409</v>
      </c>
      <c r="N1199" s="15" t="s">
        <v>410</v>
      </c>
      <c r="O1199" s="15" t="s">
        <v>44</v>
      </c>
      <c r="P1199" s="15" t="s">
        <v>7614</v>
      </c>
      <c r="Q1199" s="15" t="s">
        <v>7615</v>
      </c>
      <c r="R1199" s="16">
        <v>44329</v>
      </c>
      <c r="S1199" s="17" t="s">
        <v>2703</v>
      </c>
      <c r="T1199" s="20">
        <f>HYPERLINK("https://vnm.spiral.com.vn//uploaded/20210513/93f0fb5e-39c1-4553-987d-ecd5463d8d31.JPEG","14:29:31")</f>
      </c>
      <c r="U1199" s="18"/>
      <c r="V1199" s="18" t="s">
        <v>35</v>
      </c>
      <c r="W1199" s="15" t="s">
        <v>7616</v>
      </c>
      <c r="X1199" s="15" t="s">
        <v>35</v>
      </c>
      <c r="Y1199" s="15" t="s">
        <v>35</v>
      </c>
      <c r="Z1199" s="19">
        <v>0</v>
      </c>
      <c r="AA1199" s="15">
        <v>0</v>
      </c>
      <c r="AB1199" s="15" t="s">
        <v>35</v>
      </c>
    </row>
    <row r="1200">
      <c r="A1200" s="15">
        <v>1196</v>
      </c>
      <c r="B1200" s="15" t="s">
        <v>49</v>
      </c>
      <c r="C1200" s="15" t="s">
        <v>369</v>
      </c>
      <c r="D1200" s="15" t="s">
        <v>35</v>
      </c>
      <c r="E1200" s="15" t="s">
        <v>35</v>
      </c>
      <c r="F1200" s="15" t="s">
        <v>370</v>
      </c>
      <c r="G1200" s="15" t="s">
        <v>36</v>
      </c>
      <c r="H1200" s="15" t="s">
        <v>7617</v>
      </c>
      <c r="I1200" s="15" t="s">
        <v>7618</v>
      </c>
      <c r="J1200" s="15" t="s">
        <v>7619</v>
      </c>
      <c r="K1200" s="15" t="s">
        <v>40</v>
      </c>
      <c r="L1200" s="15" t="s">
        <v>41</v>
      </c>
      <c r="M1200" s="15" t="s">
        <v>55</v>
      </c>
      <c r="N1200" s="15" t="s">
        <v>56</v>
      </c>
      <c r="O1200" s="15" t="s">
        <v>44</v>
      </c>
      <c r="P1200" s="15" t="s">
        <v>7620</v>
      </c>
      <c r="Q1200" s="15" t="s">
        <v>7621</v>
      </c>
      <c r="R1200" s="16">
        <v>44329</v>
      </c>
      <c r="S1200" s="17" t="s">
        <v>686</v>
      </c>
      <c r="T1200" s="20">
        <f>HYPERLINK("https://vnm.spiral.com.vn//uploaded/20210513/F6869BE4-FB46-442E-9986-F64DD56992C2.jpg","14:29:29")</f>
      </c>
      <c r="U1200" s="18"/>
      <c r="V1200" s="18" t="s">
        <v>35</v>
      </c>
      <c r="W1200" s="15" t="s">
        <v>7622</v>
      </c>
      <c r="X1200" s="15" t="s">
        <v>35</v>
      </c>
      <c r="Y1200" s="15" t="s">
        <v>35</v>
      </c>
      <c r="Z1200" s="19">
        <v>0</v>
      </c>
      <c r="AA1200" s="15">
        <v>0</v>
      </c>
      <c r="AB1200" s="15" t="s">
        <v>35</v>
      </c>
    </row>
    <row r="1201">
      <c r="A1201" s="15">
        <v>1197</v>
      </c>
      <c r="B1201" s="15" t="s">
        <v>103</v>
      </c>
      <c r="C1201" s="15" t="s">
        <v>1078</v>
      </c>
      <c r="D1201" s="15" t="s">
        <v>35</v>
      </c>
      <c r="E1201" s="15" t="s">
        <v>35</v>
      </c>
      <c r="F1201" s="15" t="s">
        <v>35</v>
      </c>
      <c r="G1201" s="15" t="s">
        <v>35</v>
      </c>
      <c r="H1201" s="15" t="s">
        <v>7623</v>
      </c>
      <c r="I1201" s="15" t="s">
        <v>7624</v>
      </c>
      <c r="J1201" s="15" t="s">
        <v>7625</v>
      </c>
      <c r="K1201" s="15" t="s">
        <v>40</v>
      </c>
      <c r="L1201" s="15" t="s">
        <v>41</v>
      </c>
      <c r="M1201" s="15" t="s">
        <v>565</v>
      </c>
      <c r="N1201" s="15" t="s">
        <v>566</v>
      </c>
      <c r="O1201" s="15" t="s">
        <v>44</v>
      </c>
      <c r="P1201" s="15" t="s">
        <v>7626</v>
      </c>
      <c r="Q1201" s="15" t="s">
        <v>7627</v>
      </c>
      <c r="R1201" s="16">
        <v>44329</v>
      </c>
      <c r="S1201" s="17" t="s">
        <v>7628</v>
      </c>
      <c r="T1201" s="20">
        <f>HYPERLINK("https://vnm.spiral.com.vn//uploaded/20210513/6e55d9f0-5fff-43f9-8492-516fabb3785c.JPEG","14:29:28")</f>
      </c>
      <c r="U1201" s="18"/>
      <c r="V1201" s="18" t="s">
        <v>35</v>
      </c>
      <c r="W1201" s="15" t="s">
        <v>7629</v>
      </c>
      <c r="X1201" s="15" t="s">
        <v>35</v>
      </c>
      <c r="Y1201" s="15" t="s">
        <v>35</v>
      </c>
      <c r="Z1201" s="19">
        <v>0</v>
      </c>
      <c r="AA1201" s="15">
        <v>0</v>
      </c>
      <c r="AB1201" s="15" t="s">
        <v>35</v>
      </c>
    </row>
    <row r="1202">
      <c r="A1202" s="15">
        <v>1198</v>
      </c>
      <c r="B1202" s="15" t="s">
        <v>343</v>
      </c>
      <c r="C1202" s="15" t="s">
        <v>3117</v>
      </c>
      <c r="D1202" s="15" t="s">
        <v>35</v>
      </c>
      <c r="E1202" s="15" t="s">
        <v>35</v>
      </c>
      <c r="F1202" s="15" t="s">
        <v>35</v>
      </c>
      <c r="G1202" s="15" t="s">
        <v>36</v>
      </c>
      <c r="H1202" s="15" t="s">
        <v>7630</v>
      </c>
      <c r="I1202" s="15" t="s">
        <v>7631</v>
      </c>
      <c r="J1202" s="15" t="s">
        <v>7632</v>
      </c>
      <c r="K1202" s="15" t="s">
        <v>40</v>
      </c>
      <c r="L1202" s="15" t="s">
        <v>41</v>
      </c>
      <c r="M1202" s="15" t="s">
        <v>595</v>
      </c>
      <c r="N1202" s="15" t="s">
        <v>596</v>
      </c>
      <c r="O1202" s="15" t="s">
        <v>44</v>
      </c>
      <c r="P1202" s="15" t="s">
        <v>7633</v>
      </c>
      <c r="Q1202" s="15" t="s">
        <v>7634</v>
      </c>
      <c r="R1202" s="16">
        <v>44329</v>
      </c>
      <c r="S1202" s="17" t="s">
        <v>2703</v>
      </c>
      <c r="T1202" s="20">
        <f>HYPERLINK("https://vnm.spiral.com.vn//uploaded/20210513/0a7f83ec-7493-4ad8-8657-235bd9266403.JPEG","14:29:27")</f>
      </c>
      <c r="U1202" s="18"/>
      <c r="V1202" s="18" t="s">
        <v>35</v>
      </c>
      <c r="W1202" s="15" t="s">
        <v>7635</v>
      </c>
      <c r="X1202" s="15" t="s">
        <v>35</v>
      </c>
      <c r="Y1202" s="15" t="s">
        <v>35</v>
      </c>
      <c r="Z1202" s="19">
        <v>0</v>
      </c>
      <c r="AA1202" s="15">
        <v>0</v>
      </c>
      <c r="AB1202" s="15" t="s">
        <v>35</v>
      </c>
    </row>
    <row r="1203">
      <c r="A1203" s="15">
        <v>1199</v>
      </c>
      <c r="B1203" s="15" t="s">
        <v>246</v>
      </c>
      <c r="C1203" s="15" t="s">
        <v>5532</v>
      </c>
      <c r="D1203" s="15" t="s">
        <v>89</v>
      </c>
      <c r="E1203" s="15" t="s">
        <v>90</v>
      </c>
      <c r="F1203" s="15" t="s">
        <v>35</v>
      </c>
      <c r="G1203" s="15" t="s">
        <v>74</v>
      </c>
      <c r="H1203" s="15" t="s">
        <v>5533</v>
      </c>
      <c r="I1203" s="15" t="s">
        <v>5534</v>
      </c>
      <c r="J1203" s="15" t="s">
        <v>5535</v>
      </c>
      <c r="K1203" s="15" t="s">
        <v>263</v>
      </c>
      <c r="L1203" s="15" t="s">
        <v>264</v>
      </c>
      <c r="M1203" s="15" t="s">
        <v>868</v>
      </c>
      <c r="N1203" s="15" t="s">
        <v>869</v>
      </c>
      <c r="O1203" s="15" t="s">
        <v>156</v>
      </c>
      <c r="P1203" s="15" t="s">
        <v>7636</v>
      </c>
      <c r="Q1203" s="15" t="s">
        <v>7637</v>
      </c>
      <c r="R1203" s="16">
        <v>44329</v>
      </c>
      <c r="S1203" s="17" t="s">
        <v>7638</v>
      </c>
      <c r="T1203" s="20">
        <f>HYPERLINK("https://vnm.spiral.com.vn//uploaded/20210513/C55F0236-A724-4021-8C65-0205202F7E72.jpg","14:29:24")</f>
      </c>
      <c r="U1203" s="18"/>
      <c r="V1203" s="18" t="s">
        <v>35</v>
      </c>
      <c r="W1203" s="15" t="s">
        <v>7639</v>
      </c>
      <c r="X1203" s="15" t="s">
        <v>35</v>
      </c>
      <c r="Y1203" s="15" t="s">
        <v>35</v>
      </c>
      <c r="Z1203" s="19">
        <v>0</v>
      </c>
      <c r="AA1203" s="15">
        <v>0</v>
      </c>
      <c r="AB1203" s="15" t="s">
        <v>35</v>
      </c>
    </row>
    <row r="1204">
      <c r="A1204" s="15">
        <v>1200</v>
      </c>
      <c r="B1204" s="15" t="s">
        <v>87</v>
      </c>
      <c r="C1204" s="15" t="s">
        <v>88</v>
      </c>
      <c r="D1204" s="15" t="s">
        <v>35</v>
      </c>
      <c r="E1204" s="15" t="s">
        <v>35</v>
      </c>
      <c r="F1204" s="15" t="s">
        <v>35</v>
      </c>
      <c r="G1204" s="15" t="s">
        <v>74</v>
      </c>
      <c r="H1204" s="15" t="s">
        <v>7640</v>
      </c>
      <c r="I1204" s="15" t="s">
        <v>7641</v>
      </c>
      <c r="J1204" s="15" t="s">
        <v>7642</v>
      </c>
      <c r="K1204" s="15" t="s">
        <v>888</v>
      </c>
      <c r="L1204" s="15" t="s">
        <v>889</v>
      </c>
      <c r="M1204" s="15" t="s">
        <v>1666</v>
      </c>
      <c r="N1204" s="15" t="s">
        <v>1667</v>
      </c>
      <c r="O1204" s="15" t="s">
        <v>82</v>
      </c>
      <c r="P1204" s="15" t="s">
        <v>1668</v>
      </c>
      <c r="Q1204" s="15" t="s">
        <v>1669</v>
      </c>
      <c r="R1204" s="16">
        <v>44329</v>
      </c>
      <c r="S1204" s="17" t="s">
        <v>70</v>
      </c>
      <c r="T1204" s="20">
        <f>HYPERLINK("https://vnm.spiral.com.vn//uploaded/20210513/C635E8E6-454A-4B0C-95ED-D63919A66BD4.jpg","14:12:09")</f>
      </c>
      <c r="U1204" s="20">
        <f>HYPERLINK("https://vnm.spiral.com.vn//uploaded/20210513/0AF29249-2E8E-499E-B459-51850D56E1F0.jpg","14:29:06")</f>
      </c>
      <c r="V1204" s="18">
        <v>0.011770833333333333</v>
      </c>
      <c r="W1204" s="15" t="s">
        <v>6094</v>
      </c>
      <c r="X1204" s="15" t="s">
        <v>6094</v>
      </c>
      <c r="Y1204" s="15" t="s">
        <v>35</v>
      </c>
      <c r="Z1204" s="19">
        <v>0</v>
      </c>
      <c r="AA1204" s="15">
        <v>0</v>
      </c>
      <c r="AB1204" s="15" t="s">
        <v>35</v>
      </c>
    </row>
    <row r="1205">
      <c r="A1205" s="15">
        <v>1201</v>
      </c>
      <c r="B1205" s="15" t="s">
        <v>103</v>
      </c>
      <c r="C1205" s="15" t="s">
        <v>186</v>
      </c>
      <c r="D1205" s="15" t="s">
        <v>35</v>
      </c>
      <c r="E1205" s="15" t="s">
        <v>35</v>
      </c>
      <c r="F1205" s="15" t="s">
        <v>5564</v>
      </c>
      <c r="G1205" s="15" t="s">
        <v>36</v>
      </c>
      <c r="H1205" s="15" t="s">
        <v>7643</v>
      </c>
      <c r="I1205" s="15" t="s">
        <v>7644</v>
      </c>
      <c r="J1205" s="15" t="s">
        <v>7645</v>
      </c>
      <c r="K1205" s="15" t="s">
        <v>40</v>
      </c>
      <c r="L1205" s="15" t="s">
        <v>41</v>
      </c>
      <c r="M1205" s="15" t="s">
        <v>565</v>
      </c>
      <c r="N1205" s="15" t="s">
        <v>566</v>
      </c>
      <c r="O1205" s="15" t="s">
        <v>44</v>
      </c>
      <c r="P1205" s="15" t="s">
        <v>7646</v>
      </c>
      <c r="Q1205" s="15" t="s">
        <v>7647</v>
      </c>
      <c r="R1205" s="16">
        <v>44329</v>
      </c>
      <c r="S1205" s="17" t="s">
        <v>7628</v>
      </c>
      <c r="T1205" s="20">
        <f>HYPERLINK("https://vnm.spiral.com.vn//uploaded/20210513/67a8aa32-b627-46e4-bb2b-08cb120228a2.JPEG","14:29:03")</f>
      </c>
      <c r="U1205" s="18"/>
      <c r="V1205" s="18" t="s">
        <v>35</v>
      </c>
      <c r="W1205" s="15" t="s">
        <v>7648</v>
      </c>
      <c r="X1205" s="15" t="s">
        <v>35</v>
      </c>
      <c r="Y1205" s="15" t="s">
        <v>35</v>
      </c>
      <c r="Z1205" s="19">
        <v>0</v>
      </c>
      <c r="AA1205" s="15">
        <v>0</v>
      </c>
      <c r="AB1205" s="15" t="s">
        <v>35</v>
      </c>
    </row>
    <row r="1206">
      <c r="A1206" s="15">
        <v>1202</v>
      </c>
      <c r="B1206" s="15" t="s">
        <v>49</v>
      </c>
      <c r="C1206" s="15" t="s">
        <v>369</v>
      </c>
      <c r="D1206" s="15" t="s">
        <v>35</v>
      </c>
      <c r="E1206" s="15" t="s">
        <v>35</v>
      </c>
      <c r="F1206" s="15" t="s">
        <v>7649</v>
      </c>
      <c r="G1206" s="15" t="s">
        <v>36</v>
      </c>
      <c r="H1206" s="15" t="s">
        <v>7650</v>
      </c>
      <c r="I1206" s="15" t="s">
        <v>7651</v>
      </c>
      <c r="J1206" s="15" t="s">
        <v>3461</v>
      </c>
      <c r="K1206" s="15" t="s">
        <v>40</v>
      </c>
      <c r="L1206" s="15" t="s">
        <v>41</v>
      </c>
      <c r="M1206" s="15" t="s">
        <v>55</v>
      </c>
      <c r="N1206" s="15" t="s">
        <v>56</v>
      </c>
      <c r="O1206" s="15" t="s">
        <v>44</v>
      </c>
      <c r="P1206" s="15" t="s">
        <v>7652</v>
      </c>
      <c r="Q1206" s="15" t="s">
        <v>7653</v>
      </c>
      <c r="R1206" s="16">
        <v>44329</v>
      </c>
      <c r="S1206" s="17" t="s">
        <v>2703</v>
      </c>
      <c r="T1206" s="20">
        <f>HYPERLINK("https://vnm.spiral.com.vn//uploaded/20210513/31017795-2E77-44B4-892E-7C6263D8CC8A.jpg","14:28:57")</f>
      </c>
      <c r="U1206" s="18"/>
      <c r="V1206" s="18" t="s">
        <v>35</v>
      </c>
      <c r="W1206" s="15" t="s">
        <v>7654</v>
      </c>
      <c r="X1206" s="15" t="s">
        <v>35</v>
      </c>
      <c r="Y1206" s="15" t="s">
        <v>35</v>
      </c>
      <c r="Z1206" s="19">
        <v>0</v>
      </c>
      <c r="AA1206" s="15">
        <v>0</v>
      </c>
      <c r="AB1206" s="15" t="s">
        <v>35</v>
      </c>
    </row>
    <row r="1207">
      <c r="A1207" s="15">
        <v>1203</v>
      </c>
      <c r="B1207" s="15" t="s">
        <v>49</v>
      </c>
      <c r="C1207" s="15" t="s">
        <v>756</v>
      </c>
      <c r="D1207" s="15" t="s">
        <v>35</v>
      </c>
      <c r="E1207" s="15" t="s">
        <v>35</v>
      </c>
      <c r="F1207" s="15" t="s">
        <v>6964</v>
      </c>
      <c r="G1207" s="15" t="s">
        <v>36</v>
      </c>
      <c r="H1207" s="15" t="s">
        <v>7655</v>
      </c>
      <c r="I1207" s="15" t="s">
        <v>7656</v>
      </c>
      <c r="J1207" s="15" t="s">
        <v>7657</v>
      </c>
      <c r="K1207" s="15" t="s">
        <v>40</v>
      </c>
      <c r="L1207" s="15" t="s">
        <v>41</v>
      </c>
      <c r="M1207" s="15" t="s">
        <v>55</v>
      </c>
      <c r="N1207" s="15" t="s">
        <v>56</v>
      </c>
      <c r="O1207" s="15" t="s">
        <v>44</v>
      </c>
      <c r="P1207" s="15" t="s">
        <v>7658</v>
      </c>
      <c r="Q1207" s="15" t="s">
        <v>7659</v>
      </c>
      <c r="R1207" s="16">
        <v>44329</v>
      </c>
      <c r="S1207" s="17" t="s">
        <v>7660</v>
      </c>
      <c r="T1207" s="20">
        <f>HYPERLINK("https://vnm.spiral.com.vn//uploaded/20210513/6c404635-f44e-4cac-997c-094a4396523c.JPEG","14:28:52")</f>
      </c>
      <c r="U1207" s="18"/>
      <c r="V1207" s="18" t="s">
        <v>35</v>
      </c>
      <c r="W1207" s="15" t="s">
        <v>7661</v>
      </c>
      <c r="X1207" s="15" t="s">
        <v>35</v>
      </c>
      <c r="Y1207" s="15" t="s">
        <v>35</v>
      </c>
      <c r="Z1207" s="19">
        <v>0</v>
      </c>
      <c r="AA1207" s="15">
        <v>0</v>
      </c>
      <c r="AB1207" s="15" t="s">
        <v>35</v>
      </c>
    </row>
    <row r="1208">
      <c r="A1208" s="15">
        <v>1204</v>
      </c>
      <c r="B1208" s="15" t="s">
        <v>87</v>
      </c>
      <c r="C1208" s="15" t="s">
        <v>88</v>
      </c>
      <c r="D1208" s="15" t="s">
        <v>35</v>
      </c>
      <c r="E1208" s="15" t="s">
        <v>35</v>
      </c>
      <c r="F1208" s="15" t="s">
        <v>35</v>
      </c>
      <c r="G1208" s="15" t="s">
        <v>74</v>
      </c>
      <c r="H1208" s="15" t="s">
        <v>7662</v>
      </c>
      <c r="I1208" s="15" t="s">
        <v>7663</v>
      </c>
      <c r="J1208" s="15" t="s">
        <v>7664</v>
      </c>
      <c r="K1208" s="15" t="s">
        <v>888</v>
      </c>
      <c r="L1208" s="15" t="s">
        <v>889</v>
      </c>
      <c r="M1208" s="15" t="s">
        <v>924</v>
      </c>
      <c r="N1208" s="15" t="s">
        <v>925</v>
      </c>
      <c r="O1208" s="15" t="s">
        <v>82</v>
      </c>
      <c r="P1208" s="15" t="s">
        <v>1987</v>
      </c>
      <c r="Q1208" s="15" t="s">
        <v>1988</v>
      </c>
      <c r="R1208" s="16">
        <v>44329</v>
      </c>
      <c r="S1208" s="17" t="s">
        <v>70</v>
      </c>
      <c r="T1208" s="20">
        <f>HYPERLINK("https://vnm.spiral.com.vn//uploaded/20210513/fd941b0c-0dde-4eeb-bc3a-6e951990bc3e.JPEG","11:43:40")</f>
      </c>
      <c r="U1208" s="20">
        <f>HYPERLINK("https://vnm.spiral.com.vn//uploaded/20210513/70037217-0699-405d-999f-f66087eed80b.JPEG","14:28:44")</f>
      </c>
      <c r="V1208" s="18">
        <v>0.11462962962962962</v>
      </c>
      <c r="W1208" s="15" t="s">
        <v>7665</v>
      </c>
      <c r="X1208" s="15" t="s">
        <v>7666</v>
      </c>
      <c r="Y1208" s="15" t="s">
        <v>35</v>
      </c>
      <c r="Z1208" s="19">
        <v>0</v>
      </c>
      <c r="AA1208" s="15">
        <v>0</v>
      </c>
      <c r="AB1208" s="15" t="s">
        <v>35</v>
      </c>
    </row>
    <row r="1209">
      <c r="A1209" s="15">
        <v>1205</v>
      </c>
      <c r="B1209" s="15" t="s">
        <v>343</v>
      </c>
      <c r="C1209" s="15" t="s">
        <v>344</v>
      </c>
      <c r="D1209" s="15" t="s">
        <v>35</v>
      </c>
      <c r="E1209" s="15" t="s">
        <v>35</v>
      </c>
      <c r="F1209" s="15" t="s">
        <v>35</v>
      </c>
      <c r="G1209" s="15" t="s">
        <v>36</v>
      </c>
      <c r="H1209" s="15" t="s">
        <v>7667</v>
      </c>
      <c r="I1209" s="15" t="s">
        <v>7668</v>
      </c>
      <c r="J1209" s="15" t="s">
        <v>7669</v>
      </c>
      <c r="K1209" s="15" t="s">
        <v>40</v>
      </c>
      <c r="L1209" s="15" t="s">
        <v>41</v>
      </c>
      <c r="M1209" s="15" t="s">
        <v>595</v>
      </c>
      <c r="N1209" s="15" t="s">
        <v>596</v>
      </c>
      <c r="O1209" s="15" t="s">
        <v>44</v>
      </c>
      <c r="P1209" s="15" t="s">
        <v>7670</v>
      </c>
      <c r="Q1209" s="15" t="s">
        <v>7671</v>
      </c>
      <c r="R1209" s="16">
        <v>44329</v>
      </c>
      <c r="S1209" s="17" t="s">
        <v>2703</v>
      </c>
      <c r="T1209" s="20">
        <f>HYPERLINK("https://vnm.spiral.com.vn//uploaded/20210513/e7410b1a-d070-4490-814a-edc213ecdc67.JPEG","14:28:39")</f>
      </c>
      <c r="U1209" s="18"/>
      <c r="V1209" s="18" t="s">
        <v>35</v>
      </c>
      <c r="W1209" s="15" t="s">
        <v>7672</v>
      </c>
      <c r="X1209" s="15" t="s">
        <v>35</v>
      </c>
      <c r="Y1209" s="15" t="s">
        <v>35</v>
      </c>
      <c r="Z1209" s="19">
        <v>0</v>
      </c>
      <c r="AA1209" s="15">
        <v>0</v>
      </c>
      <c r="AB1209" s="15" t="s">
        <v>35</v>
      </c>
    </row>
    <row r="1210">
      <c r="A1210" s="15">
        <v>1206</v>
      </c>
      <c r="B1210" s="15" t="s">
        <v>87</v>
      </c>
      <c r="C1210" s="15" t="s">
        <v>88</v>
      </c>
      <c r="D1210" s="15" t="s">
        <v>610</v>
      </c>
      <c r="E1210" s="15" t="s">
        <v>90</v>
      </c>
      <c r="F1210" s="15" t="s">
        <v>35</v>
      </c>
      <c r="G1210" s="15" t="s">
        <v>74</v>
      </c>
      <c r="H1210" s="15" t="s">
        <v>7673</v>
      </c>
      <c r="I1210" s="15" t="s">
        <v>7674</v>
      </c>
      <c r="J1210" s="15" t="s">
        <v>7675</v>
      </c>
      <c r="K1210" s="15" t="s">
        <v>94</v>
      </c>
      <c r="L1210" s="15" t="s">
        <v>95</v>
      </c>
      <c r="M1210" s="15" t="s">
        <v>614</v>
      </c>
      <c r="N1210" s="15" t="s">
        <v>615</v>
      </c>
      <c r="O1210" s="15" t="s">
        <v>82</v>
      </c>
      <c r="P1210" s="15" t="s">
        <v>2583</v>
      </c>
      <c r="Q1210" s="15" t="s">
        <v>2584</v>
      </c>
      <c r="R1210" s="16">
        <v>44329</v>
      </c>
      <c r="S1210" s="17" t="s">
        <v>70</v>
      </c>
      <c r="T1210" s="20">
        <f>HYPERLINK("https://vnm.spiral.com.vn//uploaded/20210513/be77848b-a813-4c57-87d1-1131475f5dd4.JPEG","14:09:13")</f>
      </c>
      <c r="U1210" s="20">
        <f>HYPERLINK("https://vnm.spiral.com.vn//uploaded/20210513/05f79ccf-fa5e-446b-828f-6c2a31324028.JPEG","14:28:32")</f>
      </c>
      <c r="V1210" s="18">
        <v>0.013414351851851853</v>
      </c>
      <c r="W1210" s="15" t="s">
        <v>7676</v>
      </c>
      <c r="X1210" s="15" t="s">
        <v>7677</v>
      </c>
      <c r="Y1210" s="15" t="s">
        <v>35</v>
      </c>
      <c r="Z1210" s="19">
        <v>0</v>
      </c>
      <c r="AA1210" s="15">
        <v>0</v>
      </c>
      <c r="AB1210" s="15" t="s">
        <v>35</v>
      </c>
    </row>
    <row r="1211">
      <c r="A1211" s="15">
        <v>1207</v>
      </c>
      <c r="B1211" s="15" t="s">
        <v>103</v>
      </c>
      <c r="C1211" s="15" t="s">
        <v>186</v>
      </c>
      <c r="D1211" s="15" t="s">
        <v>35</v>
      </c>
      <c r="E1211" s="15" t="s">
        <v>35</v>
      </c>
      <c r="F1211" s="15" t="s">
        <v>35</v>
      </c>
      <c r="G1211" s="15" t="s">
        <v>36</v>
      </c>
      <c r="H1211" s="15" t="s">
        <v>7678</v>
      </c>
      <c r="I1211" s="15" t="s">
        <v>7679</v>
      </c>
      <c r="J1211" s="15" t="s">
        <v>7680</v>
      </c>
      <c r="K1211" s="15" t="s">
        <v>40</v>
      </c>
      <c r="L1211" s="15" t="s">
        <v>41</v>
      </c>
      <c r="M1211" s="15" t="s">
        <v>565</v>
      </c>
      <c r="N1211" s="15" t="s">
        <v>566</v>
      </c>
      <c r="O1211" s="15" t="s">
        <v>44</v>
      </c>
      <c r="P1211" s="15" t="s">
        <v>7681</v>
      </c>
      <c r="Q1211" s="15" t="s">
        <v>7682</v>
      </c>
      <c r="R1211" s="16">
        <v>44329</v>
      </c>
      <c r="S1211" s="17" t="s">
        <v>7628</v>
      </c>
      <c r="T1211" s="20">
        <f>HYPERLINK("https://vnm.spiral.com.vn//uploaded/20210513/beaacbd2-01b3-4722-9f18-6fdea78ba28d.JPEG","14:28:14")</f>
      </c>
      <c r="U1211" s="18"/>
      <c r="V1211" s="18" t="s">
        <v>35</v>
      </c>
      <c r="W1211" s="15" t="s">
        <v>7683</v>
      </c>
      <c r="X1211" s="15" t="s">
        <v>35</v>
      </c>
      <c r="Y1211" s="15" t="s">
        <v>35</v>
      </c>
      <c r="Z1211" s="19">
        <v>0</v>
      </c>
      <c r="AA1211" s="15">
        <v>0</v>
      </c>
      <c r="AB1211" s="15" t="s">
        <v>35</v>
      </c>
    </row>
    <row r="1212">
      <c r="A1212" s="15">
        <v>1208</v>
      </c>
      <c r="B1212" s="15" t="s">
        <v>33</v>
      </c>
      <c r="C1212" s="15" t="s">
        <v>951</v>
      </c>
      <c r="D1212" s="15" t="s">
        <v>35</v>
      </c>
      <c r="E1212" s="15" t="s">
        <v>35</v>
      </c>
      <c r="F1212" s="15" t="s">
        <v>35</v>
      </c>
      <c r="G1212" s="15" t="s">
        <v>36</v>
      </c>
      <c r="H1212" s="15" t="s">
        <v>7684</v>
      </c>
      <c r="I1212" s="15" t="s">
        <v>7685</v>
      </c>
      <c r="J1212" s="15" t="s">
        <v>7686</v>
      </c>
      <c r="K1212" s="15" t="s">
        <v>40</v>
      </c>
      <c r="L1212" s="15" t="s">
        <v>41</v>
      </c>
      <c r="M1212" s="15" t="s">
        <v>42</v>
      </c>
      <c r="N1212" s="15" t="s">
        <v>43</v>
      </c>
      <c r="O1212" s="15" t="s">
        <v>44</v>
      </c>
      <c r="P1212" s="15" t="s">
        <v>7687</v>
      </c>
      <c r="Q1212" s="15" t="s">
        <v>7688</v>
      </c>
      <c r="R1212" s="16">
        <v>44329</v>
      </c>
      <c r="S1212" s="17" t="s">
        <v>2703</v>
      </c>
      <c r="T1212" s="20">
        <f>HYPERLINK("https://vnm.spiral.com.vn//uploaded/20210513/7e07e4b6-3de0-4592-8336-987c678f0215.JPEG","14:27:58")</f>
      </c>
      <c r="U1212" s="18"/>
      <c r="V1212" s="18" t="s">
        <v>35</v>
      </c>
      <c r="W1212" s="15" t="s">
        <v>7689</v>
      </c>
      <c r="X1212" s="15" t="s">
        <v>35</v>
      </c>
      <c r="Y1212" s="15" t="s">
        <v>35</v>
      </c>
      <c r="Z1212" s="19">
        <v>0</v>
      </c>
      <c r="AA1212" s="15">
        <v>0</v>
      </c>
      <c r="AB1212" s="15" t="s">
        <v>35</v>
      </c>
    </row>
    <row r="1213">
      <c r="A1213" s="15">
        <v>1209</v>
      </c>
      <c r="B1213" s="15" t="s">
        <v>49</v>
      </c>
      <c r="C1213" s="15" t="s">
        <v>369</v>
      </c>
      <c r="D1213" s="15" t="s">
        <v>35</v>
      </c>
      <c r="E1213" s="15" t="s">
        <v>35</v>
      </c>
      <c r="F1213" s="15" t="s">
        <v>35</v>
      </c>
      <c r="G1213" s="15" t="s">
        <v>35</v>
      </c>
      <c r="H1213" s="15" t="s">
        <v>7690</v>
      </c>
      <c r="I1213" s="15" t="s">
        <v>7691</v>
      </c>
      <c r="J1213" s="15" t="s">
        <v>7692</v>
      </c>
      <c r="K1213" s="15" t="s">
        <v>40</v>
      </c>
      <c r="L1213" s="15" t="s">
        <v>41</v>
      </c>
      <c r="M1213" s="15" t="s">
        <v>55</v>
      </c>
      <c r="N1213" s="15" t="s">
        <v>56</v>
      </c>
      <c r="O1213" s="15" t="s">
        <v>44</v>
      </c>
      <c r="P1213" s="15" t="s">
        <v>7693</v>
      </c>
      <c r="Q1213" s="15" t="s">
        <v>2472</v>
      </c>
      <c r="R1213" s="16">
        <v>44329</v>
      </c>
      <c r="S1213" s="17" t="s">
        <v>2703</v>
      </c>
      <c r="T1213" s="20">
        <f>HYPERLINK("https://vnm.spiral.com.vn//uploaded/20210513/DCF0EFCB-0E70-4C2D-BFEE-37FB703A40A6.jpg","14:27:45")</f>
      </c>
      <c r="U1213" s="18"/>
      <c r="V1213" s="18" t="s">
        <v>35</v>
      </c>
      <c r="W1213" s="15" t="s">
        <v>7694</v>
      </c>
      <c r="X1213" s="15" t="s">
        <v>35</v>
      </c>
      <c r="Y1213" s="15" t="s">
        <v>35</v>
      </c>
      <c r="Z1213" s="19">
        <v>0</v>
      </c>
      <c r="AA1213" s="15">
        <v>0</v>
      </c>
      <c r="AB1213" s="15" t="s">
        <v>35</v>
      </c>
    </row>
    <row r="1214">
      <c r="A1214" s="15">
        <v>1210</v>
      </c>
      <c r="B1214" s="15" t="s">
        <v>33</v>
      </c>
      <c r="C1214" s="15" t="s">
        <v>765</v>
      </c>
      <c r="D1214" s="15" t="s">
        <v>35</v>
      </c>
      <c r="E1214" s="15" t="s">
        <v>35</v>
      </c>
      <c r="F1214" s="15" t="s">
        <v>35</v>
      </c>
      <c r="G1214" s="15" t="s">
        <v>36</v>
      </c>
      <c r="H1214" s="15" t="s">
        <v>7695</v>
      </c>
      <c r="I1214" s="15" t="s">
        <v>7696</v>
      </c>
      <c r="J1214" s="15" t="s">
        <v>7697</v>
      </c>
      <c r="K1214" s="15" t="s">
        <v>40</v>
      </c>
      <c r="L1214" s="15" t="s">
        <v>41</v>
      </c>
      <c r="M1214" s="15" t="s">
        <v>42</v>
      </c>
      <c r="N1214" s="15" t="s">
        <v>43</v>
      </c>
      <c r="O1214" s="15" t="s">
        <v>44</v>
      </c>
      <c r="P1214" s="15" t="s">
        <v>7698</v>
      </c>
      <c r="Q1214" s="15" t="s">
        <v>7699</v>
      </c>
      <c r="R1214" s="16">
        <v>44329</v>
      </c>
      <c r="S1214" s="17" t="s">
        <v>2703</v>
      </c>
      <c r="T1214" s="20">
        <f>HYPERLINK("https://vnm.spiral.com.vn//uploaded/20210513/ADB78A96-A222-46C5-B4C6-13CE05900501.jpg","14:27:39")</f>
      </c>
      <c r="U1214" s="18"/>
      <c r="V1214" s="18" t="s">
        <v>35</v>
      </c>
      <c r="W1214" s="15" t="s">
        <v>7700</v>
      </c>
      <c r="X1214" s="15" t="s">
        <v>35</v>
      </c>
      <c r="Y1214" s="15" t="s">
        <v>35</v>
      </c>
      <c r="Z1214" s="19">
        <v>0</v>
      </c>
      <c r="AA1214" s="15">
        <v>0</v>
      </c>
      <c r="AB1214" s="15" t="s">
        <v>35</v>
      </c>
    </row>
    <row r="1215">
      <c r="A1215" s="15">
        <v>1211</v>
      </c>
      <c r="B1215" s="15" t="s">
        <v>343</v>
      </c>
      <c r="C1215" s="15" t="s">
        <v>344</v>
      </c>
      <c r="D1215" s="15" t="s">
        <v>35</v>
      </c>
      <c r="E1215" s="15" t="s">
        <v>35</v>
      </c>
      <c r="F1215" s="15" t="s">
        <v>35</v>
      </c>
      <c r="G1215" s="15" t="s">
        <v>36</v>
      </c>
      <c r="H1215" s="15" t="s">
        <v>7701</v>
      </c>
      <c r="I1215" s="15" t="s">
        <v>7702</v>
      </c>
      <c r="J1215" s="15" t="s">
        <v>7703</v>
      </c>
      <c r="K1215" s="15" t="s">
        <v>40</v>
      </c>
      <c r="L1215" s="15" t="s">
        <v>41</v>
      </c>
      <c r="M1215" s="15" t="s">
        <v>409</v>
      </c>
      <c r="N1215" s="15" t="s">
        <v>410</v>
      </c>
      <c r="O1215" s="15" t="s">
        <v>44</v>
      </c>
      <c r="P1215" s="15" t="s">
        <v>7704</v>
      </c>
      <c r="Q1215" s="15" t="s">
        <v>7705</v>
      </c>
      <c r="R1215" s="16">
        <v>44329</v>
      </c>
      <c r="S1215" s="17" t="s">
        <v>2703</v>
      </c>
      <c r="T1215" s="20">
        <f>HYPERLINK("https://vnm.spiral.com.vn//uploaded/20210513/4499fe04-dd8d-474d-8708-bdba618be844.JPEG","14:27:35")</f>
      </c>
      <c r="U1215" s="18"/>
      <c r="V1215" s="18" t="s">
        <v>35</v>
      </c>
      <c r="W1215" s="15" t="s">
        <v>7706</v>
      </c>
      <c r="X1215" s="15" t="s">
        <v>35</v>
      </c>
      <c r="Y1215" s="15" t="s">
        <v>35</v>
      </c>
      <c r="Z1215" s="19">
        <v>0</v>
      </c>
      <c r="AA1215" s="15">
        <v>0</v>
      </c>
      <c r="AB1215" s="15" t="s">
        <v>35</v>
      </c>
    </row>
    <row r="1216">
      <c r="A1216" s="15">
        <v>1212</v>
      </c>
      <c r="B1216" s="15" t="s">
        <v>33</v>
      </c>
      <c r="C1216" s="15" t="s">
        <v>951</v>
      </c>
      <c r="D1216" s="15" t="s">
        <v>35</v>
      </c>
      <c r="E1216" s="15" t="s">
        <v>35</v>
      </c>
      <c r="F1216" s="15" t="s">
        <v>35</v>
      </c>
      <c r="G1216" s="15" t="s">
        <v>36</v>
      </c>
      <c r="H1216" s="15" t="s">
        <v>7707</v>
      </c>
      <c r="I1216" s="15" t="s">
        <v>7708</v>
      </c>
      <c r="J1216" s="15" t="s">
        <v>7709</v>
      </c>
      <c r="K1216" s="15" t="s">
        <v>40</v>
      </c>
      <c r="L1216" s="15" t="s">
        <v>41</v>
      </c>
      <c r="M1216" s="15" t="s">
        <v>42</v>
      </c>
      <c r="N1216" s="15" t="s">
        <v>43</v>
      </c>
      <c r="O1216" s="15" t="s">
        <v>44</v>
      </c>
      <c r="P1216" s="15" t="s">
        <v>7710</v>
      </c>
      <c r="Q1216" s="15" t="s">
        <v>7711</v>
      </c>
      <c r="R1216" s="16">
        <v>44329</v>
      </c>
      <c r="S1216" s="17" t="s">
        <v>2703</v>
      </c>
      <c r="T1216" s="20">
        <f>HYPERLINK("https://vnm.spiral.com.vn//uploaded/20210513/752d7a1f-f349-4f22-830e-8f5133cd0ed6.JPEG","14:27:33")</f>
      </c>
      <c r="U1216" s="18"/>
      <c r="V1216" s="18" t="s">
        <v>35</v>
      </c>
      <c r="W1216" s="15" t="s">
        <v>7712</v>
      </c>
      <c r="X1216" s="15" t="s">
        <v>35</v>
      </c>
      <c r="Y1216" s="15" t="s">
        <v>35</v>
      </c>
      <c r="Z1216" s="19">
        <v>0</v>
      </c>
      <c r="AA1216" s="15">
        <v>0</v>
      </c>
      <c r="AB1216" s="15" t="s">
        <v>35</v>
      </c>
    </row>
    <row r="1217">
      <c r="A1217" s="15">
        <v>1213</v>
      </c>
      <c r="B1217" s="15" t="s">
        <v>246</v>
      </c>
      <c r="C1217" s="15" t="s">
        <v>276</v>
      </c>
      <c r="D1217" s="15" t="s">
        <v>35</v>
      </c>
      <c r="E1217" s="15" t="s">
        <v>35</v>
      </c>
      <c r="F1217" s="15" t="s">
        <v>7713</v>
      </c>
      <c r="G1217" s="15" t="s">
        <v>36</v>
      </c>
      <c r="H1217" s="15" t="s">
        <v>7714</v>
      </c>
      <c r="I1217" s="15" t="s">
        <v>7715</v>
      </c>
      <c r="J1217" s="15" t="s">
        <v>7716</v>
      </c>
      <c r="K1217" s="15" t="s">
        <v>40</v>
      </c>
      <c r="L1217" s="15" t="s">
        <v>41</v>
      </c>
      <c r="M1217" s="15" t="s">
        <v>252</v>
      </c>
      <c r="N1217" s="15" t="s">
        <v>253</v>
      </c>
      <c r="O1217" s="15" t="s">
        <v>44</v>
      </c>
      <c r="P1217" s="15" t="s">
        <v>7717</v>
      </c>
      <c r="Q1217" s="15" t="s">
        <v>7718</v>
      </c>
      <c r="R1217" s="16">
        <v>44329</v>
      </c>
      <c r="S1217" s="17" t="s">
        <v>2703</v>
      </c>
      <c r="T1217" s="20">
        <f>HYPERLINK("https://vnm.spiral.com.vn//uploaded/20210513/224ae304-909e-4a5f-92bc-215c358b4303.JPEG","14:27:30")</f>
      </c>
      <c r="U1217" s="18"/>
      <c r="V1217" s="18" t="s">
        <v>35</v>
      </c>
      <c r="W1217" s="15" t="s">
        <v>7719</v>
      </c>
      <c r="X1217" s="15" t="s">
        <v>35</v>
      </c>
      <c r="Y1217" s="15" t="s">
        <v>35</v>
      </c>
      <c r="Z1217" s="19">
        <v>0</v>
      </c>
      <c r="AA1217" s="15">
        <v>0</v>
      </c>
      <c r="AB1217" s="15" t="s">
        <v>35</v>
      </c>
    </row>
    <row r="1218">
      <c r="A1218" s="15">
        <v>1214</v>
      </c>
      <c r="B1218" s="15" t="s">
        <v>87</v>
      </c>
      <c r="C1218" s="15" t="s">
        <v>88</v>
      </c>
      <c r="D1218" s="15" t="s">
        <v>35</v>
      </c>
      <c r="E1218" s="15" t="s">
        <v>35</v>
      </c>
      <c r="F1218" s="15" t="s">
        <v>35</v>
      </c>
      <c r="G1218" s="15" t="s">
        <v>74</v>
      </c>
      <c r="H1218" s="15" t="s">
        <v>7720</v>
      </c>
      <c r="I1218" s="15" t="s">
        <v>7721</v>
      </c>
      <c r="J1218" s="15" t="s">
        <v>7722</v>
      </c>
      <c r="K1218" s="15" t="s">
        <v>888</v>
      </c>
      <c r="L1218" s="15" t="s">
        <v>889</v>
      </c>
      <c r="M1218" s="15" t="s">
        <v>924</v>
      </c>
      <c r="N1218" s="15" t="s">
        <v>925</v>
      </c>
      <c r="O1218" s="15" t="s">
        <v>82</v>
      </c>
      <c r="P1218" s="15" t="s">
        <v>1460</v>
      </c>
      <c r="Q1218" s="15" t="s">
        <v>1461</v>
      </c>
      <c r="R1218" s="16">
        <v>44329</v>
      </c>
      <c r="S1218" s="17" t="s">
        <v>70</v>
      </c>
      <c r="T1218" s="20">
        <f>HYPERLINK("https://vnm.spiral.com.vn//uploaded/20210513/957850CE-35FF-4364-9991-46C0F949298E.jpg","14:05:51")</f>
      </c>
      <c r="U1218" s="20">
        <f>HYPERLINK("https://vnm.spiral.com.vn//uploaded/20210513/602B9C26-FAD5-4AAB-A682-759B155EADA6.jpg","14:27:30")</f>
      </c>
      <c r="V1218" s="18">
        <v>0.015034722222222222</v>
      </c>
      <c r="W1218" s="15" t="s">
        <v>7723</v>
      </c>
      <c r="X1218" s="15" t="s">
        <v>7724</v>
      </c>
      <c r="Y1218" s="15" t="s">
        <v>35</v>
      </c>
      <c r="Z1218" s="19">
        <v>0</v>
      </c>
      <c r="AA1218" s="15">
        <v>0</v>
      </c>
      <c r="AB1218" s="15" t="s">
        <v>35</v>
      </c>
    </row>
    <row r="1219">
      <c r="A1219" s="15">
        <v>1215</v>
      </c>
      <c r="B1219" s="15" t="s">
        <v>246</v>
      </c>
      <c r="C1219" s="15" t="s">
        <v>276</v>
      </c>
      <c r="D1219" s="15" t="s">
        <v>35</v>
      </c>
      <c r="E1219" s="15" t="s">
        <v>35</v>
      </c>
      <c r="F1219" s="15" t="s">
        <v>6817</v>
      </c>
      <c r="G1219" s="15" t="s">
        <v>36</v>
      </c>
      <c r="H1219" s="15" t="s">
        <v>7725</v>
      </c>
      <c r="I1219" s="15" t="s">
        <v>3181</v>
      </c>
      <c r="J1219" s="15" t="s">
        <v>7726</v>
      </c>
      <c r="K1219" s="15" t="s">
        <v>40</v>
      </c>
      <c r="L1219" s="15" t="s">
        <v>41</v>
      </c>
      <c r="M1219" s="15" t="s">
        <v>252</v>
      </c>
      <c r="N1219" s="15" t="s">
        <v>253</v>
      </c>
      <c r="O1219" s="15" t="s">
        <v>44</v>
      </c>
      <c r="P1219" s="15" t="s">
        <v>7727</v>
      </c>
      <c r="Q1219" s="15" t="s">
        <v>7728</v>
      </c>
      <c r="R1219" s="16">
        <v>44329</v>
      </c>
      <c r="S1219" s="17" t="s">
        <v>2703</v>
      </c>
      <c r="T1219" s="20">
        <f>HYPERLINK("https://vnm.spiral.com.vn//uploaded/20210513/a232b7ec-8f03-453b-a7fb-c49e6304cf4a.JPEG","14:27:06")</f>
      </c>
      <c r="U1219" s="18"/>
      <c r="V1219" s="18" t="s">
        <v>35</v>
      </c>
      <c r="W1219" s="15" t="s">
        <v>7729</v>
      </c>
      <c r="X1219" s="15" t="s">
        <v>35</v>
      </c>
      <c r="Y1219" s="15" t="s">
        <v>35</v>
      </c>
      <c r="Z1219" s="19">
        <v>0</v>
      </c>
      <c r="AA1219" s="15">
        <v>0</v>
      </c>
      <c r="AB1219" s="15" t="s">
        <v>35</v>
      </c>
    </row>
    <row r="1220">
      <c r="A1220" s="15">
        <v>1216</v>
      </c>
      <c r="B1220" s="15" t="s">
        <v>49</v>
      </c>
      <c r="C1220" s="15" t="s">
        <v>468</v>
      </c>
      <c r="D1220" s="15" t="s">
        <v>35</v>
      </c>
      <c r="E1220" s="15" t="s">
        <v>35</v>
      </c>
      <c r="F1220" s="15" t="s">
        <v>2857</v>
      </c>
      <c r="G1220" s="15" t="s">
        <v>36</v>
      </c>
      <c r="H1220" s="15" t="s">
        <v>7730</v>
      </c>
      <c r="I1220" s="15" t="s">
        <v>7731</v>
      </c>
      <c r="J1220" s="15" t="s">
        <v>7732</v>
      </c>
      <c r="K1220" s="15" t="s">
        <v>40</v>
      </c>
      <c r="L1220" s="15" t="s">
        <v>41</v>
      </c>
      <c r="M1220" s="15" t="s">
        <v>55</v>
      </c>
      <c r="N1220" s="15" t="s">
        <v>56</v>
      </c>
      <c r="O1220" s="15" t="s">
        <v>44</v>
      </c>
      <c r="P1220" s="15" t="s">
        <v>7733</v>
      </c>
      <c r="Q1220" s="15" t="s">
        <v>7734</v>
      </c>
      <c r="R1220" s="16">
        <v>44329</v>
      </c>
      <c r="S1220" s="17" t="s">
        <v>2703</v>
      </c>
      <c r="T1220" s="20">
        <f>HYPERLINK("https://vnm.spiral.com.vn//uploaded/20210513/CE9AF442-65A3-478C-8EB6-14119643BF07.jpg","14:26:57")</f>
      </c>
      <c r="U1220" s="18"/>
      <c r="V1220" s="18" t="s">
        <v>35</v>
      </c>
      <c r="W1220" s="15" t="s">
        <v>7735</v>
      </c>
      <c r="X1220" s="15" t="s">
        <v>35</v>
      </c>
      <c r="Y1220" s="15" t="s">
        <v>35</v>
      </c>
      <c r="Z1220" s="19">
        <v>0</v>
      </c>
      <c r="AA1220" s="15">
        <v>0</v>
      </c>
      <c r="AB1220" s="15" t="s">
        <v>35</v>
      </c>
    </row>
    <row r="1221">
      <c r="A1221" s="15">
        <v>1217</v>
      </c>
      <c r="B1221" s="15" t="s">
        <v>49</v>
      </c>
      <c r="C1221" s="15" t="s">
        <v>162</v>
      </c>
      <c r="D1221" s="15" t="s">
        <v>35</v>
      </c>
      <c r="E1221" s="15" t="s">
        <v>35</v>
      </c>
      <c r="F1221" s="15" t="s">
        <v>3675</v>
      </c>
      <c r="G1221" s="15" t="s">
        <v>36</v>
      </c>
      <c r="H1221" s="15" t="s">
        <v>7736</v>
      </c>
      <c r="I1221" s="15" t="s">
        <v>7737</v>
      </c>
      <c r="J1221" s="15" t="s">
        <v>7738</v>
      </c>
      <c r="K1221" s="15" t="s">
        <v>40</v>
      </c>
      <c r="L1221" s="15" t="s">
        <v>41</v>
      </c>
      <c r="M1221" s="15" t="s">
        <v>55</v>
      </c>
      <c r="N1221" s="15" t="s">
        <v>56</v>
      </c>
      <c r="O1221" s="15" t="s">
        <v>44</v>
      </c>
      <c r="P1221" s="15" t="s">
        <v>7739</v>
      </c>
      <c r="Q1221" s="15" t="s">
        <v>7740</v>
      </c>
      <c r="R1221" s="16">
        <v>44329</v>
      </c>
      <c r="S1221" s="17" t="s">
        <v>569</v>
      </c>
      <c r="T1221" s="20">
        <f>HYPERLINK("https://vnm.spiral.com.vn//uploaded/20210513/D7418089-98EF-4CB3-AA1C-304934F39692.jpg","14:26:24")</f>
      </c>
      <c r="U1221" s="18"/>
      <c r="V1221" s="18" t="s">
        <v>35</v>
      </c>
      <c r="W1221" s="15" t="s">
        <v>7741</v>
      </c>
      <c r="X1221" s="15" t="s">
        <v>35</v>
      </c>
      <c r="Y1221" s="15" t="s">
        <v>35</v>
      </c>
      <c r="Z1221" s="19">
        <v>0</v>
      </c>
      <c r="AA1221" s="15">
        <v>0</v>
      </c>
      <c r="AB1221" s="15" t="s">
        <v>35</v>
      </c>
    </row>
    <row r="1222">
      <c r="A1222" s="15">
        <v>1218</v>
      </c>
      <c r="B1222" s="15" t="s">
        <v>343</v>
      </c>
      <c r="C1222" s="15" t="s">
        <v>2069</v>
      </c>
      <c r="D1222" s="15" t="s">
        <v>35</v>
      </c>
      <c r="E1222" s="15" t="s">
        <v>35</v>
      </c>
      <c r="F1222" s="15" t="s">
        <v>35</v>
      </c>
      <c r="G1222" s="15" t="s">
        <v>36</v>
      </c>
      <c r="H1222" s="15" t="s">
        <v>7742</v>
      </c>
      <c r="I1222" s="15" t="s">
        <v>7743</v>
      </c>
      <c r="J1222" s="15" t="s">
        <v>7744</v>
      </c>
      <c r="K1222" s="15" t="s">
        <v>40</v>
      </c>
      <c r="L1222" s="15" t="s">
        <v>41</v>
      </c>
      <c r="M1222" s="15" t="s">
        <v>595</v>
      </c>
      <c r="N1222" s="15" t="s">
        <v>596</v>
      </c>
      <c r="O1222" s="15" t="s">
        <v>44</v>
      </c>
      <c r="P1222" s="15" t="s">
        <v>7745</v>
      </c>
      <c r="Q1222" s="15" t="s">
        <v>140</v>
      </c>
      <c r="R1222" s="16">
        <v>44329</v>
      </c>
      <c r="S1222" s="17" t="s">
        <v>2703</v>
      </c>
      <c r="T1222" s="20">
        <f>HYPERLINK("https://vnm.spiral.com.vn//uploaded/20210513/59B4D8A9-A175-4193-A7A8-6C6EE2993BAE.jpg","14:26:09")</f>
      </c>
      <c r="U1222" s="18"/>
      <c r="V1222" s="18" t="s">
        <v>35</v>
      </c>
      <c r="W1222" s="15" t="s">
        <v>7746</v>
      </c>
      <c r="X1222" s="15" t="s">
        <v>35</v>
      </c>
      <c r="Y1222" s="15" t="s">
        <v>35</v>
      </c>
      <c r="Z1222" s="19">
        <v>0</v>
      </c>
      <c r="AA1222" s="15">
        <v>0</v>
      </c>
      <c r="AB1222" s="15" t="s">
        <v>35</v>
      </c>
    </row>
    <row r="1223">
      <c r="A1223" s="15">
        <v>1219</v>
      </c>
      <c r="B1223" s="15" t="s">
        <v>343</v>
      </c>
      <c r="C1223" s="15" t="s">
        <v>344</v>
      </c>
      <c r="D1223" s="15" t="s">
        <v>35</v>
      </c>
      <c r="E1223" s="15" t="s">
        <v>35</v>
      </c>
      <c r="F1223" s="15" t="s">
        <v>35</v>
      </c>
      <c r="G1223" s="15" t="s">
        <v>36</v>
      </c>
      <c r="H1223" s="15" t="s">
        <v>7747</v>
      </c>
      <c r="I1223" s="15" t="s">
        <v>7748</v>
      </c>
      <c r="J1223" s="15" t="s">
        <v>7749</v>
      </c>
      <c r="K1223" s="15" t="s">
        <v>40</v>
      </c>
      <c r="L1223" s="15" t="s">
        <v>41</v>
      </c>
      <c r="M1223" s="15" t="s">
        <v>595</v>
      </c>
      <c r="N1223" s="15" t="s">
        <v>596</v>
      </c>
      <c r="O1223" s="15" t="s">
        <v>44</v>
      </c>
      <c r="P1223" s="15" t="s">
        <v>7750</v>
      </c>
      <c r="Q1223" s="15" t="s">
        <v>7751</v>
      </c>
      <c r="R1223" s="16">
        <v>44329</v>
      </c>
      <c r="S1223" s="17" t="s">
        <v>686</v>
      </c>
      <c r="T1223" s="20">
        <f>HYPERLINK("https://vnm.spiral.com.vn//uploaded/20210513/E3F56374-DECC-4A36-8F47-258C6E2ABC5F.jpg","14:25:46")</f>
      </c>
      <c r="U1223" s="18"/>
      <c r="V1223" s="18" t="s">
        <v>35</v>
      </c>
      <c r="W1223" s="15" t="s">
        <v>7752</v>
      </c>
      <c r="X1223" s="15" t="s">
        <v>35</v>
      </c>
      <c r="Y1223" s="15" t="s">
        <v>35</v>
      </c>
      <c r="Z1223" s="19">
        <v>0</v>
      </c>
      <c r="AA1223" s="15">
        <v>0</v>
      </c>
      <c r="AB1223" s="15" t="s">
        <v>35</v>
      </c>
    </row>
    <row r="1224">
      <c r="A1224" s="15">
        <v>1220</v>
      </c>
      <c r="B1224" s="15" t="s">
        <v>33</v>
      </c>
      <c r="C1224" s="15" t="s">
        <v>492</v>
      </c>
      <c r="D1224" s="15" t="s">
        <v>35</v>
      </c>
      <c r="E1224" s="15" t="s">
        <v>35</v>
      </c>
      <c r="F1224" s="15" t="s">
        <v>35</v>
      </c>
      <c r="G1224" s="15" t="s">
        <v>36</v>
      </c>
      <c r="H1224" s="15" t="s">
        <v>7753</v>
      </c>
      <c r="I1224" s="15" t="s">
        <v>7754</v>
      </c>
      <c r="J1224" s="15" t="s">
        <v>7755</v>
      </c>
      <c r="K1224" s="15" t="s">
        <v>40</v>
      </c>
      <c r="L1224" s="15" t="s">
        <v>41</v>
      </c>
      <c r="M1224" s="15" t="s">
        <v>42</v>
      </c>
      <c r="N1224" s="15" t="s">
        <v>43</v>
      </c>
      <c r="O1224" s="15" t="s">
        <v>44</v>
      </c>
      <c r="P1224" s="15" t="s">
        <v>7756</v>
      </c>
      <c r="Q1224" s="15" t="s">
        <v>7757</v>
      </c>
      <c r="R1224" s="16">
        <v>44329</v>
      </c>
      <c r="S1224" s="17" t="s">
        <v>569</v>
      </c>
      <c r="T1224" s="20">
        <f>HYPERLINK("https://vnm.spiral.com.vn//uploaded/20210513/04B22D20-5F84-40F8-A77B-9E6C3CCC26BB.jpg","14:25:30")</f>
      </c>
      <c r="U1224" s="18"/>
      <c r="V1224" s="18" t="s">
        <v>35</v>
      </c>
      <c r="W1224" s="15" t="s">
        <v>7758</v>
      </c>
      <c r="X1224" s="15" t="s">
        <v>35</v>
      </c>
      <c r="Y1224" s="15" t="s">
        <v>35</v>
      </c>
      <c r="Z1224" s="19">
        <v>0</v>
      </c>
      <c r="AA1224" s="15">
        <v>0</v>
      </c>
      <c r="AB1224" s="15" t="s">
        <v>35</v>
      </c>
    </row>
    <row r="1225">
      <c r="A1225" s="15">
        <v>1221</v>
      </c>
      <c r="B1225" s="15" t="s">
        <v>61</v>
      </c>
      <c r="C1225" s="15" t="s">
        <v>320</v>
      </c>
      <c r="D1225" s="15" t="s">
        <v>432</v>
      </c>
      <c r="E1225" s="15" t="s">
        <v>116</v>
      </c>
      <c r="F1225" s="15" t="s">
        <v>35</v>
      </c>
      <c r="G1225" s="15" t="s">
        <v>74</v>
      </c>
      <c r="H1225" s="15" t="s">
        <v>7759</v>
      </c>
      <c r="I1225" s="15" t="s">
        <v>7760</v>
      </c>
      <c r="J1225" s="15" t="s">
        <v>7761</v>
      </c>
      <c r="K1225" s="15" t="s">
        <v>154</v>
      </c>
      <c r="L1225" s="15" t="s">
        <v>155</v>
      </c>
      <c r="M1225" s="15" t="s">
        <v>2458</v>
      </c>
      <c r="N1225" s="15" t="s">
        <v>2459</v>
      </c>
      <c r="O1225" s="15" t="s">
        <v>156</v>
      </c>
      <c r="P1225" s="15" t="s">
        <v>2803</v>
      </c>
      <c r="Q1225" s="15" t="s">
        <v>2804</v>
      </c>
      <c r="R1225" s="16">
        <v>44329</v>
      </c>
      <c r="S1225" s="17" t="s">
        <v>70</v>
      </c>
      <c r="T1225" s="20">
        <f>HYPERLINK("https://vnm.spiral.com.vn//uploaded/20210513/c8f7ee9e-7894-4265-b457-e8bdc10ac9fa.JPEG","13:55:17")</f>
      </c>
      <c r="U1225" s="20">
        <f>HYPERLINK("https://vnm.spiral.com.vn//uploaded/20210513/8931c79b-f1fc-4676-93c0-d790e2443ca5.JPEG","14:25:17")</f>
      </c>
      <c r="V1225" s="18">
        <v>0.020833333333333332</v>
      </c>
      <c r="W1225" s="15" t="s">
        <v>7762</v>
      </c>
      <c r="X1225" s="15" t="s">
        <v>7763</v>
      </c>
      <c r="Y1225" s="15" t="s">
        <v>35</v>
      </c>
      <c r="Z1225" s="19">
        <v>0</v>
      </c>
      <c r="AA1225" s="15">
        <v>0</v>
      </c>
      <c r="AB1225" s="15" t="s">
        <v>35</v>
      </c>
    </row>
    <row r="1226">
      <c r="A1226" s="15">
        <v>1222</v>
      </c>
      <c r="B1226" s="15" t="s">
        <v>33</v>
      </c>
      <c r="C1226" s="15" t="s">
        <v>34</v>
      </c>
      <c r="D1226" s="15" t="s">
        <v>35</v>
      </c>
      <c r="E1226" s="15" t="s">
        <v>35</v>
      </c>
      <c r="F1226" s="15" t="s">
        <v>35</v>
      </c>
      <c r="G1226" s="15" t="s">
        <v>36</v>
      </c>
      <c r="H1226" s="15" t="s">
        <v>7764</v>
      </c>
      <c r="I1226" s="15" t="s">
        <v>7765</v>
      </c>
      <c r="J1226" s="15" t="s">
        <v>7766</v>
      </c>
      <c r="K1226" s="15" t="s">
        <v>40</v>
      </c>
      <c r="L1226" s="15" t="s">
        <v>41</v>
      </c>
      <c r="M1226" s="15" t="s">
        <v>42</v>
      </c>
      <c r="N1226" s="15" t="s">
        <v>43</v>
      </c>
      <c r="O1226" s="15" t="s">
        <v>44</v>
      </c>
      <c r="P1226" s="15" t="s">
        <v>7767</v>
      </c>
      <c r="Q1226" s="15" t="s">
        <v>3498</v>
      </c>
      <c r="R1226" s="16">
        <v>44329</v>
      </c>
      <c r="S1226" s="17" t="s">
        <v>2703</v>
      </c>
      <c r="T1226" s="20">
        <f>HYPERLINK("https://vnm.spiral.com.vn//uploaded/20210513/3c745209-11db-430a-9f5a-da963affdeb5.JPEG","14:24:45")</f>
      </c>
      <c r="U1226" s="18"/>
      <c r="V1226" s="18" t="s">
        <v>35</v>
      </c>
      <c r="W1226" s="15" t="s">
        <v>7768</v>
      </c>
      <c r="X1226" s="15" t="s">
        <v>35</v>
      </c>
      <c r="Y1226" s="15" t="s">
        <v>35</v>
      </c>
      <c r="Z1226" s="19">
        <v>0</v>
      </c>
      <c r="AA1226" s="15">
        <v>0</v>
      </c>
      <c r="AB1226" s="15" t="s">
        <v>35</v>
      </c>
    </row>
    <row r="1227">
      <c r="A1227" s="15">
        <v>1223</v>
      </c>
      <c r="B1227" s="15" t="s">
        <v>103</v>
      </c>
      <c r="C1227" s="15" t="s">
        <v>186</v>
      </c>
      <c r="D1227" s="15" t="s">
        <v>35</v>
      </c>
      <c r="E1227" s="15" t="s">
        <v>35</v>
      </c>
      <c r="F1227" s="15" t="s">
        <v>35</v>
      </c>
      <c r="G1227" s="15" t="s">
        <v>36</v>
      </c>
      <c r="H1227" s="15" t="s">
        <v>7769</v>
      </c>
      <c r="I1227" s="15" t="s">
        <v>7770</v>
      </c>
      <c r="J1227" s="15" t="s">
        <v>7771</v>
      </c>
      <c r="K1227" s="15" t="s">
        <v>40</v>
      </c>
      <c r="L1227" s="15" t="s">
        <v>41</v>
      </c>
      <c r="M1227" s="15" t="s">
        <v>565</v>
      </c>
      <c r="N1227" s="15" t="s">
        <v>566</v>
      </c>
      <c r="O1227" s="15" t="s">
        <v>44</v>
      </c>
      <c r="P1227" s="15" t="s">
        <v>7772</v>
      </c>
      <c r="Q1227" s="15" t="s">
        <v>7773</v>
      </c>
      <c r="R1227" s="16">
        <v>44329</v>
      </c>
      <c r="S1227" s="17" t="s">
        <v>569</v>
      </c>
      <c r="T1227" s="20">
        <f>HYPERLINK("https://vnm.spiral.com.vn//uploaded/20210513/B4F40CEE-EDFC-4F3C-BE05-96C68AC7C162.jpg","14:24:41")</f>
      </c>
      <c r="U1227" s="18"/>
      <c r="V1227" s="18" t="s">
        <v>35</v>
      </c>
      <c r="W1227" s="15" t="s">
        <v>7774</v>
      </c>
      <c r="X1227" s="15" t="s">
        <v>35</v>
      </c>
      <c r="Y1227" s="15" t="s">
        <v>35</v>
      </c>
      <c r="Z1227" s="19">
        <v>0</v>
      </c>
      <c r="AA1227" s="15">
        <v>0</v>
      </c>
      <c r="AB1227" s="15" t="s">
        <v>35</v>
      </c>
    </row>
    <row r="1228">
      <c r="A1228" s="15">
        <v>1224</v>
      </c>
      <c r="B1228" s="15" t="s">
        <v>343</v>
      </c>
      <c r="C1228" s="15" t="s">
        <v>344</v>
      </c>
      <c r="D1228" s="15" t="s">
        <v>35</v>
      </c>
      <c r="E1228" s="15" t="s">
        <v>35</v>
      </c>
      <c r="F1228" s="15" t="s">
        <v>35</v>
      </c>
      <c r="G1228" s="15" t="s">
        <v>74</v>
      </c>
      <c r="H1228" s="15" t="s">
        <v>7775</v>
      </c>
      <c r="I1228" s="15" t="s">
        <v>7776</v>
      </c>
      <c r="J1228" s="15" t="s">
        <v>7777</v>
      </c>
      <c r="K1228" s="15" t="s">
        <v>584</v>
      </c>
      <c r="L1228" s="15" t="s">
        <v>585</v>
      </c>
      <c r="M1228" s="15" t="s">
        <v>827</v>
      </c>
      <c r="N1228" s="15" t="s">
        <v>828</v>
      </c>
      <c r="O1228" s="15" t="s">
        <v>82</v>
      </c>
      <c r="P1228" s="15" t="s">
        <v>7778</v>
      </c>
      <c r="Q1228" s="15" t="s">
        <v>7779</v>
      </c>
      <c r="R1228" s="16">
        <v>44329</v>
      </c>
      <c r="S1228" s="17" t="s">
        <v>70</v>
      </c>
      <c r="T1228" s="20">
        <f>HYPERLINK("https://vnm.spiral.com.vn//uploaded/20210513/f509ea29-0704-4a77-8721-b38a461a293f.JPEG","14:24:39")</f>
      </c>
      <c r="U1228" s="18"/>
      <c r="V1228" s="18" t="s">
        <v>35</v>
      </c>
      <c r="W1228" s="15" t="s">
        <v>7780</v>
      </c>
      <c r="X1228" s="15" t="s">
        <v>35</v>
      </c>
      <c r="Y1228" s="15" t="s">
        <v>35</v>
      </c>
      <c r="Z1228" s="19">
        <v>0</v>
      </c>
      <c r="AA1228" s="15">
        <v>0</v>
      </c>
      <c r="AB1228" s="15" t="s">
        <v>35</v>
      </c>
    </row>
    <row r="1229">
      <c r="A1229" s="15">
        <v>1225</v>
      </c>
      <c r="B1229" s="15" t="s">
        <v>103</v>
      </c>
      <c r="C1229" s="15" t="s">
        <v>104</v>
      </c>
      <c r="D1229" s="15" t="s">
        <v>35</v>
      </c>
      <c r="E1229" s="15" t="s">
        <v>35</v>
      </c>
      <c r="F1229" s="15" t="s">
        <v>7781</v>
      </c>
      <c r="G1229" s="15" t="s">
        <v>36</v>
      </c>
      <c r="H1229" s="15" t="s">
        <v>7782</v>
      </c>
      <c r="I1229" s="15" t="s">
        <v>7783</v>
      </c>
      <c r="J1229" s="15" t="s">
        <v>7784</v>
      </c>
      <c r="K1229" s="15" t="s">
        <v>40</v>
      </c>
      <c r="L1229" s="15" t="s">
        <v>41</v>
      </c>
      <c r="M1229" s="15" t="s">
        <v>108</v>
      </c>
      <c r="N1229" s="15" t="s">
        <v>109</v>
      </c>
      <c r="O1229" s="15" t="s">
        <v>44</v>
      </c>
      <c r="P1229" s="15" t="s">
        <v>7785</v>
      </c>
      <c r="Q1229" s="15" t="s">
        <v>7786</v>
      </c>
      <c r="R1229" s="16">
        <v>44329</v>
      </c>
      <c r="S1229" s="17" t="s">
        <v>7628</v>
      </c>
      <c r="T1229" s="20">
        <f>HYPERLINK("https://vnm.spiral.com.vn//uploaded/20210513/b7c380a6-0676-441f-8b0c-24521e39f13b.JPEG","14:24:33")</f>
      </c>
      <c r="U1229" s="18"/>
      <c r="V1229" s="18" t="s">
        <v>35</v>
      </c>
      <c r="W1229" s="15" t="s">
        <v>7787</v>
      </c>
      <c r="X1229" s="15" t="s">
        <v>35</v>
      </c>
      <c r="Y1229" s="15" t="s">
        <v>35</v>
      </c>
      <c r="Z1229" s="19">
        <v>0</v>
      </c>
      <c r="AA1229" s="15">
        <v>0</v>
      </c>
      <c r="AB1229" s="15" t="s">
        <v>35</v>
      </c>
    </row>
    <row r="1230">
      <c r="A1230" s="15">
        <v>1226</v>
      </c>
      <c r="B1230" s="15" t="s">
        <v>343</v>
      </c>
      <c r="C1230" s="15" t="s">
        <v>344</v>
      </c>
      <c r="D1230" s="15" t="s">
        <v>35</v>
      </c>
      <c r="E1230" s="15" t="s">
        <v>35</v>
      </c>
      <c r="F1230" s="15" t="s">
        <v>35</v>
      </c>
      <c r="G1230" s="15" t="s">
        <v>36</v>
      </c>
      <c r="H1230" s="15" t="s">
        <v>7788</v>
      </c>
      <c r="I1230" s="15" t="s">
        <v>7789</v>
      </c>
      <c r="J1230" s="15" t="s">
        <v>7790</v>
      </c>
      <c r="K1230" s="15" t="s">
        <v>40</v>
      </c>
      <c r="L1230" s="15" t="s">
        <v>41</v>
      </c>
      <c r="M1230" s="15" t="s">
        <v>409</v>
      </c>
      <c r="N1230" s="15" t="s">
        <v>410</v>
      </c>
      <c r="O1230" s="15" t="s">
        <v>44</v>
      </c>
      <c r="P1230" s="15" t="s">
        <v>7791</v>
      </c>
      <c r="Q1230" s="15" t="s">
        <v>7792</v>
      </c>
      <c r="R1230" s="16">
        <v>44329</v>
      </c>
      <c r="S1230" s="17" t="s">
        <v>2703</v>
      </c>
      <c r="T1230" s="20">
        <f>HYPERLINK("https://vnm.spiral.com.vn//uploaded/20210513/902DFB54-CB63-4836-BBE7-C6401A23C819.jpg","14:24:32")</f>
      </c>
      <c r="U1230" s="18"/>
      <c r="V1230" s="18" t="s">
        <v>35</v>
      </c>
      <c r="W1230" s="15" t="s">
        <v>7793</v>
      </c>
      <c r="X1230" s="15" t="s">
        <v>35</v>
      </c>
      <c r="Y1230" s="15" t="s">
        <v>35</v>
      </c>
      <c r="Z1230" s="19">
        <v>0</v>
      </c>
      <c r="AA1230" s="15">
        <v>0</v>
      </c>
      <c r="AB1230" s="15" t="s">
        <v>35</v>
      </c>
    </row>
    <row r="1231">
      <c r="A1231" s="15">
        <v>1227</v>
      </c>
      <c r="B1231" s="15" t="s">
        <v>49</v>
      </c>
      <c r="C1231" s="15" t="s">
        <v>369</v>
      </c>
      <c r="D1231" s="15" t="s">
        <v>35</v>
      </c>
      <c r="E1231" s="15" t="s">
        <v>35</v>
      </c>
      <c r="F1231" s="15" t="s">
        <v>370</v>
      </c>
      <c r="G1231" s="15" t="s">
        <v>36</v>
      </c>
      <c r="H1231" s="15" t="s">
        <v>7794</v>
      </c>
      <c r="I1231" s="15" t="s">
        <v>7795</v>
      </c>
      <c r="J1231" s="15" t="s">
        <v>7796</v>
      </c>
      <c r="K1231" s="15" t="s">
        <v>40</v>
      </c>
      <c r="L1231" s="15" t="s">
        <v>41</v>
      </c>
      <c r="M1231" s="15" t="s">
        <v>55</v>
      </c>
      <c r="N1231" s="15" t="s">
        <v>56</v>
      </c>
      <c r="O1231" s="15" t="s">
        <v>44</v>
      </c>
      <c r="P1231" s="15" t="s">
        <v>7797</v>
      </c>
      <c r="Q1231" s="15" t="s">
        <v>7798</v>
      </c>
      <c r="R1231" s="16">
        <v>44329</v>
      </c>
      <c r="S1231" s="17" t="s">
        <v>2703</v>
      </c>
      <c r="T1231" s="20">
        <f>HYPERLINK("https://vnm.spiral.com.vn//uploaded/20210513/c570fe44-f02e-42da-94fb-e576c9ceff79.JPEG","14:24:23")</f>
      </c>
      <c r="U1231" s="18"/>
      <c r="V1231" s="18" t="s">
        <v>35</v>
      </c>
      <c r="W1231" s="15" t="s">
        <v>7799</v>
      </c>
      <c r="X1231" s="15" t="s">
        <v>35</v>
      </c>
      <c r="Y1231" s="15" t="s">
        <v>35</v>
      </c>
      <c r="Z1231" s="19">
        <v>0</v>
      </c>
      <c r="AA1231" s="15">
        <v>0</v>
      </c>
      <c r="AB1231" s="15" t="s">
        <v>35</v>
      </c>
    </row>
    <row r="1232">
      <c r="A1232" s="15">
        <v>1228</v>
      </c>
      <c r="B1232" s="15" t="s">
        <v>49</v>
      </c>
      <c r="C1232" s="15" t="s">
        <v>162</v>
      </c>
      <c r="D1232" s="15" t="s">
        <v>35</v>
      </c>
      <c r="E1232" s="15" t="s">
        <v>35</v>
      </c>
      <c r="F1232" s="15" t="s">
        <v>35</v>
      </c>
      <c r="G1232" s="15" t="s">
        <v>35</v>
      </c>
      <c r="H1232" s="15" t="s">
        <v>7800</v>
      </c>
      <c r="I1232" s="15" t="s">
        <v>7801</v>
      </c>
      <c r="J1232" s="15" t="s">
        <v>7802</v>
      </c>
      <c r="K1232" s="15" t="s">
        <v>40</v>
      </c>
      <c r="L1232" s="15" t="s">
        <v>41</v>
      </c>
      <c r="M1232" s="15" t="s">
        <v>55</v>
      </c>
      <c r="N1232" s="15" t="s">
        <v>56</v>
      </c>
      <c r="O1232" s="15" t="s">
        <v>44</v>
      </c>
      <c r="P1232" s="15" t="s">
        <v>7803</v>
      </c>
      <c r="Q1232" s="15" t="s">
        <v>7804</v>
      </c>
      <c r="R1232" s="16">
        <v>44329</v>
      </c>
      <c r="S1232" s="17" t="s">
        <v>2703</v>
      </c>
      <c r="T1232" s="20">
        <f>HYPERLINK("https://vnm.spiral.com.vn//uploaded/20210513/77bad9a4-baea-4411-97c3-0846cf0a76b3.JPEG","14:23:32")</f>
      </c>
      <c r="U1232" s="18"/>
      <c r="V1232" s="18" t="s">
        <v>35</v>
      </c>
      <c r="W1232" s="15" t="s">
        <v>7805</v>
      </c>
      <c r="X1232" s="15" t="s">
        <v>35</v>
      </c>
      <c r="Y1232" s="15" t="s">
        <v>35</v>
      </c>
      <c r="Z1232" s="19">
        <v>0</v>
      </c>
      <c r="AA1232" s="15">
        <v>0</v>
      </c>
      <c r="AB1232" s="15" t="s">
        <v>35</v>
      </c>
    </row>
    <row r="1233">
      <c r="A1233" s="15">
        <v>1229</v>
      </c>
      <c r="B1233" s="15" t="s">
        <v>103</v>
      </c>
      <c r="C1233" s="15" t="s">
        <v>186</v>
      </c>
      <c r="D1233" s="15" t="s">
        <v>35</v>
      </c>
      <c r="E1233" s="15" t="s">
        <v>35</v>
      </c>
      <c r="F1233" s="15" t="s">
        <v>35</v>
      </c>
      <c r="G1233" s="15" t="s">
        <v>36</v>
      </c>
      <c r="H1233" s="15" t="s">
        <v>7806</v>
      </c>
      <c r="I1233" s="15" t="s">
        <v>7807</v>
      </c>
      <c r="J1233" s="15" t="s">
        <v>7808</v>
      </c>
      <c r="K1233" s="15" t="s">
        <v>40</v>
      </c>
      <c r="L1233" s="15" t="s">
        <v>41</v>
      </c>
      <c r="M1233" s="15" t="s">
        <v>565</v>
      </c>
      <c r="N1233" s="15" t="s">
        <v>566</v>
      </c>
      <c r="O1233" s="15" t="s">
        <v>44</v>
      </c>
      <c r="P1233" s="15" t="s">
        <v>7809</v>
      </c>
      <c r="Q1233" s="15" t="s">
        <v>7810</v>
      </c>
      <c r="R1233" s="16">
        <v>44329</v>
      </c>
      <c r="S1233" s="17" t="s">
        <v>569</v>
      </c>
      <c r="T1233" s="20">
        <f>HYPERLINK("https://vnm.spiral.com.vn//uploaded/20210513/CD3E1F37-D14A-497E-B505-563FB02B914F.jpg","14:23:32")</f>
      </c>
      <c r="U1233" s="18"/>
      <c r="V1233" s="18" t="s">
        <v>35</v>
      </c>
      <c r="W1233" s="15" t="s">
        <v>7811</v>
      </c>
      <c r="X1233" s="15" t="s">
        <v>35</v>
      </c>
      <c r="Y1233" s="15" t="s">
        <v>35</v>
      </c>
      <c r="Z1233" s="19">
        <v>0</v>
      </c>
      <c r="AA1233" s="15">
        <v>0</v>
      </c>
      <c r="AB1233" s="15" t="s">
        <v>35</v>
      </c>
    </row>
    <row r="1234">
      <c r="A1234" s="15">
        <v>1230</v>
      </c>
      <c r="B1234" s="15" t="s">
        <v>61</v>
      </c>
      <c r="C1234" s="15" t="s">
        <v>303</v>
      </c>
      <c r="D1234" s="15" t="s">
        <v>35</v>
      </c>
      <c r="E1234" s="15" t="s">
        <v>35</v>
      </c>
      <c r="F1234" s="15" t="s">
        <v>35</v>
      </c>
      <c r="G1234" s="15" t="s">
        <v>36</v>
      </c>
      <c r="H1234" s="15" t="s">
        <v>7812</v>
      </c>
      <c r="I1234" s="15" t="s">
        <v>7813</v>
      </c>
      <c r="J1234" s="15" t="s">
        <v>7814</v>
      </c>
      <c r="K1234" s="15" t="s">
        <v>40</v>
      </c>
      <c r="L1234" s="15" t="s">
        <v>41</v>
      </c>
      <c r="M1234" s="15" t="s">
        <v>205</v>
      </c>
      <c r="N1234" s="15" t="s">
        <v>206</v>
      </c>
      <c r="O1234" s="15" t="s">
        <v>44</v>
      </c>
      <c r="P1234" s="15" t="s">
        <v>7815</v>
      </c>
      <c r="Q1234" s="15" t="s">
        <v>7816</v>
      </c>
      <c r="R1234" s="16">
        <v>44329</v>
      </c>
      <c r="S1234" s="17" t="s">
        <v>2703</v>
      </c>
      <c r="T1234" s="20">
        <f>HYPERLINK("https://vnm.spiral.com.vn//uploaded/20210513/31D4322C-C228-4002-91FA-949A424D0AB2.jpg","14:22:14")</f>
      </c>
      <c r="U1234" s="18"/>
      <c r="V1234" s="18" t="s">
        <v>35</v>
      </c>
      <c r="W1234" s="15" t="s">
        <v>7817</v>
      </c>
      <c r="X1234" s="15" t="s">
        <v>35</v>
      </c>
      <c r="Y1234" s="15" t="s">
        <v>35</v>
      </c>
      <c r="Z1234" s="19">
        <v>0</v>
      </c>
      <c r="AA1234" s="15">
        <v>0</v>
      </c>
      <c r="AB1234" s="15" t="s">
        <v>35</v>
      </c>
    </row>
    <row r="1235">
      <c r="A1235" s="15">
        <v>1231</v>
      </c>
      <c r="B1235" s="15" t="s">
        <v>343</v>
      </c>
      <c r="C1235" s="15" t="s">
        <v>344</v>
      </c>
      <c r="D1235" s="15" t="s">
        <v>35</v>
      </c>
      <c r="E1235" s="15" t="s">
        <v>35</v>
      </c>
      <c r="F1235" s="15" t="s">
        <v>35</v>
      </c>
      <c r="G1235" s="15" t="s">
        <v>74</v>
      </c>
      <c r="H1235" s="15" t="s">
        <v>7818</v>
      </c>
      <c r="I1235" s="15" t="s">
        <v>7819</v>
      </c>
      <c r="J1235" s="15" t="s">
        <v>7820</v>
      </c>
      <c r="K1235" s="15" t="s">
        <v>584</v>
      </c>
      <c r="L1235" s="15" t="s">
        <v>585</v>
      </c>
      <c r="M1235" s="15" t="s">
        <v>827</v>
      </c>
      <c r="N1235" s="15" t="s">
        <v>828</v>
      </c>
      <c r="O1235" s="15" t="s">
        <v>82</v>
      </c>
      <c r="P1235" s="15" t="s">
        <v>2717</v>
      </c>
      <c r="Q1235" s="15" t="s">
        <v>2718</v>
      </c>
      <c r="R1235" s="16">
        <v>44329</v>
      </c>
      <c r="S1235" s="17" t="s">
        <v>70</v>
      </c>
      <c r="T1235" s="20">
        <f>HYPERLINK("https://vnm.spiral.com.vn//uploaded/20210513/434E7E06-E8B4-4B1D-97A0-B21C0580A280.jpg","14:05:20")</f>
      </c>
      <c r="U1235" s="20">
        <f>HYPERLINK("https://vnm.spiral.com.vn//uploaded/20210513/4E02ABBC-EC4B-4039-9D93-E6684F205EBE.jpg","14:21:09")</f>
      </c>
      <c r="V1235" s="18">
        <v>0.010983796296296297</v>
      </c>
      <c r="W1235" s="15" t="s">
        <v>7821</v>
      </c>
      <c r="X1235" s="15" t="s">
        <v>7822</v>
      </c>
      <c r="Y1235" s="15" t="s">
        <v>35</v>
      </c>
      <c r="Z1235" s="19">
        <v>0</v>
      </c>
      <c r="AA1235" s="15">
        <v>0</v>
      </c>
      <c r="AB1235" s="15" t="s">
        <v>35</v>
      </c>
    </row>
    <row r="1236">
      <c r="A1236" s="15">
        <v>1232</v>
      </c>
      <c r="B1236" s="15" t="s">
        <v>343</v>
      </c>
      <c r="C1236" s="15" t="s">
        <v>344</v>
      </c>
      <c r="D1236" s="15" t="s">
        <v>432</v>
      </c>
      <c r="E1236" s="15" t="s">
        <v>116</v>
      </c>
      <c r="F1236" s="15" t="s">
        <v>35</v>
      </c>
      <c r="G1236" s="15" t="s">
        <v>74</v>
      </c>
      <c r="H1236" s="15" t="s">
        <v>7823</v>
      </c>
      <c r="I1236" s="15" t="s">
        <v>7824</v>
      </c>
      <c r="J1236" s="15" t="s">
        <v>7825</v>
      </c>
      <c r="K1236" s="15" t="s">
        <v>512</v>
      </c>
      <c r="L1236" s="15" t="s">
        <v>513</v>
      </c>
      <c r="M1236" s="15" t="s">
        <v>514</v>
      </c>
      <c r="N1236" s="15" t="s">
        <v>515</v>
      </c>
      <c r="O1236" s="15" t="s">
        <v>82</v>
      </c>
      <c r="P1236" s="15" t="s">
        <v>1334</v>
      </c>
      <c r="Q1236" s="15" t="s">
        <v>1335</v>
      </c>
      <c r="R1236" s="16">
        <v>44329</v>
      </c>
      <c r="S1236" s="17" t="s">
        <v>70</v>
      </c>
      <c r="T1236" s="20">
        <f>HYPERLINK("https://vnm.spiral.com.vn//uploaded/20210513/2F60F2ED-32F9-4040-A0DF-AF9220C85176.jpg","12:57:35")</f>
      </c>
      <c r="U1236" s="20">
        <f>HYPERLINK("https://vnm.spiral.com.vn//uploaded/20210513/BC481B10-1EC0-4271-98DF-000F54B88505.jpg","14:20:56")</f>
      </c>
      <c r="V1236" s="18">
        <v>0.057881944444444444</v>
      </c>
      <c r="W1236" s="15" t="s">
        <v>5459</v>
      </c>
      <c r="X1236" s="15" t="s">
        <v>5459</v>
      </c>
      <c r="Y1236" s="15" t="s">
        <v>35</v>
      </c>
      <c r="Z1236" s="19">
        <v>0</v>
      </c>
      <c r="AA1236" s="15">
        <v>0</v>
      </c>
      <c r="AB1236" s="15" t="s">
        <v>35</v>
      </c>
    </row>
    <row r="1237">
      <c r="A1237" s="15">
        <v>1233</v>
      </c>
      <c r="B1237" s="15" t="s">
        <v>33</v>
      </c>
      <c r="C1237" s="15" t="s">
        <v>979</v>
      </c>
      <c r="D1237" s="15" t="s">
        <v>35</v>
      </c>
      <c r="E1237" s="15" t="s">
        <v>35</v>
      </c>
      <c r="F1237" s="15" t="s">
        <v>35</v>
      </c>
      <c r="G1237" s="15" t="s">
        <v>74</v>
      </c>
      <c r="H1237" s="15" t="s">
        <v>7826</v>
      </c>
      <c r="I1237" s="15" t="s">
        <v>7827</v>
      </c>
      <c r="J1237" s="15" t="s">
        <v>7828</v>
      </c>
      <c r="K1237" s="15" t="s">
        <v>540</v>
      </c>
      <c r="L1237" s="15" t="s">
        <v>541</v>
      </c>
      <c r="M1237" s="15" t="s">
        <v>769</v>
      </c>
      <c r="N1237" s="15" t="s">
        <v>770</v>
      </c>
      <c r="O1237" s="15" t="s">
        <v>156</v>
      </c>
      <c r="P1237" s="15" t="s">
        <v>7829</v>
      </c>
      <c r="Q1237" s="15" t="s">
        <v>7830</v>
      </c>
      <c r="R1237" s="16">
        <v>44329</v>
      </c>
      <c r="S1237" s="17" t="s">
        <v>7445</v>
      </c>
      <c r="T1237" s="20">
        <f>HYPERLINK("https://vnm.spiral.com.vn//uploaded/20210513/5c3f4bc9-c5c7-48de-8c06-fa5ef55bd372.JPEG","06:01:16")</f>
      </c>
      <c r="U1237" s="20">
        <f>HYPERLINK("https://vnm.spiral.com.vn//uploaded/20210513/def5fef1-9e13-4060-9ade-2f0041f0a7e4.JPEG","14:20:45")</f>
      </c>
      <c r="V1237" s="18">
        <v>0.34686342592592595</v>
      </c>
      <c r="W1237" s="15" t="s">
        <v>7831</v>
      </c>
      <c r="X1237" s="15" t="s">
        <v>7832</v>
      </c>
      <c r="Y1237" s="15" t="s">
        <v>35</v>
      </c>
      <c r="Z1237" s="19">
        <v>0</v>
      </c>
      <c r="AA1237" s="15">
        <v>0</v>
      </c>
      <c r="AB1237" s="15" t="s">
        <v>35</v>
      </c>
    </row>
    <row r="1238">
      <c r="A1238" s="15">
        <v>1234</v>
      </c>
      <c r="B1238" s="15" t="s">
        <v>87</v>
      </c>
      <c r="C1238" s="15" t="s">
        <v>88</v>
      </c>
      <c r="D1238" s="15" t="s">
        <v>115</v>
      </c>
      <c r="E1238" s="15" t="s">
        <v>116</v>
      </c>
      <c r="F1238" s="15" t="s">
        <v>35</v>
      </c>
      <c r="G1238" s="15" t="s">
        <v>74</v>
      </c>
      <c r="H1238" s="15" t="s">
        <v>7833</v>
      </c>
      <c r="I1238" s="15" t="s">
        <v>7834</v>
      </c>
      <c r="J1238" s="15" t="s">
        <v>7835</v>
      </c>
      <c r="K1238" s="15" t="s">
        <v>120</v>
      </c>
      <c r="L1238" s="15" t="s">
        <v>121</v>
      </c>
      <c r="M1238" s="15" t="s">
        <v>122</v>
      </c>
      <c r="N1238" s="15" t="s">
        <v>123</v>
      </c>
      <c r="O1238" s="15" t="s">
        <v>82</v>
      </c>
      <c r="P1238" s="15" t="s">
        <v>7564</v>
      </c>
      <c r="Q1238" s="15" t="s">
        <v>7565</v>
      </c>
      <c r="R1238" s="16">
        <v>44329</v>
      </c>
      <c r="S1238" s="17" t="s">
        <v>70</v>
      </c>
      <c r="T1238" s="20">
        <f>HYPERLINK("https://vnm.spiral.com.vn//uploaded/20210513/02C3F5CD-ED4E-482A-B355-2F0A6FD31BAA.jpg","12:21:55")</f>
      </c>
      <c r="U1238" s="20">
        <f>HYPERLINK("https://vnm.spiral.com.vn//uploaded/20210513/D619F762-1D3E-463D-8972-50D3A041F540.jpg","14:20:43")</f>
      </c>
      <c r="V1238" s="18">
        <v>0.0825</v>
      </c>
      <c r="W1238" s="15" t="s">
        <v>7836</v>
      </c>
      <c r="X1238" s="15" t="s">
        <v>7566</v>
      </c>
      <c r="Y1238" s="15" t="s">
        <v>35</v>
      </c>
      <c r="Z1238" s="19">
        <v>0</v>
      </c>
      <c r="AA1238" s="15">
        <v>0</v>
      </c>
      <c r="AB1238" s="15" t="s">
        <v>35</v>
      </c>
    </row>
    <row r="1239">
      <c r="A1239" s="15">
        <v>1235</v>
      </c>
      <c r="B1239" s="15" t="s">
        <v>61</v>
      </c>
      <c r="C1239" s="15" t="s">
        <v>1106</v>
      </c>
      <c r="D1239" s="15" t="s">
        <v>35</v>
      </c>
      <c r="E1239" s="15" t="s">
        <v>35</v>
      </c>
      <c r="F1239" s="15" t="s">
        <v>35</v>
      </c>
      <c r="G1239" s="15" t="s">
        <v>36</v>
      </c>
      <c r="H1239" s="15" t="s">
        <v>7837</v>
      </c>
      <c r="I1239" s="15" t="s">
        <v>7838</v>
      </c>
      <c r="J1239" s="15" t="s">
        <v>7839</v>
      </c>
      <c r="K1239" s="15" t="s">
        <v>40</v>
      </c>
      <c r="L1239" s="15" t="s">
        <v>41</v>
      </c>
      <c r="M1239" s="15" t="s">
        <v>205</v>
      </c>
      <c r="N1239" s="15" t="s">
        <v>206</v>
      </c>
      <c r="O1239" s="15" t="s">
        <v>44</v>
      </c>
      <c r="P1239" s="15" t="s">
        <v>7840</v>
      </c>
      <c r="Q1239" s="15" t="s">
        <v>7841</v>
      </c>
      <c r="R1239" s="16">
        <v>44329</v>
      </c>
      <c r="S1239" s="17" t="s">
        <v>2703</v>
      </c>
      <c r="T1239" s="20">
        <f>HYPERLINK("https://vnm.spiral.com.vn//uploaded/20210513/c87110df-a37e-4a66-91e2-ce732f297bac.JPEG","14:20:41")</f>
      </c>
      <c r="U1239" s="18"/>
      <c r="V1239" s="18" t="s">
        <v>35</v>
      </c>
      <c r="W1239" s="15" t="s">
        <v>7842</v>
      </c>
      <c r="X1239" s="15" t="s">
        <v>35</v>
      </c>
      <c r="Y1239" s="15" t="s">
        <v>35</v>
      </c>
      <c r="Z1239" s="19">
        <v>0</v>
      </c>
      <c r="AA1239" s="15">
        <v>0</v>
      </c>
      <c r="AB1239" s="15" t="s">
        <v>35</v>
      </c>
    </row>
    <row r="1240">
      <c r="A1240" s="15">
        <v>1236</v>
      </c>
      <c r="B1240" s="15" t="s">
        <v>103</v>
      </c>
      <c r="C1240" s="15" t="s">
        <v>186</v>
      </c>
      <c r="D1240" s="15" t="s">
        <v>35</v>
      </c>
      <c r="E1240" s="15" t="s">
        <v>35</v>
      </c>
      <c r="F1240" s="15" t="s">
        <v>35</v>
      </c>
      <c r="G1240" s="15" t="s">
        <v>36</v>
      </c>
      <c r="H1240" s="15" t="s">
        <v>7843</v>
      </c>
      <c r="I1240" s="15" t="s">
        <v>7844</v>
      </c>
      <c r="J1240" s="15" t="s">
        <v>7845</v>
      </c>
      <c r="K1240" s="15" t="s">
        <v>40</v>
      </c>
      <c r="L1240" s="15" t="s">
        <v>41</v>
      </c>
      <c r="M1240" s="15" t="s">
        <v>565</v>
      </c>
      <c r="N1240" s="15" t="s">
        <v>566</v>
      </c>
      <c r="O1240" s="15" t="s">
        <v>44</v>
      </c>
      <c r="P1240" s="15" t="s">
        <v>7846</v>
      </c>
      <c r="Q1240" s="15" t="s">
        <v>7847</v>
      </c>
      <c r="R1240" s="16">
        <v>44329</v>
      </c>
      <c r="S1240" s="17" t="s">
        <v>569</v>
      </c>
      <c r="T1240" s="20">
        <f>HYPERLINK("https://vnm.spiral.com.vn//uploaded/20210513/6429745F-E2B6-4AA4-8A1E-9F82B7920575.jpg","14:20:21")</f>
      </c>
      <c r="U1240" s="18"/>
      <c r="V1240" s="18" t="s">
        <v>35</v>
      </c>
      <c r="W1240" s="15" t="s">
        <v>7848</v>
      </c>
      <c r="X1240" s="15" t="s">
        <v>35</v>
      </c>
      <c r="Y1240" s="15" t="s">
        <v>35</v>
      </c>
      <c r="Z1240" s="19">
        <v>0</v>
      </c>
      <c r="AA1240" s="15">
        <v>0</v>
      </c>
      <c r="AB1240" s="15" t="s">
        <v>35</v>
      </c>
    </row>
    <row r="1241">
      <c r="A1241" s="15">
        <v>1237</v>
      </c>
      <c r="B1241" s="15" t="s">
        <v>343</v>
      </c>
      <c r="C1241" s="15" t="s">
        <v>344</v>
      </c>
      <c r="D1241" s="15" t="s">
        <v>357</v>
      </c>
      <c r="E1241" s="15" t="s">
        <v>90</v>
      </c>
      <c r="F1241" s="15" t="s">
        <v>35</v>
      </c>
      <c r="G1241" s="15" t="s">
        <v>74</v>
      </c>
      <c r="H1241" s="15" t="s">
        <v>7849</v>
      </c>
      <c r="I1241" s="15" t="s">
        <v>7850</v>
      </c>
      <c r="J1241" s="15" t="s">
        <v>7851</v>
      </c>
      <c r="K1241" s="15" t="s">
        <v>361</v>
      </c>
      <c r="L1241" s="15" t="s">
        <v>362</v>
      </c>
      <c r="M1241" s="15" t="s">
        <v>363</v>
      </c>
      <c r="N1241" s="15" t="s">
        <v>364</v>
      </c>
      <c r="O1241" s="15" t="s">
        <v>82</v>
      </c>
      <c r="P1241" s="15" t="s">
        <v>365</v>
      </c>
      <c r="Q1241" s="15" t="s">
        <v>366</v>
      </c>
      <c r="R1241" s="16">
        <v>44329</v>
      </c>
      <c r="S1241" s="17" t="s">
        <v>70</v>
      </c>
      <c r="T1241" s="20">
        <f>HYPERLINK("https://vnm.spiral.com.vn//uploaded/20210513/0507d3ff-d9d8-450c-acbb-4f92ac976ad0.JPEG","09:13:03")</f>
      </c>
      <c r="U1241" s="20">
        <f>HYPERLINK("https://vnm.spiral.com.vn//uploaded/20210513/6d7b78ad-092d-4e95-80bb-ff05050a9f0c.JPEG","14:19:52")</f>
      </c>
      <c r="V1241" s="18">
        <v>0.21306712962962962</v>
      </c>
      <c r="W1241" s="15" t="s">
        <v>7852</v>
      </c>
      <c r="X1241" s="15" t="s">
        <v>7853</v>
      </c>
      <c r="Y1241" s="15" t="s">
        <v>35</v>
      </c>
      <c r="Z1241" s="19">
        <v>0</v>
      </c>
      <c r="AA1241" s="15">
        <v>0</v>
      </c>
      <c r="AB1241" s="15" t="s">
        <v>35</v>
      </c>
    </row>
    <row r="1242">
      <c r="A1242" s="15">
        <v>1238</v>
      </c>
      <c r="B1242" s="15" t="s">
        <v>246</v>
      </c>
      <c r="C1242" s="15" t="s">
        <v>276</v>
      </c>
      <c r="D1242" s="15" t="s">
        <v>35</v>
      </c>
      <c r="E1242" s="15" t="s">
        <v>35</v>
      </c>
      <c r="F1242" s="15" t="s">
        <v>6817</v>
      </c>
      <c r="G1242" s="15" t="s">
        <v>36</v>
      </c>
      <c r="H1242" s="15" t="s">
        <v>7854</v>
      </c>
      <c r="I1242" s="15" t="s">
        <v>7855</v>
      </c>
      <c r="J1242" s="15" t="s">
        <v>7856</v>
      </c>
      <c r="K1242" s="15" t="s">
        <v>40</v>
      </c>
      <c r="L1242" s="15" t="s">
        <v>41</v>
      </c>
      <c r="M1242" s="15" t="s">
        <v>252</v>
      </c>
      <c r="N1242" s="15" t="s">
        <v>253</v>
      </c>
      <c r="O1242" s="15" t="s">
        <v>44</v>
      </c>
      <c r="P1242" s="15" t="s">
        <v>7857</v>
      </c>
      <c r="Q1242" s="15" t="s">
        <v>7858</v>
      </c>
      <c r="R1242" s="16">
        <v>44329</v>
      </c>
      <c r="S1242" s="17" t="s">
        <v>35</v>
      </c>
      <c r="T1242" s="20">
        <f>HYPERLINK("https://vnm.spiral.com.vn//uploaded/20210513/C41DE775-1479-4835-B03E-AC90AB1996A7.jpg","14:19:06")</f>
      </c>
      <c r="U1242" s="18"/>
      <c r="V1242" s="18" t="s">
        <v>35</v>
      </c>
      <c r="W1242" s="15" t="s">
        <v>7859</v>
      </c>
      <c r="X1242" s="15" t="s">
        <v>35</v>
      </c>
      <c r="Y1242" s="15" t="s">
        <v>35</v>
      </c>
      <c r="Z1242" s="19">
        <v>0</v>
      </c>
      <c r="AA1242" s="15">
        <v>0</v>
      </c>
      <c r="AB1242" s="15" t="s">
        <v>35</v>
      </c>
    </row>
    <row r="1243">
      <c r="A1243" s="15">
        <v>1239</v>
      </c>
      <c r="B1243" s="15" t="s">
        <v>49</v>
      </c>
      <c r="C1243" s="15" t="s">
        <v>1715</v>
      </c>
      <c r="D1243" s="15" t="s">
        <v>35</v>
      </c>
      <c r="E1243" s="15" t="s">
        <v>35</v>
      </c>
      <c r="F1243" s="15" t="s">
        <v>3661</v>
      </c>
      <c r="G1243" s="15" t="s">
        <v>36</v>
      </c>
      <c r="H1243" s="15" t="s">
        <v>7860</v>
      </c>
      <c r="I1243" s="15" t="s">
        <v>7861</v>
      </c>
      <c r="J1243" s="15" t="s">
        <v>7862</v>
      </c>
      <c r="K1243" s="15" t="s">
        <v>40</v>
      </c>
      <c r="L1243" s="15" t="s">
        <v>41</v>
      </c>
      <c r="M1243" s="15" t="s">
        <v>55</v>
      </c>
      <c r="N1243" s="15" t="s">
        <v>56</v>
      </c>
      <c r="O1243" s="15" t="s">
        <v>44</v>
      </c>
      <c r="P1243" s="15" t="s">
        <v>7863</v>
      </c>
      <c r="Q1243" s="15" t="s">
        <v>7864</v>
      </c>
      <c r="R1243" s="16">
        <v>44329</v>
      </c>
      <c r="S1243" s="17" t="s">
        <v>5058</v>
      </c>
      <c r="T1243" s="20">
        <f>HYPERLINK("https://vnm.spiral.com.vn//uploaded/20210513/EA877C80-0ED2-45DC-9B27-8656D2CB02C2.jpg","14:18:58")</f>
      </c>
      <c r="U1243" s="18"/>
      <c r="V1243" s="18" t="s">
        <v>35</v>
      </c>
      <c r="W1243" s="15" t="s">
        <v>7865</v>
      </c>
      <c r="X1243" s="15" t="s">
        <v>35</v>
      </c>
      <c r="Y1243" s="15" t="s">
        <v>35</v>
      </c>
      <c r="Z1243" s="19">
        <v>0</v>
      </c>
      <c r="AA1243" s="15">
        <v>0</v>
      </c>
      <c r="AB1243" s="15" t="s">
        <v>35</v>
      </c>
    </row>
    <row r="1244">
      <c r="A1244" s="15">
        <v>1240</v>
      </c>
      <c r="B1244" s="15" t="s">
        <v>246</v>
      </c>
      <c r="C1244" s="15" t="s">
        <v>2005</v>
      </c>
      <c r="D1244" s="15" t="s">
        <v>89</v>
      </c>
      <c r="E1244" s="15" t="s">
        <v>90</v>
      </c>
      <c r="F1244" s="15" t="s">
        <v>35</v>
      </c>
      <c r="G1244" s="15" t="s">
        <v>74</v>
      </c>
      <c r="H1244" s="15" t="s">
        <v>2934</v>
      </c>
      <c r="I1244" s="15" t="s">
        <v>2935</v>
      </c>
      <c r="J1244" s="15" t="s">
        <v>2936</v>
      </c>
      <c r="K1244" s="15" t="s">
        <v>263</v>
      </c>
      <c r="L1244" s="15" t="s">
        <v>264</v>
      </c>
      <c r="M1244" s="15" t="s">
        <v>2009</v>
      </c>
      <c r="N1244" s="15" t="s">
        <v>2010</v>
      </c>
      <c r="O1244" s="15" t="s">
        <v>156</v>
      </c>
      <c r="P1244" s="15" t="s">
        <v>2937</v>
      </c>
      <c r="Q1244" s="15" t="s">
        <v>2938</v>
      </c>
      <c r="R1244" s="16">
        <v>44329</v>
      </c>
      <c r="S1244" s="17" t="s">
        <v>7866</v>
      </c>
      <c r="T1244" s="20">
        <f>HYPERLINK("https://vnm.spiral.com.vn//uploaded/20210513/2c25acae-60aa-4652-81a5-6372afb26ba6.JPEG","06:41:36")</f>
      </c>
      <c r="U1244" s="20">
        <f>HYPERLINK("https://vnm.spiral.com.vn//uploaded/20210513/d6ba5bf6-a3ea-4049-b130-134695595212.JPEG","14:18:50")</f>
      </c>
      <c r="V1244" s="18">
        <v>0.31752314814814814</v>
      </c>
      <c r="W1244" s="15" t="s">
        <v>7867</v>
      </c>
      <c r="X1244" s="15" t="s">
        <v>7868</v>
      </c>
      <c r="Y1244" s="15" t="s">
        <v>35</v>
      </c>
      <c r="Z1244" s="19">
        <v>0</v>
      </c>
      <c r="AA1244" s="15">
        <v>0</v>
      </c>
      <c r="AB1244" s="15" t="s">
        <v>35</v>
      </c>
    </row>
    <row r="1245">
      <c r="A1245" s="15">
        <v>1241</v>
      </c>
      <c r="B1245" s="15" t="s">
        <v>61</v>
      </c>
      <c r="C1245" s="15" t="s">
        <v>1106</v>
      </c>
      <c r="D1245" s="15" t="s">
        <v>135</v>
      </c>
      <c r="E1245" s="15" t="s">
        <v>116</v>
      </c>
      <c r="F1245" s="15" t="s">
        <v>35</v>
      </c>
      <c r="G1245" s="15" t="s">
        <v>74</v>
      </c>
      <c r="H1245" s="15" t="s">
        <v>7869</v>
      </c>
      <c r="I1245" s="15" t="s">
        <v>7870</v>
      </c>
      <c r="J1245" s="15" t="s">
        <v>7871</v>
      </c>
      <c r="K1245" s="15" t="s">
        <v>154</v>
      </c>
      <c r="L1245" s="15" t="s">
        <v>155</v>
      </c>
      <c r="M1245" s="15" t="s">
        <v>2458</v>
      </c>
      <c r="N1245" s="15" t="s">
        <v>2459</v>
      </c>
      <c r="O1245" s="15" t="s">
        <v>82</v>
      </c>
      <c r="P1245" s="15" t="s">
        <v>6009</v>
      </c>
      <c r="Q1245" s="15" t="s">
        <v>6010</v>
      </c>
      <c r="R1245" s="16">
        <v>44329</v>
      </c>
      <c r="S1245" s="17" t="s">
        <v>70</v>
      </c>
      <c r="T1245" s="20">
        <f>HYPERLINK("https://vnm.spiral.com.vn//uploaded/20210513/1a7240d2-d33b-4def-8392-a6c39b9fcd49.JPEG","11:16:18")</f>
      </c>
      <c r="U1245" s="20">
        <f>HYPERLINK("https://vnm.spiral.com.vn//uploaded/20210513/b938b086-12b8-44c2-9427-0e4384c8d39b.JPEG","14:18:42")</f>
      </c>
      <c r="V1245" s="18">
        <v>0.12666666666666668</v>
      </c>
      <c r="W1245" s="15" t="s">
        <v>7872</v>
      </c>
      <c r="X1245" s="15" t="s">
        <v>7873</v>
      </c>
      <c r="Y1245" s="15" t="s">
        <v>35</v>
      </c>
      <c r="Z1245" s="19">
        <v>0</v>
      </c>
      <c r="AA1245" s="15">
        <v>0</v>
      </c>
      <c r="AB1245" s="15" t="s">
        <v>35</v>
      </c>
    </row>
    <row r="1246">
      <c r="A1246" s="15">
        <v>1242</v>
      </c>
      <c r="B1246" s="15" t="s">
        <v>87</v>
      </c>
      <c r="C1246" s="15" t="s">
        <v>88</v>
      </c>
      <c r="D1246" s="15" t="s">
        <v>1910</v>
      </c>
      <c r="E1246" s="15" t="s">
        <v>1910</v>
      </c>
      <c r="F1246" s="15" t="s">
        <v>35</v>
      </c>
      <c r="G1246" s="15" t="s">
        <v>74</v>
      </c>
      <c r="H1246" s="15" t="s">
        <v>7874</v>
      </c>
      <c r="I1246" s="15" t="s">
        <v>7875</v>
      </c>
      <c r="J1246" s="15" t="s">
        <v>7876</v>
      </c>
      <c r="K1246" s="15" t="s">
        <v>888</v>
      </c>
      <c r="L1246" s="15" t="s">
        <v>889</v>
      </c>
      <c r="M1246" s="15" t="s">
        <v>890</v>
      </c>
      <c r="N1246" s="15" t="s">
        <v>891</v>
      </c>
      <c r="O1246" s="15" t="s">
        <v>82</v>
      </c>
      <c r="P1246" s="15" t="s">
        <v>2094</v>
      </c>
      <c r="Q1246" s="15" t="s">
        <v>2095</v>
      </c>
      <c r="R1246" s="16">
        <v>44329</v>
      </c>
      <c r="S1246" s="17" t="s">
        <v>70</v>
      </c>
      <c r="T1246" s="20">
        <f>HYPERLINK("https://vnm.spiral.com.vn//uploaded/20210513/4FB175FA-620D-4667-AD7F-639755A58C35.jpg","13:47:07")</f>
      </c>
      <c r="U1246" s="20">
        <f>HYPERLINK("https://vnm.spiral.com.vn//uploaded/20210513/EADD817C-0F75-4577-B3C3-A5DE6D036DD4.jpg","14:18:15")</f>
      </c>
      <c r="V1246" s="18">
        <v>0.02162037037037037</v>
      </c>
      <c r="W1246" s="15" t="s">
        <v>7877</v>
      </c>
      <c r="X1246" s="15" t="s">
        <v>7878</v>
      </c>
      <c r="Y1246" s="15" t="s">
        <v>35</v>
      </c>
      <c r="Z1246" s="19">
        <v>0</v>
      </c>
      <c r="AA1246" s="15">
        <v>0</v>
      </c>
      <c r="AB1246" s="15" t="s">
        <v>35</v>
      </c>
    </row>
    <row r="1247">
      <c r="A1247" s="15">
        <v>1243</v>
      </c>
      <c r="B1247" s="15" t="s">
        <v>343</v>
      </c>
      <c r="C1247" s="15" t="s">
        <v>344</v>
      </c>
      <c r="D1247" s="15" t="s">
        <v>536</v>
      </c>
      <c r="E1247" s="15" t="s">
        <v>116</v>
      </c>
      <c r="F1247" s="15" t="s">
        <v>35</v>
      </c>
      <c r="G1247" s="15" t="s">
        <v>74</v>
      </c>
      <c r="H1247" s="15" t="s">
        <v>7879</v>
      </c>
      <c r="I1247" s="15" t="s">
        <v>7880</v>
      </c>
      <c r="J1247" s="15" t="s">
        <v>7881</v>
      </c>
      <c r="K1247" s="15" t="s">
        <v>997</v>
      </c>
      <c r="L1247" s="15" t="s">
        <v>998</v>
      </c>
      <c r="M1247" s="15" t="s">
        <v>1325</v>
      </c>
      <c r="N1247" s="15" t="s">
        <v>1326</v>
      </c>
      <c r="O1247" s="15" t="s">
        <v>82</v>
      </c>
      <c r="P1247" s="15" t="s">
        <v>2576</v>
      </c>
      <c r="Q1247" s="15" t="s">
        <v>2577</v>
      </c>
      <c r="R1247" s="16">
        <v>44329</v>
      </c>
      <c r="S1247" s="17" t="s">
        <v>70</v>
      </c>
      <c r="T1247" s="20">
        <f>HYPERLINK("https://vnm.spiral.com.vn//uploaded/20210513/2be6e197-3449-48ba-980a-bc735b1b654f.JPEG","13:38:55")</f>
      </c>
      <c r="U1247" s="20">
        <f>HYPERLINK("https://vnm.spiral.com.vn//uploaded/20210513/eb13ed39-6b76-48ec-b766-ec0119505957.JPEG","14:18:09")</f>
      </c>
      <c r="V1247" s="18">
        <v>0.02724537037037037</v>
      </c>
      <c r="W1247" s="15" t="s">
        <v>7882</v>
      </c>
      <c r="X1247" s="15" t="s">
        <v>7883</v>
      </c>
      <c r="Y1247" s="15" t="s">
        <v>35</v>
      </c>
      <c r="Z1247" s="19">
        <v>0</v>
      </c>
      <c r="AA1247" s="15">
        <v>0</v>
      </c>
      <c r="AB1247" s="15" t="s">
        <v>35</v>
      </c>
    </row>
    <row r="1248">
      <c r="A1248" s="15">
        <v>1244</v>
      </c>
      <c r="B1248" s="15" t="s">
        <v>87</v>
      </c>
      <c r="C1248" s="15" t="s">
        <v>88</v>
      </c>
      <c r="D1248" s="15" t="s">
        <v>35</v>
      </c>
      <c r="E1248" s="15" t="s">
        <v>35</v>
      </c>
      <c r="F1248" s="15" t="s">
        <v>35</v>
      </c>
      <c r="G1248" s="15" t="s">
        <v>74</v>
      </c>
      <c r="H1248" s="15" t="s">
        <v>7884</v>
      </c>
      <c r="I1248" s="15" t="s">
        <v>7885</v>
      </c>
      <c r="J1248" s="15" t="s">
        <v>7886</v>
      </c>
      <c r="K1248" s="15" t="s">
        <v>888</v>
      </c>
      <c r="L1248" s="15" t="s">
        <v>889</v>
      </c>
      <c r="M1248" s="15" t="s">
        <v>924</v>
      </c>
      <c r="N1248" s="15" t="s">
        <v>925</v>
      </c>
      <c r="O1248" s="15" t="s">
        <v>82</v>
      </c>
      <c r="P1248" s="15" t="s">
        <v>1906</v>
      </c>
      <c r="Q1248" s="15" t="s">
        <v>1907</v>
      </c>
      <c r="R1248" s="16">
        <v>44329</v>
      </c>
      <c r="S1248" s="17" t="s">
        <v>70</v>
      </c>
      <c r="T1248" s="20">
        <f>HYPERLINK("https://vnm.spiral.com.vn//uploaded/20210513/5fd3f9ff-e0af-48e0-a192-feb1157c88dc.JPEG","13:49:41")</f>
      </c>
      <c r="U1248" s="20">
        <f>HYPERLINK("https://vnm.spiral.com.vn//uploaded/20210513/175d54f7-4514-4c34-a17e-c89ee177aa5d.JPEG","14:17:44")</f>
      </c>
      <c r="V1248" s="18">
        <v>0.019479166666666665</v>
      </c>
      <c r="W1248" s="15" t="s">
        <v>7887</v>
      </c>
      <c r="X1248" s="15" t="s">
        <v>7888</v>
      </c>
      <c r="Y1248" s="15" t="s">
        <v>35</v>
      </c>
      <c r="Z1248" s="19">
        <v>0</v>
      </c>
      <c r="AA1248" s="15">
        <v>0</v>
      </c>
      <c r="AB1248" s="15" t="s">
        <v>35</v>
      </c>
    </row>
    <row r="1249">
      <c r="A1249" s="15">
        <v>1245</v>
      </c>
      <c r="B1249" s="15" t="s">
        <v>87</v>
      </c>
      <c r="C1249" s="15" t="s">
        <v>88</v>
      </c>
      <c r="D1249" s="15" t="s">
        <v>610</v>
      </c>
      <c r="E1249" s="15" t="s">
        <v>90</v>
      </c>
      <c r="F1249" s="15" t="s">
        <v>35</v>
      </c>
      <c r="G1249" s="15" t="s">
        <v>74</v>
      </c>
      <c r="H1249" s="15" t="s">
        <v>7889</v>
      </c>
      <c r="I1249" s="15" t="s">
        <v>7890</v>
      </c>
      <c r="J1249" s="15" t="s">
        <v>7891</v>
      </c>
      <c r="K1249" s="15" t="s">
        <v>614</v>
      </c>
      <c r="L1249" s="15" t="s">
        <v>615</v>
      </c>
      <c r="M1249" s="15" t="s">
        <v>616</v>
      </c>
      <c r="N1249" s="15" t="s">
        <v>617</v>
      </c>
      <c r="O1249" s="15" t="s">
        <v>82</v>
      </c>
      <c r="P1249" s="15" t="s">
        <v>1846</v>
      </c>
      <c r="Q1249" s="15" t="s">
        <v>1847</v>
      </c>
      <c r="R1249" s="16">
        <v>44329</v>
      </c>
      <c r="S1249" s="17" t="s">
        <v>70</v>
      </c>
      <c r="T1249" s="20">
        <f>HYPERLINK("https://vnm.spiral.com.vn//uploaded/20210513/a73e581f-61bc-4548-be42-ff6d1b67d9b0.JPEG","13:31:31")</f>
      </c>
      <c r="U1249" s="20">
        <f>HYPERLINK("https://vnm.spiral.com.vn//uploaded/20210513/b633252a-3b6e-4589-ba1e-d5fa180e7975.JPEG","14:17:41")</f>
      </c>
      <c r="V1249" s="18">
        <v>0.032060185185185185</v>
      </c>
      <c r="W1249" s="15" t="s">
        <v>7892</v>
      </c>
      <c r="X1249" s="15" t="s">
        <v>7893</v>
      </c>
      <c r="Y1249" s="15" t="s">
        <v>35</v>
      </c>
      <c r="Z1249" s="19">
        <v>0</v>
      </c>
      <c r="AA1249" s="15">
        <v>0</v>
      </c>
      <c r="AB1249" s="15" t="s">
        <v>35</v>
      </c>
    </row>
    <row r="1250">
      <c r="A1250" s="15">
        <v>1246</v>
      </c>
      <c r="B1250" s="15" t="s">
        <v>343</v>
      </c>
      <c r="C1250" s="15" t="s">
        <v>645</v>
      </c>
      <c r="D1250" s="15" t="s">
        <v>35</v>
      </c>
      <c r="E1250" s="15" t="s">
        <v>35</v>
      </c>
      <c r="F1250" s="15" t="s">
        <v>7894</v>
      </c>
      <c r="G1250" s="15" t="s">
        <v>36</v>
      </c>
      <c r="H1250" s="15" t="s">
        <v>7895</v>
      </c>
      <c r="I1250" s="15" t="s">
        <v>6360</v>
      </c>
      <c r="J1250" s="15" t="s">
        <v>7896</v>
      </c>
      <c r="K1250" s="15" t="s">
        <v>40</v>
      </c>
      <c r="L1250" s="15" t="s">
        <v>41</v>
      </c>
      <c r="M1250" s="15" t="s">
        <v>42</v>
      </c>
      <c r="N1250" s="15" t="s">
        <v>43</v>
      </c>
      <c r="O1250" s="15" t="s">
        <v>44</v>
      </c>
      <c r="P1250" s="15" t="s">
        <v>7897</v>
      </c>
      <c r="Q1250" s="15" t="s">
        <v>7898</v>
      </c>
      <c r="R1250" s="16">
        <v>44329</v>
      </c>
      <c r="S1250" s="17" t="s">
        <v>2703</v>
      </c>
      <c r="T1250" s="20">
        <f>HYPERLINK("https://vnm.spiral.com.vn//uploaded/20210513/b6d5775c-338f-435a-a921-ecaca13f7118.JPEG","14:17:37")</f>
      </c>
      <c r="U1250" s="18"/>
      <c r="V1250" s="18" t="s">
        <v>35</v>
      </c>
      <c r="W1250" s="15" t="s">
        <v>7899</v>
      </c>
      <c r="X1250" s="15" t="s">
        <v>35</v>
      </c>
      <c r="Y1250" s="15" t="s">
        <v>35</v>
      </c>
      <c r="Z1250" s="19">
        <v>0</v>
      </c>
      <c r="AA1250" s="15">
        <v>0</v>
      </c>
      <c r="AB1250" s="15" t="s">
        <v>35</v>
      </c>
    </row>
    <row r="1251">
      <c r="A1251" s="15">
        <v>1247</v>
      </c>
      <c r="B1251" s="15" t="s">
        <v>103</v>
      </c>
      <c r="C1251" s="15" t="s">
        <v>186</v>
      </c>
      <c r="D1251" s="15" t="s">
        <v>35</v>
      </c>
      <c r="E1251" s="15" t="s">
        <v>35</v>
      </c>
      <c r="F1251" s="15" t="s">
        <v>35</v>
      </c>
      <c r="G1251" s="15" t="s">
        <v>36</v>
      </c>
      <c r="H1251" s="15" t="s">
        <v>7900</v>
      </c>
      <c r="I1251" s="15" t="s">
        <v>7901</v>
      </c>
      <c r="J1251" s="15" t="s">
        <v>7902</v>
      </c>
      <c r="K1251" s="15" t="s">
        <v>40</v>
      </c>
      <c r="L1251" s="15" t="s">
        <v>41</v>
      </c>
      <c r="M1251" s="15" t="s">
        <v>565</v>
      </c>
      <c r="N1251" s="15" t="s">
        <v>566</v>
      </c>
      <c r="O1251" s="15" t="s">
        <v>44</v>
      </c>
      <c r="P1251" s="15" t="s">
        <v>7903</v>
      </c>
      <c r="Q1251" s="15" t="s">
        <v>7904</v>
      </c>
      <c r="R1251" s="16">
        <v>44329</v>
      </c>
      <c r="S1251" s="17" t="s">
        <v>7905</v>
      </c>
      <c r="T1251" s="20">
        <f>HYPERLINK("https://vnm.spiral.com.vn//uploaded/20210513/db8897b6-cf8d-433e-880d-71752184573d.JPEG","14:17:22")</f>
      </c>
      <c r="U1251" s="18"/>
      <c r="V1251" s="18" t="s">
        <v>35</v>
      </c>
      <c r="W1251" s="15" t="s">
        <v>7906</v>
      </c>
      <c r="X1251" s="15" t="s">
        <v>35</v>
      </c>
      <c r="Y1251" s="15" t="s">
        <v>35</v>
      </c>
      <c r="Z1251" s="19">
        <v>0</v>
      </c>
      <c r="AA1251" s="15">
        <v>0</v>
      </c>
      <c r="AB1251" s="15" t="s">
        <v>35</v>
      </c>
    </row>
    <row r="1252">
      <c r="A1252" s="15">
        <v>1248</v>
      </c>
      <c r="B1252" s="15" t="s">
        <v>61</v>
      </c>
      <c r="C1252" s="15" t="s">
        <v>737</v>
      </c>
      <c r="D1252" s="15" t="s">
        <v>35</v>
      </c>
      <c r="E1252" s="15" t="s">
        <v>35</v>
      </c>
      <c r="F1252" s="15" t="s">
        <v>35</v>
      </c>
      <c r="G1252" s="15" t="s">
        <v>36</v>
      </c>
      <c r="H1252" s="15" t="s">
        <v>7907</v>
      </c>
      <c r="I1252" s="15" t="s">
        <v>7908</v>
      </c>
      <c r="J1252" s="15" t="s">
        <v>7909</v>
      </c>
      <c r="K1252" s="15" t="s">
        <v>40</v>
      </c>
      <c r="L1252" s="15" t="s">
        <v>41</v>
      </c>
      <c r="M1252" s="15" t="s">
        <v>205</v>
      </c>
      <c r="N1252" s="15" t="s">
        <v>206</v>
      </c>
      <c r="O1252" s="15" t="s">
        <v>44</v>
      </c>
      <c r="P1252" s="15" t="s">
        <v>7910</v>
      </c>
      <c r="Q1252" s="15" t="s">
        <v>7911</v>
      </c>
      <c r="R1252" s="16">
        <v>44329</v>
      </c>
      <c r="S1252" s="17" t="s">
        <v>2703</v>
      </c>
      <c r="T1252" s="20">
        <f>HYPERLINK("https://vnm.spiral.com.vn//uploaded/20210513/76481213-76d1-4c42-81da-69160ec5d25a.JPEG","14:17:11")</f>
      </c>
      <c r="U1252" s="18"/>
      <c r="V1252" s="18" t="s">
        <v>35</v>
      </c>
      <c r="W1252" s="15" t="s">
        <v>7912</v>
      </c>
      <c r="X1252" s="15" t="s">
        <v>35</v>
      </c>
      <c r="Y1252" s="15" t="s">
        <v>35</v>
      </c>
      <c r="Z1252" s="19">
        <v>0</v>
      </c>
      <c r="AA1252" s="15">
        <v>0</v>
      </c>
      <c r="AB1252" s="15" t="s">
        <v>35</v>
      </c>
    </row>
    <row r="1253">
      <c r="A1253" s="15">
        <v>1249</v>
      </c>
      <c r="B1253" s="15" t="s">
        <v>103</v>
      </c>
      <c r="C1253" s="15" t="s">
        <v>104</v>
      </c>
      <c r="D1253" s="15" t="s">
        <v>432</v>
      </c>
      <c r="E1253" s="15" t="s">
        <v>116</v>
      </c>
      <c r="F1253" s="15" t="s">
        <v>35</v>
      </c>
      <c r="G1253" s="15" t="s">
        <v>74</v>
      </c>
      <c r="H1253" s="15" t="s">
        <v>7913</v>
      </c>
      <c r="I1253" s="15" t="s">
        <v>7914</v>
      </c>
      <c r="J1253" s="15" t="s">
        <v>7915</v>
      </c>
      <c r="K1253" s="15" t="s">
        <v>915</v>
      </c>
      <c r="L1253" s="15" t="s">
        <v>916</v>
      </c>
      <c r="M1253" s="15" t="s">
        <v>897</v>
      </c>
      <c r="N1253" s="15" t="s">
        <v>898</v>
      </c>
      <c r="O1253" s="15" t="s">
        <v>82</v>
      </c>
      <c r="P1253" s="15" t="s">
        <v>1446</v>
      </c>
      <c r="Q1253" s="15" t="s">
        <v>1447</v>
      </c>
      <c r="R1253" s="16">
        <v>44329</v>
      </c>
      <c r="S1253" s="17" t="s">
        <v>70</v>
      </c>
      <c r="T1253" s="20">
        <f>HYPERLINK("https://vnm.spiral.com.vn//uploaded/20210513/89712425-90c4-4323-a4b6-5062d9e018a9.JPEG","13:27:50")</f>
      </c>
      <c r="U1253" s="20">
        <f>HYPERLINK("https://vnm.spiral.com.vn//uploaded/20210513/b1fd1102-0e32-4d44-9c89-1bf8accf4505.JPEG","14:16:56")</f>
      </c>
      <c r="V1253" s="18">
        <v>0.03409722222222222</v>
      </c>
      <c r="W1253" s="15" t="s">
        <v>7916</v>
      </c>
      <c r="X1253" s="15" t="s">
        <v>7917</v>
      </c>
      <c r="Y1253" s="15" t="s">
        <v>35</v>
      </c>
      <c r="Z1253" s="19">
        <v>0</v>
      </c>
      <c r="AA1253" s="15">
        <v>0</v>
      </c>
      <c r="AB1253" s="15" t="s">
        <v>35</v>
      </c>
    </row>
    <row r="1254">
      <c r="A1254" s="15">
        <v>1250</v>
      </c>
      <c r="B1254" s="15" t="s">
        <v>103</v>
      </c>
      <c r="C1254" s="15" t="s">
        <v>186</v>
      </c>
      <c r="D1254" s="15" t="s">
        <v>35</v>
      </c>
      <c r="E1254" s="15" t="s">
        <v>35</v>
      </c>
      <c r="F1254" s="15" t="s">
        <v>35</v>
      </c>
      <c r="G1254" s="15" t="s">
        <v>36</v>
      </c>
      <c r="H1254" s="15" t="s">
        <v>7918</v>
      </c>
      <c r="I1254" s="15" t="s">
        <v>7919</v>
      </c>
      <c r="J1254" s="15" t="s">
        <v>7920</v>
      </c>
      <c r="K1254" s="15" t="s">
        <v>40</v>
      </c>
      <c r="L1254" s="15" t="s">
        <v>41</v>
      </c>
      <c r="M1254" s="15" t="s">
        <v>565</v>
      </c>
      <c r="N1254" s="15" t="s">
        <v>566</v>
      </c>
      <c r="O1254" s="15" t="s">
        <v>44</v>
      </c>
      <c r="P1254" s="15" t="s">
        <v>7921</v>
      </c>
      <c r="Q1254" s="15" t="s">
        <v>7922</v>
      </c>
      <c r="R1254" s="16">
        <v>44329</v>
      </c>
      <c r="S1254" s="17" t="s">
        <v>569</v>
      </c>
      <c r="T1254" s="20">
        <f>HYPERLINK("https://vnm.spiral.com.vn//uploaded/20210513/8490D2D4-3F5B-4C1E-A87A-C0DDE44318D2.jpg","14:16:23")</f>
      </c>
      <c r="U1254" s="18"/>
      <c r="V1254" s="18" t="s">
        <v>35</v>
      </c>
      <c r="W1254" s="15" t="s">
        <v>7923</v>
      </c>
      <c r="X1254" s="15" t="s">
        <v>35</v>
      </c>
      <c r="Y1254" s="15" t="s">
        <v>35</v>
      </c>
      <c r="Z1254" s="19">
        <v>0</v>
      </c>
      <c r="AA1254" s="15">
        <v>0</v>
      </c>
      <c r="AB1254" s="15" t="s">
        <v>35</v>
      </c>
    </row>
    <row r="1255">
      <c r="A1255" s="15">
        <v>1251</v>
      </c>
      <c r="B1255" s="15" t="s">
        <v>87</v>
      </c>
      <c r="C1255" s="15" t="s">
        <v>88</v>
      </c>
      <c r="D1255" s="15" t="s">
        <v>610</v>
      </c>
      <c r="E1255" s="15" t="s">
        <v>90</v>
      </c>
      <c r="F1255" s="15" t="s">
        <v>35</v>
      </c>
      <c r="G1255" s="15" t="s">
        <v>74</v>
      </c>
      <c r="H1255" s="15" t="s">
        <v>7924</v>
      </c>
      <c r="I1255" s="15" t="s">
        <v>7925</v>
      </c>
      <c r="J1255" s="15" t="s">
        <v>7926</v>
      </c>
      <c r="K1255" s="15" t="s">
        <v>94</v>
      </c>
      <c r="L1255" s="15" t="s">
        <v>95</v>
      </c>
      <c r="M1255" s="15" t="s">
        <v>614</v>
      </c>
      <c r="N1255" s="15" t="s">
        <v>615</v>
      </c>
      <c r="O1255" s="15" t="s">
        <v>82</v>
      </c>
      <c r="P1255" s="15" t="s">
        <v>1341</v>
      </c>
      <c r="Q1255" s="15" t="s">
        <v>1342</v>
      </c>
      <c r="R1255" s="16">
        <v>44329</v>
      </c>
      <c r="S1255" s="17" t="s">
        <v>70</v>
      </c>
      <c r="T1255" s="20">
        <f>HYPERLINK("https://vnm.spiral.com.vn//uploaded/20210513/2C7E680E-2D32-4855-AA2F-6C6CD22FA401.jpg","13:56:59")</f>
      </c>
      <c r="U1255" s="20">
        <f>HYPERLINK("https://vnm.spiral.com.vn//uploaded/20210513/F91EF280-B769-4126-8020-17CEB11397C8.jpg","14:15:52")</f>
      </c>
      <c r="V1255" s="18">
        <v>0.013113425925925926</v>
      </c>
      <c r="W1255" s="15" t="s">
        <v>7927</v>
      </c>
      <c r="X1255" s="15" t="s">
        <v>7928</v>
      </c>
      <c r="Y1255" s="15" t="s">
        <v>35</v>
      </c>
      <c r="Z1255" s="19">
        <v>0</v>
      </c>
      <c r="AA1255" s="15">
        <v>0</v>
      </c>
      <c r="AB1255" s="15" t="s">
        <v>35</v>
      </c>
    </row>
    <row r="1256">
      <c r="A1256" s="15">
        <v>1252</v>
      </c>
      <c r="B1256" s="15" t="s">
        <v>343</v>
      </c>
      <c r="C1256" s="15" t="s">
        <v>344</v>
      </c>
      <c r="D1256" s="15" t="s">
        <v>432</v>
      </c>
      <c r="E1256" s="15" t="s">
        <v>116</v>
      </c>
      <c r="F1256" s="15" t="s">
        <v>35</v>
      </c>
      <c r="G1256" s="15" t="s">
        <v>74</v>
      </c>
      <c r="H1256" s="15" t="s">
        <v>7929</v>
      </c>
      <c r="I1256" s="15" t="s">
        <v>7930</v>
      </c>
      <c r="J1256" s="15" t="s">
        <v>7931</v>
      </c>
      <c r="K1256" s="15" t="s">
        <v>512</v>
      </c>
      <c r="L1256" s="15" t="s">
        <v>513</v>
      </c>
      <c r="M1256" s="15" t="s">
        <v>514</v>
      </c>
      <c r="N1256" s="15" t="s">
        <v>515</v>
      </c>
      <c r="O1256" s="15" t="s">
        <v>82</v>
      </c>
      <c r="P1256" s="15" t="s">
        <v>516</v>
      </c>
      <c r="Q1256" s="15" t="s">
        <v>517</v>
      </c>
      <c r="R1256" s="16">
        <v>44329</v>
      </c>
      <c r="S1256" s="17" t="s">
        <v>70</v>
      </c>
      <c r="T1256" s="20">
        <f>HYPERLINK("https://vnm.spiral.com.vn//uploaded/20210513/01d6a786-2058-4de9-adb7-84c1652881e4.JPEG","11:22:13")</f>
      </c>
      <c r="U1256" s="20">
        <f>HYPERLINK("https://vnm.spiral.com.vn//uploaded/20210513/3bf76fa1-4fdf-48b1-97b1-b126f5d6a19f.JPEG","14:15:51")</f>
      </c>
      <c r="V1256" s="18">
        <v>0.1205787037037037</v>
      </c>
      <c r="W1256" s="15" t="s">
        <v>7932</v>
      </c>
      <c r="X1256" s="15" t="s">
        <v>7933</v>
      </c>
      <c r="Y1256" s="15" t="s">
        <v>35</v>
      </c>
      <c r="Z1256" s="19">
        <v>0</v>
      </c>
      <c r="AA1256" s="15">
        <v>0</v>
      </c>
      <c r="AB1256" s="15" t="s">
        <v>35</v>
      </c>
    </row>
    <row r="1257">
      <c r="A1257" s="15">
        <v>1253</v>
      </c>
      <c r="B1257" s="15" t="s">
        <v>246</v>
      </c>
      <c r="C1257" s="15" t="s">
        <v>276</v>
      </c>
      <c r="D1257" s="15" t="s">
        <v>35</v>
      </c>
      <c r="E1257" s="15" t="s">
        <v>35</v>
      </c>
      <c r="F1257" s="15" t="s">
        <v>7713</v>
      </c>
      <c r="G1257" s="15" t="s">
        <v>36</v>
      </c>
      <c r="H1257" s="15" t="s">
        <v>7934</v>
      </c>
      <c r="I1257" s="15" t="s">
        <v>7935</v>
      </c>
      <c r="J1257" s="15" t="s">
        <v>7936</v>
      </c>
      <c r="K1257" s="15" t="s">
        <v>40</v>
      </c>
      <c r="L1257" s="15" t="s">
        <v>41</v>
      </c>
      <c r="M1257" s="15" t="s">
        <v>252</v>
      </c>
      <c r="N1257" s="15" t="s">
        <v>253</v>
      </c>
      <c r="O1257" s="15" t="s">
        <v>44</v>
      </c>
      <c r="P1257" s="15" t="s">
        <v>7937</v>
      </c>
      <c r="Q1257" s="15" t="s">
        <v>7938</v>
      </c>
      <c r="R1257" s="16">
        <v>44329</v>
      </c>
      <c r="S1257" s="17" t="s">
        <v>2703</v>
      </c>
      <c r="T1257" s="20">
        <f>HYPERLINK("https://vnm.spiral.com.vn//uploaded/20210513/954b0569-49f1-4706-a85a-9cadfa266a6b.JPEG","14:15:36")</f>
      </c>
      <c r="U1257" s="18"/>
      <c r="V1257" s="18" t="s">
        <v>35</v>
      </c>
      <c r="W1257" s="15" t="s">
        <v>7939</v>
      </c>
      <c r="X1257" s="15" t="s">
        <v>35</v>
      </c>
      <c r="Y1257" s="15" t="s">
        <v>35</v>
      </c>
      <c r="Z1257" s="19">
        <v>0</v>
      </c>
      <c r="AA1257" s="15">
        <v>0</v>
      </c>
      <c r="AB1257" s="15" t="s">
        <v>35</v>
      </c>
    </row>
    <row r="1258">
      <c r="A1258" s="15">
        <v>1254</v>
      </c>
      <c r="B1258" s="15" t="s">
        <v>49</v>
      </c>
      <c r="C1258" s="15" t="s">
        <v>756</v>
      </c>
      <c r="D1258" s="15" t="s">
        <v>35</v>
      </c>
      <c r="E1258" s="15" t="s">
        <v>35</v>
      </c>
      <c r="F1258" s="15" t="s">
        <v>6964</v>
      </c>
      <c r="G1258" s="15" t="s">
        <v>36</v>
      </c>
      <c r="H1258" s="15" t="s">
        <v>7940</v>
      </c>
      <c r="I1258" s="15" t="s">
        <v>7941</v>
      </c>
      <c r="J1258" s="15" t="s">
        <v>7942</v>
      </c>
      <c r="K1258" s="15" t="s">
        <v>40</v>
      </c>
      <c r="L1258" s="15" t="s">
        <v>41</v>
      </c>
      <c r="M1258" s="15" t="s">
        <v>55</v>
      </c>
      <c r="N1258" s="15" t="s">
        <v>56</v>
      </c>
      <c r="O1258" s="15" t="s">
        <v>44</v>
      </c>
      <c r="P1258" s="15" t="s">
        <v>7943</v>
      </c>
      <c r="Q1258" s="15" t="s">
        <v>7944</v>
      </c>
      <c r="R1258" s="16">
        <v>44329</v>
      </c>
      <c r="S1258" s="17" t="s">
        <v>569</v>
      </c>
      <c r="T1258" s="20">
        <f>HYPERLINK("https://vnm.spiral.com.vn//uploaded/20210513/4A587E7C-DCC2-4DFE-ACB6-D31422469FCB.jpg","14:15:09")</f>
      </c>
      <c r="U1258" s="18"/>
      <c r="V1258" s="18" t="s">
        <v>35</v>
      </c>
      <c r="W1258" s="15" t="s">
        <v>7945</v>
      </c>
      <c r="X1258" s="15" t="s">
        <v>35</v>
      </c>
      <c r="Y1258" s="15" t="s">
        <v>35</v>
      </c>
      <c r="Z1258" s="19">
        <v>0</v>
      </c>
      <c r="AA1258" s="15">
        <v>0</v>
      </c>
      <c r="AB1258" s="15" t="s">
        <v>35</v>
      </c>
    </row>
    <row r="1259">
      <c r="A1259" s="15">
        <v>1255</v>
      </c>
      <c r="B1259" s="15" t="s">
        <v>103</v>
      </c>
      <c r="C1259" s="15" t="s">
        <v>1078</v>
      </c>
      <c r="D1259" s="15" t="s">
        <v>432</v>
      </c>
      <c r="E1259" s="15" t="s">
        <v>116</v>
      </c>
      <c r="F1259" s="15" t="s">
        <v>35</v>
      </c>
      <c r="G1259" s="15" t="s">
        <v>74</v>
      </c>
      <c r="H1259" s="15" t="s">
        <v>7946</v>
      </c>
      <c r="I1259" s="15" t="s">
        <v>7947</v>
      </c>
      <c r="J1259" s="15" t="s">
        <v>7948</v>
      </c>
      <c r="K1259" s="15" t="s">
        <v>436</v>
      </c>
      <c r="L1259" s="15" t="s">
        <v>437</v>
      </c>
      <c r="M1259" s="15" t="s">
        <v>438</v>
      </c>
      <c r="N1259" s="15" t="s">
        <v>439</v>
      </c>
      <c r="O1259" s="15" t="s">
        <v>82</v>
      </c>
      <c r="P1259" s="15" t="s">
        <v>1082</v>
      </c>
      <c r="Q1259" s="15" t="s">
        <v>1083</v>
      </c>
      <c r="R1259" s="16">
        <v>44329</v>
      </c>
      <c r="S1259" s="17" t="s">
        <v>70</v>
      </c>
      <c r="T1259" s="20">
        <f>HYPERLINK("https://vnm.spiral.com.vn//uploaded/20210513/4F4B6762-0CF3-413C-9288-2758C010E3AF.jpg","13:27:54")</f>
      </c>
      <c r="U1259" s="20">
        <f>HYPERLINK("https://vnm.spiral.com.vn//uploaded/20210513/7C9A2D55-ED82-4E3E-B526-DE4266F7EBCA.jpg","14:14:56")</f>
      </c>
      <c r="V1259" s="18">
        <v>0.03266203703703704</v>
      </c>
      <c r="W1259" s="15" t="s">
        <v>7949</v>
      </c>
      <c r="X1259" s="15" t="s">
        <v>6962</v>
      </c>
      <c r="Y1259" s="15" t="s">
        <v>35</v>
      </c>
      <c r="Z1259" s="19">
        <v>0</v>
      </c>
      <c r="AA1259" s="15">
        <v>0</v>
      </c>
      <c r="AB1259" s="15" t="s">
        <v>35</v>
      </c>
    </row>
    <row r="1260">
      <c r="A1260" s="15">
        <v>1256</v>
      </c>
      <c r="B1260" s="15" t="s">
        <v>343</v>
      </c>
      <c r="C1260" s="15" t="s">
        <v>344</v>
      </c>
      <c r="D1260" s="15" t="s">
        <v>35</v>
      </c>
      <c r="E1260" s="15" t="s">
        <v>35</v>
      </c>
      <c r="F1260" s="15" t="s">
        <v>35</v>
      </c>
      <c r="G1260" s="15" t="s">
        <v>36</v>
      </c>
      <c r="H1260" s="15" t="s">
        <v>7950</v>
      </c>
      <c r="I1260" s="15" t="s">
        <v>7951</v>
      </c>
      <c r="J1260" s="15" t="s">
        <v>7952</v>
      </c>
      <c r="K1260" s="15" t="s">
        <v>40</v>
      </c>
      <c r="L1260" s="15" t="s">
        <v>41</v>
      </c>
      <c r="M1260" s="15" t="s">
        <v>595</v>
      </c>
      <c r="N1260" s="15" t="s">
        <v>596</v>
      </c>
      <c r="O1260" s="15" t="s">
        <v>44</v>
      </c>
      <c r="P1260" s="15" t="s">
        <v>7953</v>
      </c>
      <c r="Q1260" s="15" t="s">
        <v>7954</v>
      </c>
      <c r="R1260" s="16">
        <v>44329</v>
      </c>
      <c r="S1260" s="17" t="s">
        <v>569</v>
      </c>
      <c r="T1260" s="20">
        <f>HYPERLINK("https://vnm.spiral.com.vn//uploaded/20210513/630DE9D6-D991-4C80-BE96-4A22879C4BA8.jpg","14:14:21")</f>
      </c>
      <c r="U1260" s="18"/>
      <c r="V1260" s="18" t="s">
        <v>35</v>
      </c>
      <c r="W1260" s="15" t="s">
        <v>7955</v>
      </c>
      <c r="X1260" s="15" t="s">
        <v>35</v>
      </c>
      <c r="Y1260" s="15" t="s">
        <v>35</v>
      </c>
      <c r="Z1260" s="19">
        <v>0</v>
      </c>
      <c r="AA1260" s="15">
        <v>0</v>
      </c>
      <c r="AB1260" s="15" t="s">
        <v>35</v>
      </c>
    </row>
    <row r="1261">
      <c r="A1261" s="15">
        <v>1257</v>
      </c>
      <c r="B1261" s="15" t="s">
        <v>343</v>
      </c>
      <c r="C1261" s="15" t="s">
        <v>344</v>
      </c>
      <c r="D1261" s="15" t="s">
        <v>35</v>
      </c>
      <c r="E1261" s="15" t="s">
        <v>35</v>
      </c>
      <c r="F1261" s="15" t="s">
        <v>1599</v>
      </c>
      <c r="G1261" s="15" t="s">
        <v>36</v>
      </c>
      <c r="H1261" s="15" t="s">
        <v>7956</v>
      </c>
      <c r="I1261" s="15" t="s">
        <v>7957</v>
      </c>
      <c r="J1261" s="15" t="s">
        <v>7958</v>
      </c>
      <c r="K1261" s="15" t="s">
        <v>40</v>
      </c>
      <c r="L1261" s="15" t="s">
        <v>41</v>
      </c>
      <c r="M1261" s="15" t="s">
        <v>595</v>
      </c>
      <c r="N1261" s="15" t="s">
        <v>596</v>
      </c>
      <c r="O1261" s="15" t="s">
        <v>44</v>
      </c>
      <c r="P1261" s="15" t="s">
        <v>7959</v>
      </c>
      <c r="Q1261" s="15" t="s">
        <v>7960</v>
      </c>
      <c r="R1261" s="16">
        <v>44329</v>
      </c>
      <c r="S1261" s="17" t="s">
        <v>569</v>
      </c>
      <c r="T1261" s="20">
        <f>HYPERLINK("https://vnm.spiral.com.vn//uploaded/20210513/b1e2e342-3c44-4566-ba5c-8a0bf3d408c8.JPEG","14:13:16")</f>
      </c>
      <c r="U1261" s="18"/>
      <c r="V1261" s="18" t="s">
        <v>35</v>
      </c>
      <c r="W1261" s="15" t="s">
        <v>7961</v>
      </c>
      <c r="X1261" s="15" t="s">
        <v>35</v>
      </c>
      <c r="Y1261" s="15" t="s">
        <v>35</v>
      </c>
      <c r="Z1261" s="19">
        <v>0</v>
      </c>
      <c r="AA1261" s="15">
        <v>0</v>
      </c>
      <c r="AB1261" s="15" t="s">
        <v>35</v>
      </c>
    </row>
    <row r="1262">
      <c r="A1262" s="15">
        <v>1258</v>
      </c>
      <c r="B1262" s="15" t="s">
        <v>87</v>
      </c>
      <c r="C1262" s="15" t="s">
        <v>88</v>
      </c>
      <c r="D1262" s="15" t="s">
        <v>135</v>
      </c>
      <c r="E1262" s="15" t="s">
        <v>116</v>
      </c>
      <c r="F1262" s="15" t="s">
        <v>35</v>
      </c>
      <c r="G1262" s="15" t="s">
        <v>74</v>
      </c>
      <c r="H1262" s="15" t="s">
        <v>7962</v>
      </c>
      <c r="I1262" s="15" t="s">
        <v>7963</v>
      </c>
      <c r="J1262" s="15" t="s">
        <v>7964</v>
      </c>
      <c r="K1262" s="15" t="s">
        <v>390</v>
      </c>
      <c r="L1262" s="15" t="s">
        <v>391</v>
      </c>
      <c r="M1262" s="15" t="s">
        <v>392</v>
      </c>
      <c r="N1262" s="15" t="s">
        <v>393</v>
      </c>
      <c r="O1262" s="15" t="s">
        <v>82</v>
      </c>
      <c r="P1262" s="15" t="s">
        <v>5400</v>
      </c>
      <c r="Q1262" s="15" t="s">
        <v>5401</v>
      </c>
      <c r="R1262" s="16">
        <v>44329</v>
      </c>
      <c r="S1262" s="17" t="s">
        <v>70</v>
      </c>
      <c r="T1262" s="20">
        <f>HYPERLINK("https://vnm.spiral.com.vn//uploaded/20210513/AE74832C-52D1-4F61-85A2-8266CA7AED3B.jpg","13:29:41")</f>
      </c>
      <c r="U1262" s="20">
        <f>HYPERLINK("https://vnm.spiral.com.vn//uploaded/20210513/8CB65165-8BB3-4C22-B8DA-08295371E667.jpg","14:12:34")</f>
      </c>
      <c r="V1262" s="18">
        <v>0.029780092592592594</v>
      </c>
      <c r="W1262" s="15" t="s">
        <v>5402</v>
      </c>
      <c r="X1262" s="15" t="s">
        <v>5402</v>
      </c>
      <c r="Y1262" s="15" t="s">
        <v>35</v>
      </c>
      <c r="Z1262" s="19">
        <v>0</v>
      </c>
      <c r="AA1262" s="15">
        <v>0</v>
      </c>
      <c r="AB1262" s="15" t="s">
        <v>35</v>
      </c>
    </row>
    <row r="1263">
      <c r="A1263" s="15">
        <v>1259</v>
      </c>
      <c r="B1263" s="15" t="s">
        <v>87</v>
      </c>
      <c r="C1263" s="15" t="s">
        <v>88</v>
      </c>
      <c r="D1263" s="15" t="s">
        <v>135</v>
      </c>
      <c r="E1263" s="15" t="s">
        <v>116</v>
      </c>
      <c r="F1263" s="15" t="s">
        <v>35</v>
      </c>
      <c r="G1263" s="15" t="s">
        <v>74</v>
      </c>
      <c r="H1263" s="15" t="s">
        <v>7965</v>
      </c>
      <c r="I1263" s="15" t="s">
        <v>7966</v>
      </c>
      <c r="J1263" s="15" t="s">
        <v>7967</v>
      </c>
      <c r="K1263" s="15" t="s">
        <v>139</v>
      </c>
      <c r="L1263" s="15" t="s">
        <v>140</v>
      </c>
      <c r="M1263" s="15" t="s">
        <v>530</v>
      </c>
      <c r="N1263" s="15" t="s">
        <v>531</v>
      </c>
      <c r="O1263" s="15" t="s">
        <v>82</v>
      </c>
      <c r="P1263" s="15" t="s">
        <v>1453</v>
      </c>
      <c r="Q1263" s="15" t="s">
        <v>1454</v>
      </c>
      <c r="R1263" s="16">
        <v>44329</v>
      </c>
      <c r="S1263" s="17" t="s">
        <v>70</v>
      </c>
      <c r="T1263" s="20">
        <f>HYPERLINK("https://vnm.spiral.com.vn//uploaded/20210513/3bebd2f6-fdfa-4e23-8ffc-564f6c0d6034.JPEG","13:13:26")</f>
      </c>
      <c r="U1263" s="20">
        <f>HYPERLINK("https://vnm.spiral.com.vn//uploaded/20210513/1f6a8fe5-a047-4e55-b7f2-5735601c8887.JPEG","14:12:28")</f>
      </c>
      <c r="V1263" s="18">
        <v>0.04099537037037037</v>
      </c>
      <c r="W1263" s="15" t="s">
        <v>7968</v>
      </c>
      <c r="X1263" s="15" t="s">
        <v>7969</v>
      </c>
      <c r="Y1263" s="15" t="s">
        <v>35</v>
      </c>
      <c r="Z1263" s="19">
        <v>0</v>
      </c>
      <c r="AA1263" s="15">
        <v>0</v>
      </c>
      <c r="AB1263" s="15" t="s">
        <v>35</v>
      </c>
    </row>
    <row r="1264">
      <c r="A1264" s="15">
        <v>1260</v>
      </c>
      <c r="B1264" s="15" t="s">
        <v>49</v>
      </c>
      <c r="C1264" s="15" t="s">
        <v>1389</v>
      </c>
      <c r="D1264" s="15" t="s">
        <v>35</v>
      </c>
      <c r="E1264" s="15" t="s">
        <v>35</v>
      </c>
      <c r="F1264" s="15" t="s">
        <v>4452</v>
      </c>
      <c r="G1264" s="15" t="s">
        <v>36</v>
      </c>
      <c r="H1264" s="15" t="s">
        <v>7970</v>
      </c>
      <c r="I1264" s="15" t="s">
        <v>7971</v>
      </c>
      <c r="J1264" s="15" t="s">
        <v>7972</v>
      </c>
      <c r="K1264" s="15" t="s">
        <v>40</v>
      </c>
      <c r="L1264" s="15" t="s">
        <v>41</v>
      </c>
      <c r="M1264" s="15" t="s">
        <v>55</v>
      </c>
      <c r="N1264" s="15" t="s">
        <v>56</v>
      </c>
      <c r="O1264" s="15" t="s">
        <v>44</v>
      </c>
      <c r="P1264" s="15" t="s">
        <v>7973</v>
      </c>
      <c r="Q1264" s="15" t="s">
        <v>7974</v>
      </c>
      <c r="R1264" s="16">
        <v>44329</v>
      </c>
      <c r="S1264" s="17" t="s">
        <v>569</v>
      </c>
      <c r="T1264" s="20">
        <f>HYPERLINK("https://vnm.spiral.com.vn//uploaded/20210513/F2D1CADC-9B44-4789-84D4-9C066A00BF51.jpg","14:12:22")</f>
      </c>
      <c r="U1264" s="18"/>
      <c r="V1264" s="18" t="s">
        <v>35</v>
      </c>
      <c r="W1264" s="15" t="s">
        <v>7975</v>
      </c>
      <c r="X1264" s="15" t="s">
        <v>35</v>
      </c>
      <c r="Y1264" s="15" t="s">
        <v>35</v>
      </c>
      <c r="Z1264" s="19">
        <v>0</v>
      </c>
      <c r="AA1264" s="15">
        <v>0</v>
      </c>
      <c r="AB1264" s="15" t="s">
        <v>35</v>
      </c>
    </row>
    <row r="1265">
      <c r="A1265" s="15">
        <v>1261</v>
      </c>
      <c r="B1265" s="15" t="s">
        <v>87</v>
      </c>
      <c r="C1265" s="15" t="s">
        <v>88</v>
      </c>
      <c r="D1265" s="15" t="s">
        <v>135</v>
      </c>
      <c r="E1265" s="15" t="s">
        <v>116</v>
      </c>
      <c r="F1265" s="15" t="s">
        <v>35</v>
      </c>
      <c r="G1265" s="15" t="s">
        <v>74</v>
      </c>
      <c r="H1265" s="15" t="s">
        <v>7976</v>
      </c>
      <c r="I1265" s="15" t="s">
        <v>7977</v>
      </c>
      <c r="J1265" s="15" t="s">
        <v>7978</v>
      </c>
      <c r="K1265" s="15" t="s">
        <v>390</v>
      </c>
      <c r="L1265" s="15" t="s">
        <v>391</v>
      </c>
      <c r="M1265" s="15" t="s">
        <v>392</v>
      </c>
      <c r="N1265" s="15" t="s">
        <v>393</v>
      </c>
      <c r="O1265" s="15" t="s">
        <v>82</v>
      </c>
      <c r="P1265" s="15" t="s">
        <v>394</v>
      </c>
      <c r="Q1265" s="15" t="s">
        <v>395</v>
      </c>
      <c r="R1265" s="16">
        <v>44329</v>
      </c>
      <c r="S1265" s="17" t="s">
        <v>70</v>
      </c>
      <c r="T1265" s="20">
        <f>HYPERLINK("https://vnm.spiral.com.vn//uploaded/20210513/7a07b0ad-c8a9-4bc4-8b9c-ef1a203fb459.JPEG","12:27:49")</f>
      </c>
      <c r="U1265" s="20">
        <f>HYPERLINK("https://vnm.spiral.com.vn//uploaded/20210513/edead6f4-108e-4472-9730-40e6e46f2a03.JPEG","14:12:14")</f>
      </c>
      <c r="V1265" s="18">
        <v>0.07251157407407408</v>
      </c>
      <c r="W1265" s="15" t="s">
        <v>7979</v>
      </c>
      <c r="X1265" s="15" t="s">
        <v>7980</v>
      </c>
      <c r="Y1265" s="15" t="s">
        <v>35</v>
      </c>
      <c r="Z1265" s="19">
        <v>0</v>
      </c>
      <c r="AA1265" s="15">
        <v>0</v>
      </c>
      <c r="AB1265" s="15" t="s">
        <v>35</v>
      </c>
    </row>
    <row r="1266">
      <c r="A1266" s="15">
        <v>1262</v>
      </c>
      <c r="B1266" s="15" t="s">
        <v>343</v>
      </c>
      <c r="C1266" s="15" t="s">
        <v>2135</v>
      </c>
      <c r="D1266" s="15" t="s">
        <v>35</v>
      </c>
      <c r="E1266" s="15" t="s">
        <v>35</v>
      </c>
      <c r="F1266" s="15" t="s">
        <v>35</v>
      </c>
      <c r="G1266" s="15" t="s">
        <v>36</v>
      </c>
      <c r="H1266" s="15" t="s">
        <v>7981</v>
      </c>
      <c r="I1266" s="15" t="s">
        <v>7982</v>
      </c>
      <c r="J1266" s="15" t="s">
        <v>7983</v>
      </c>
      <c r="K1266" s="15" t="s">
        <v>40</v>
      </c>
      <c r="L1266" s="15" t="s">
        <v>41</v>
      </c>
      <c r="M1266" s="15" t="s">
        <v>409</v>
      </c>
      <c r="N1266" s="15" t="s">
        <v>410</v>
      </c>
      <c r="O1266" s="15" t="s">
        <v>44</v>
      </c>
      <c r="P1266" s="15" t="s">
        <v>7984</v>
      </c>
      <c r="Q1266" s="15" t="s">
        <v>6445</v>
      </c>
      <c r="R1266" s="16">
        <v>44329</v>
      </c>
      <c r="S1266" s="17" t="s">
        <v>569</v>
      </c>
      <c r="T1266" s="20">
        <f>HYPERLINK("https://vnm.spiral.com.vn//uploaded/20210513/1EBAFBF1-5334-4EE0-9C7E-4541C24153D2.jpg","14:12:00")</f>
      </c>
      <c r="U1266" s="18"/>
      <c r="V1266" s="18" t="s">
        <v>35</v>
      </c>
      <c r="W1266" s="15" t="s">
        <v>7985</v>
      </c>
      <c r="X1266" s="15" t="s">
        <v>35</v>
      </c>
      <c r="Y1266" s="15" t="s">
        <v>35</v>
      </c>
      <c r="Z1266" s="19">
        <v>0</v>
      </c>
      <c r="AA1266" s="15">
        <v>0</v>
      </c>
      <c r="AB1266" s="15" t="s">
        <v>35</v>
      </c>
    </row>
    <row r="1267">
      <c r="A1267" s="15">
        <v>1263</v>
      </c>
      <c r="B1267" s="15" t="s">
        <v>33</v>
      </c>
      <c r="C1267" s="15" t="s">
        <v>211</v>
      </c>
      <c r="D1267" s="15" t="s">
        <v>35</v>
      </c>
      <c r="E1267" s="15" t="s">
        <v>35</v>
      </c>
      <c r="F1267" s="15" t="s">
        <v>35</v>
      </c>
      <c r="G1267" s="15" t="s">
        <v>36</v>
      </c>
      <c r="H1267" s="15" t="s">
        <v>7986</v>
      </c>
      <c r="I1267" s="15" t="s">
        <v>7987</v>
      </c>
      <c r="J1267" s="15" t="s">
        <v>7988</v>
      </c>
      <c r="K1267" s="15" t="s">
        <v>40</v>
      </c>
      <c r="L1267" s="15" t="s">
        <v>41</v>
      </c>
      <c r="M1267" s="15" t="s">
        <v>42</v>
      </c>
      <c r="N1267" s="15" t="s">
        <v>43</v>
      </c>
      <c r="O1267" s="15" t="s">
        <v>44</v>
      </c>
      <c r="P1267" s="15" t="s">
        <v>7989</v>
      </c>
      <c r="Q1267" s="15" t="s">
        <v>7990</v>
      </c>
      <c r="R1267" s="16">
        <v>44329</v>
      </c>
      <c r="S1267" s="17" t="s">
        <v>2703</v>
      </c>
      <c r="T1267" s="20">
        <f>HYPERLINK("https://vnm.spiral.com.vn//uploaded/20210513/77675eba-0e10-4fbc-8978-baae50be4859.JPEG","14:11:52")</f>
      </c>
      <c r="U1267" s="18"/>
      <c r="V1267" s="18" t="s">
        <v>35</v>
      </c>
      <c r="W1267" s="15" t="s">
        <v>7991</v>
      </c>
      <c r="X1267" s="15" t="s">
        <v>35</v>
      </c>
      <c r="Y1267" s="15" t="s">
        <v>35</v>
      </c>
      <c r="Z1267" s="19">
        <v>0</v>
      </c>
      <c r="AA1267" s="15">
        <v>0</v>
      </c>
      <c r="AB1267" s="15" t="s">
        <v>35</v>
      </c>
    </row>
    <row r="1268">
      <c r="A1268" s="15">
        <v>1264</v>
      </c>
      <c r="B1268" s="15" t="s">
        <v>87</v>
      </c>
      <c r="C1268" s="15" t="s">
        <v>88</v>
      </c>
      <c r="D1268" s="15" t="s">
        <v>35</v>
      </c>
      <c r="E1268" s="15" t="s">
        <v>35</v>
      </c>
      <c r="F1268" s="15" t="s">
        <v>1191</v>
      </c>
      <c r="G1268" s="15" t="s">
        <v>36</v>
      </c>
      <c r="H1268" s="15" t="s">
        <v>7992</v>
      </c>
      <c r="I1268" s="15" t="s">
        <v>7993</v>
      </c>
      <c r="J1268" s="15" t="s">
        <v>7994</v>
      </c>
      <c r="K1268" s="15" t="s">
        <v>40</v>
      </c>
      <c r="L1268" s="15" t="s">
        <v>41</v>
      </c>
      <c r="M1268" s="15" t="s">
        <v>1195</v>
      </c>
      <c r="N1268" s="15" t="s">
        <v>1196</v>
      </c>
      <c r="O1268" s="15" t="s">
        <v>44</v>
      </c>
      <c r="P1268" s="15" t="s">
        <v>7995</v>
      </c>
      <c r="Q1268" s="15" t="s">
        <v>7996</v>
      </c>
      <c r="R1268" s="16">
        <v>44329</v>
      </c>
      <c r="S1268" s="17" t="s">
        <v>971</v>
      </c>
      <c r="T1268" s="20">
        <f>HYPERLINK("https://vnm.spiral.com.vn//uploaded/20210513/8EF18A80-C245-4A8E-AB25-F81BF5B58833.jpg","06:03:30")</f>
      </c>
      <c r="U1268" s="20">
        <f>HYPERLINK("https://vnm.spiral.com.vn//uploaded/20210513/587BA064-CF80-4BB4-AC12-6C94272513EF.jpg","14:11:43")</f>
      </c>
      <c r="V1268" s="18">
        <v>0.33903935185185186</v>
      </c>
      <c r="W1268" s="15" t="s">
        <v>7997</v>
      </c>
      <c r="X1268" s="15" t="s">
        <v>7998</v>
      </c>
      <c r="Y1268" s="15" t="s">
        <v>35</v>
      </c>
      <c r="Z1268" s="19">
        <v>0</v>
      </c>
      <c r="AA1268" s="15">
        <v>0</v>
      </c>
      <c r="AB1268" s="15" t="s">
        <v>35</v>
      </c>
    </row>
    <row r="1269">
      <c r="A1269" s="15">
        <v>1265</v>
      </c>
      <c r="B1269" s="15" t="s">
        <v>246</v>
      </c>
      <c r="C1269" s="15" t="s">
        <v>259</v>
      </c>
      <c r="D1269" s="15" t="s">
        <v>432</v>
      </c>
      <c r="E1269" s="15" t="s">
        <v>116</v>
      </c>
      <c r="F1269" s="15" t="s">
        <v>35</v>
      </c>
      <c r="G1269" s="15" t="s">
        <v>74</v>
      </c>
      <c r="H1269" s="15" t="s">
        <v>7999</v>
      </c>
      <c r="I1269" s="15" t="s">
        <v>8000</v>
      </c>
      <c r="J1269" s="15" t="s">
        <v>8001</v>
      </c>
      <c r="K1269" s="15" t="s">
        <v>166</v>
      </c>
      <c r="L1269" s="15" t="s">
        <v>167</v>
      </c>
      <c r="M1269" s="15" t="s">
        <v>263</v>
      </c>
      <c r="N1269" s="15" t="s">
        <v>264</v>
      </c>
      <c r="O1269" s="15" t="s">
        <v>82</v>
      </c>
      <c r="P1269" s="15" t="s">
        <v>2514</v>
      </c>
      <c r="Q1269" s="15" t="s">
        <v>2515</v>
      </c>
      <c r="R1269" s="16">
        <v>44329</v>
      </c>
      <c r="S1269" s="17" t="s">
        <v>70</v>
      </c>
      <c r="T1269" s="20">
        <f>HYPERLINK("https://vnm.spiral.com.vn//uploaded/20210513/88a7b8d0-7979-4f43-8a70-b88c89c73d11.JPEG","13:27:31")</f>
      </c>
      <c r="U1269" s="20">
        <f>HYPERLINK("https://vnm.spiral.com.vn//uploaded/20210513/0f4345a5-0db6-4f8b-b1a7-46cb40f1398d.JPEG","14:11:43")</f>
      </c>
      <c r="V1269" s="18">
        <v>0.030694444444444444</v>
      </c>
      <c r="W1269" s="15" t="s">
        <v>8002</v>
      </c>
      <c r="X1269" s="15" t="s">
        <v>8003</v>
      </c>
      <c r="Y1269" s="15" t="s">
        <v>35</v>
      </c>
      <c r="Z1269" s="19">
        <v>0</v>
      </c>
      <c r="AA1269" s="15">
        <v>0</v>
      </c>
      <c r="AB1269" s="15" t="s">
        <v>35</v>
      </c>
    </row>
    <row r="1270">
      <c r="A1270" s="15">
        <v>1266</v>
      </c>
      <c r="B1270" s="15" t="s">
        <v>103</v>
      </c>
      <c r="C1270" s="15" t="s">
        <v>186</v>
      </c>
      <c r="D1270" s="15" t="s">
        <v>432</v>
      </c>
      <c r="E1270" s="15" t="s">
        <v>116</v>
      </c>
      <c r="F1270" s="15" t="s">
        <v>35</v>
      </c>
      <c r="G1270" s="15" t="s">
        <v>74</v>
      </c>
      <c r="H1270" s="15" t="s">
        <v>8004</v>
      </c>
      <c r="I1270" s="15" t="s">
        <v>8005</v>
      </c>
      <c r="J1270" s="15" t="s">
        <v>8006</v>
      </c>
      <c r="K1270" s="15" t="s">
        <v>436</v>
      </c>
      <c r="L1270" s="15" t="s">
        <v>437</v>
      </c>
      <c r="M1270" s="15" t="s">
        <v>438</v>
      </c>
      <c r="N1270" s="15" t="s">
        <v>439</v>
      </c>
      <c r="O1270" s="15" t="s">
        <v>82</v>
      </c>
      <c r="P1270" s="15" t="s">
        <v>1886</v>
      </c>
      <c r="Q1270" s="15" t="s">
        <v>1887</v>
      </c>
      <c r="R1270" s="16">
        <v>44329</v>
      </c>
      <c r="S1270" s="17" t="s">
        <v>70</v>
      </c>
      <c r="T1270" s="20">
        <f>HYPERLINK("https://vnm.spiral.com.vn//uploaded/20210513/3d67a1fa-ab3e-411e-905a-6d9083bedfcf.JPEG","13:22:36")</f>
      </c>
      <c r="U1270" s="20">
        <f>HYPERLINK("https://vnm.spiral.com.vn//uploaded/20210513/5bec0d52-ba12-4a44-89a2-863ac9bd6f91.JPEG","14:11:39")</f>
      </c>
      <c r="V1270" s="18">
        <v>0.0340625</v>
      </c>
      <c r="W1270" s="15" t="s">
        <v>8007</v>
      </c>
      <c r="X1270" s="15" t="s">
        <v>8008</v>
      </c>
      <c r="Y1270" s="15" t="s">
        <v>35</v>
      </c>
      <c r="Z1270" s="19">
        <v>0</v>
      </c>
      <c r="AA1270" s="15">
        <v>0</v>
      </c>
      <c r="AB1270" s="15" t="s">
        <v>35</v>
      </c>
    </row>
    <row r="1271">
      <c r="A1271" s="15">
        <v>1267</v>
      </c>
      <c r="B1271" s="15" t="s">
        <v>103</v>
      </c>
      <c r="C1271" s="15" t="s">
        <v>104</v>
      </c>
      <c r="D1271" s="15" t="s">
        <v>135</v>
      </c>
      <c r="E1271" s="15" t="s">
        <v>116</v>
      </c>
      <c r="F1271" s="15" t="s">
        <v>35</v>
      </c>
      <c r="G1271" s="15" t="s">
        <v>74</v>
      </c>
      <c r="H1271" s="15" t="s">
        <v>8009</v>
      </c>
      <c r="I1271" s="15" t="s">
        <v>8010</v>
      </c>
      <c r="J1271" s="15" t="s">
        <v>8011</v>
      </c>
      <c r="K1271" s="15" t="s">
        <v>460</v>
      </c>
      <c r="L1271" s="15" t="s">
        <v>461</v>
      </c>
      <c r="M1271" s="15" t="s">
        <v>462</v>
      </c>
      <c r="N1271" s="15" t="s">
        <v>463</v>
      </c>
      <c r="O1271" s="15" t="s">
        <v>82</v>
      </c>
      <c r="P1271" s="15" t="s">
        <v>2930</v>
      </c>
      <c r="Q1271" s="15" t="s">
        <v>2931</v>
      </c>
      <c r="R1271" s="16">
        <v>44329</v>
      </c>
      <c r="S1271" s="17" t="s">
        <v>70</v>
      </c>
      <c r="T1271" s="20">
        <f>HYPERLINK("https://vnm.spiral.com.vn//uploaded/20210513/8e792b7d-7911-4821-9760-18583dae5e8d.JPEG","13:19:56")</f>
      </c>
      <c r="U1271" s="20">
        <f>HYPERLINK("https://vnm.spiral.com.vn//uploaded/20210513/3918f9b6-cb41-4ff8-a069-f6354bf55809.JPEG","14:11:39")</f>
      </c>
      <c r="V1271" s="18">
        <v>0.03591435185185185</v>
      </c>
      <c r="W1271" s="15" t="s">
        <v>8012</v>
      </c>
      <c r="X1271" s="15" t="s">
        <v>8013</v>
      </c>
      <c r="Y1271" s="15" t="s">
        <v>35</v>
      </c>
      <c r="Z1271" s="19">
        <v>0</v>
      </c>
      <c r="AA1271" s="15">
        <v>0</v>
      </c>
      <c r="AB1271" s="15" t="s">
        <v>35</v>
      </c>
    </row>
    <row r="1272">
      <c r="A1272" s="15">
        <v>1268</v>
      </c>
      <c r="B1272" s="15" t="s">
        <v>103</v>
      </c>
      <c r="C1272" s="15" t="s">
        <v>104</v>
      </c>
      <c r="D1272" s="15" t="s">
        <v>135</v>
      </c>
      <c r="E1272" s="15" t="s">
        <v>116</v>
      </c>
      <c r="F1272" s="15" t="s">
        <v>35</v>
      </c>
      <c r="G1272" s="15" t="s">
        <v>74</v>
      </c>
      <c r="H1272" s="15" t="s">
        <v>8009</v>
      </c>
      <c r="I1272" s="15" t="s">
        <v>8010</v>
      </c>
      <c r="J1272" s="15" t="s">
        <v>8011</v>
      </c>
      <c r="K1272" s="15" t="s">
        <v>190</v>
      </c>
      <c r="L1272" s="15" t="s">
        <v>191</v>
      </c>
      <c r="M1272" s="15" t="s">
        <v>460</v>
      </c>
      <c r="N1272" s="15" t="s">
        <v>461</v>
      </c>
      <c r="O1272" s="15" t="s">
        <v>98</v>
      </c>
      <c r="P1272" s="15" t="s">
        <v>462</v>
      </c>
      <c r="Q1272" s="15" t="s">
        <v>463</v>
      </c>
      <c r="R1272" s="16">
        <v>44329</v>
      </c>
      <c r="S1272" s="17" t="s">
        <v>35</v>
      </c>
      <c r="T1272" s="20">
        <f>HYPERLINK("https://vnm.spiral.com.vn//uploaded/20210513/8756C2DC-C207-4544-A068-D94B7AB5084B.jpg","13:21:27")</f>
      </c>
      <c r="U1272" s="20">
        <f>HYPERLINK("https://vnm.spiral.com.vn//uploaded/20210513/44A0C635-B13A-406C-9E87-3D639DAF2DD0.jpg","14:11:37")</f>
      </c>
      <c r="V1272" s="18">
        <v>0.034837962962962966</v>
      </c>
      <c r="W1272" s="15" t="s">
        <v>8014</v>
      </c>
      <c r="X1272" s="15" t="s">
        <v>8015</v>
      </c>
      <c r="Y1272" s="15" t="s">
        <v>35</v>
      </c>
      <c r="Z1272" s="19">
        <v>0</v>
      </c>
      <c r="AA1272" s="15">
        <v>0</v>
      </c>
      <c r="AB1272" s="15" t="s">
        <v>35</v>
      </c>
    </row>
    <row r="1273">
      <c r="A1273" s="15">
        <v>1269</v>
      </c>
      <c r="B1273" s="15" t="s">
        <v>87</v>
      </c>
      <c r="C1273" s="15" t="s">
        <v>88</v>
      </c>
      <c r="D1273" s="15" t="s">
        <v>135</v>
      </c>
      <c r="E1273" s="15" t="s">
        <v>116</v>
      </c>
      <c r="F1273" s="15" t="s">
        <v>35</v>
      </c>
      <c r="G1273" s="15" t="s">
        <v>74</v>
      </c>
      <c r="H1273" s="15" t="s">
        <v>8016</v>
      </c>
      <c r="I1273" s="15" t="s">
        <v>8017</v>
      </c>
      <c r="J1273" s="15" t="s">
        <v>8018</v>
      </c>
      <c r="K1273" s="15" t="s">
        <v>139</v>
      </c>
      <c r="L1273" s="15" t="s">
        <v>140</v>
      </c>
      <c r="M1273" s="15" t="s">
        <v>530</v>
      </c>
      <c r="N1273" s="15" t="s">
        <v>531</v>
      </c>
      <c r="O1273" s="15" t="s">
        <v>82</v>
      </c>
      <c r="P1273" s="15" t="s">
        <v>2017</v>
      </c>
      <c r="Q1273" s="15" t="s">
        <v>2018</v>
      </c>
      <c r="R1273" s="16">
        <v>44329</v>
      </c>
      <c r="S1273" s="17" t="s">
        <v>70</v>
      </c>
      <c r="T1273" s="20">
        <f>HYPERLINK("https://vnm.spiral.com.vn//uploaded/20210513/EA4CF8DC-2B72-4E1B-BD4A-A38E8954C967.jpg","12:36:46")</f>
      </c>
      <c r="U1273" s="20">
        <f>HYPERLINK("https://vnm.spiral.com.vn//uploaded/20210513/E2BFBC14-869D-46D9-A04C-6DD46032B49F.jpg","14:11:29")</f>
      </c>
      <c r="V1273" s="18">
        <v>0.06577546296296297</v>
      </c>
      <c r="W1273" s="15" t="s">
        <v>8019</v>
      </c>
      <c r="X1273" s="15" t="s">
        <v>8020</v>
      </c>
      <c r="Y1273" s="15" t="s">
        <v>35</v>
      </c>
      <c r="Z1273" s="19">
        <v>0</v>
      </c>
      <c r="AA1273" s="15">
        <v>0</v>
      </c>
      <c r="AB1273" s="15" t="s">
        <v>35</v>
      </c>
    </row>
    <row r="1274">
      <c r="A1274" s="15">
        <v>1270</v>
      </c>
      <c r="B1274" s="15" t="s">
        <v>87</v>
      </c>
      <c r="C1274" s="15" t="s">
        <v>88</v>
      </c>
      <c r="D1274" s="15" t="s">
        <v>35</v>
      </c>
      <c r="E1274" s="15" t="s">
        <v>35</v>
      </c>
      <c r="F1274" s="15" t="s">
        <v>35</v>
      </c>
      <c r="G1274" s="15" t="s">
        <v>74</v>
      </c>
      <c r="H1274" s="15" t="s">
        <v>8021</v>
      </c>
      <c r="I1274" s="15" t="s">
        <v>8022</v>
      </c>
      <c r="J1274" s="15" t="s">
        <v>8023</v>
      </c>
      <c r="K1274" s="15" t="s">
        <v>888</v>
      </c>
      <c r="L1274" s="15" t="s">
        <v>889</v>
      </c>
      <c r="M1274" s="15" t="s">
        <v>890</v>
      </c>
      <c r="N1274" s="15" t="s">
        <v>891</v>
      </c>
      <c r="O1274" s="15" t="s">
        <v>82</v>
      </c>
      <c r="P1274" s="15" t="s">
        <v>1547</v>
      </c>
      <c r="Q1274" s="15" t="s">
        <v>1548</v>
      </c>
      <c r="R1274" s="16">
        <v>44329</v>
      </c>
      <c r="S1274" s="17" t="s">
        <v>70</v>
      </c>
      <c r="T1274" s="20">
        <f>HYPERLINK("https://vnm.spiral.com.vn//uploaded/20210513/24521244-F564-4BE6-96FC-7F7B4B1D2900.jpg","13:41:34")</f>
      </c>
      <c r="U1274" s="20">
        <f>HYPERLINK("https://vnm.spiral.com.vn//uploaded/20210513/4FFAF165-5A10-4B61-B83D-EF38F41CC99B.jpg","14:11:19")</f>
      </c>
      <c r="V1274" s="18">
        <v>0.02065972222222222</v>
      </c>
      <c r="W1274" s="15" t="s">
        <v>8024</v>
      </c>
      <c r="X1274" s="15" t="s">
        <v>8025</v>
      </c>
      <c r="Y1274" s="15" t="s">
        <v>35</v>
      </c>
      <c r="Z1274" s="19">
        <v>0</v>
      </c>
      <c r="AA1274" s="15">
        <v>0</v>
      </c>
      <c r="AB1274" s="15" t="s">
        <v>35</v>
      </c>
    </row>
    <row r="1275">
      <c r="A1275" s="15">
        <v>1271</v>
      </c>
      <c r="B1275" s="15" t="s">
        <v>61</v>
      </c>
      <c r="C1275" s="15" t="s">
        <v>1106</v>
      </c>
      <c r="D1275" s="15" t="s">
        <v>35</v>
      </c>
      <c r="E1275" s="15" t="s">
        <v>35</v>
      </c>
      <c r="F1275" s="15" t="s">
        <v>35</v>
      </c>
      <c r="G1275" s="15" t="s">
        <v>36</v>
      </c>
      <c r="H1275" s="15" t="s">
        <v>8026</v>
      </c>
      <c r="I1275" s="15" t="s">
        <v>8027</v>
      </c>
      <c r="J1275" s="15" t="s">
        <v>8028</v>
      </c>
      <c r="K1275" s="15" t="s">
        <v>40</v>
      </c>
      <c r="L1275" s="15" t="s">
        <v>41</v>
      </c>
      <c r="M1275" s="15" t="s">
        <v>66</v>
      </c>
      <c r="N1275" s="15" t="s">
        <v>67</v>
      </c>
      <c r="O1275" s="15" t="s">
        <v>44</v>
      </c>
      <c r="P1275" s="15" t="s">
        <v>8029</v>
      </c>
      <c r="Q1275" s="15" t="s">
        <v>8030</v>
      </c>
      <c r="R1275" s="16">
        <v>44329</v>
      </c>
      <c r="S1275" s="17" t="s">
        <v>8031</v>
      </c>
      <c r="T1275" s="20">
        <f>HYPERLINK("https://vnm.spiral.com.vn//uploaded/20210513/6b18cbd1-9c37-455d-bdaf-30fc68f80403.JPEG","14:11:08")</f>
      </c>
      <c r="U1275" s="18"/>
      <c r="V1275" s="18" t="s">
        <v>35</v>
      </c>
      <c r="W1275" s="15" t="s">
        <v>8032</v>
      </c>
      <c r="X1275" s="15" t="s">
        <v>35</v>
      </c>
      <c r="Y1275" s="15" t="s">
        <v>35</v>
      </c>
      <c r="Z1275" s="19">
        <v>0</v>
      </c>
      <c r="AA1275" s="15">
        <v>0</v>
      </c>
      <c r="AB1275" s="15" t="s">
        <v>35</v>
      </c>
    </row>
    <row r="1276">
      <c r="A1276" s="15">
        <v>1272</v>
      </c>
      <c r="B1276" s="15" t="s">
        <v>87</v>
      </c>
      <c r="C1276" s="15" t="s">
        <v>88</v>
      </c>
      <c r="D1276" s="15" t="s">
        <v>35</v>
      </c>
      <c r="E1276" s="15" t="s">
        <v>35</v>
      </c>
      <c r="F1276" s="15" t="s">
        <v>35</v>
      </c>
      <c r="G1276" s="15" t="s">
        <v>74</v>
      </c>
      <c r="H1276" s="15" t="s">
        <v>8033</v>
      </c>
      <c r="I1276" s="15" t="s">
        <v>8034</v>
      </c>
      <c r="J1276" s="15" t="s">
        <v>8035</v>
      </c>
      <c r="K1276" s="15" t="s">
        <v>888</v>
      </c>
      <c r="L1276" s="15" t="s">
        <v>889</v>
      </c>
      <c r="M1276" s="15" t="s">
        <v>1666</v>
      </c>
      <c r="N1276" s="15" t="s">
        <v>1667</v>
      </c>
      <c r="O1276" s="15" t="s">
        <v>82</v>
      </c>
      <c r="P1276" s="15" t="s">
        <v>6570</v>
      </c>
      <c r="Q1276" s="15" t="s">
        <v>6571</v>
      </c>
      <c r="R1276" s="16">
        <v>44329</v>
      </c>
      <c r="S1276" s="17" t="s">
        <v>70</v>
      </c>
      <c r="T1276" s="20">
        <f>HYPERLINK("https://vnm.spiral.com.vn//uploaded/20210513/A4EAA73D-8300-4396-8813-139D20E20E8D.jpg","13:51:12")</f>
      </c>
      <c r="U1276" s="20">
        <f>HYPERLINK("https://vnm.spiral.com.vn//uploaded/20210513/92A2C123-2744-4208-85BE-6E5CED5D0D47.jpg","14:10:56")</f>
      </c>
      <c r="V1276" s="18">
        <v>0.013703703703703704</v>
      </c>
      <c r="W1276" s="15" t="s">
        <v>8036</v>
      </c>
      <c r="X1276" s="15" t="s">
        <v>8037</v>
      </c>
      <c r="Y1276" s="15" t="s">
        <v>35</v>
      </c>
      <c r="Z1276" s="19">
        <v>0</v>
      </c>
      <c r="AA1276" s="15">
        <v>0</v>
      </c>
      <c r="AB1276" s="15" t="s">
        <v>35</v>
      </c>
    </row>
    <row r="1277">
      <c r="A1277" s="15">
        <v>1273</v>
      </c>
      <c r="B1277" s="15" t="s">
        <v>343</v>
      </c>
      <c r="C1277" s="15" t="s">
        <v>2069</v>
      </c>
      <c r="D1277" s="15" t="s">
        <v>35</v>
      </c>
      <c r="E1277" s="15" t="s">
        <v>35</v>
      </c>
      <c r="F1277" s="15" t="s">
        <v>35</v>
      </c>
      <c r="G1277" s="15" t="s">
        <v>36</v>
      </c>
      <c r="H1277" s="15" t="s">
        <v>8038</v>
      </c>
      <c r="I1277" s="15" t="s">
        <v>8039</v>
      </c>
      <c r="J1277" s="15" t="s">
        <v>8040</v>
      </c>
      <c r="K1277" s="15" t="s">
        <v>40</v>
      </c>
      <c r="L1277" s="15" t="s">
        <v>41</v>
      </c>
      <c r="M1277" s="15" t="s">
        <v>595</v>
      </c>
      <c r="N1277" s="15" t="s">
        <v>596</v>
      </c>
      <c r="O1277" s="15" t="s">
        <v>44</v>
      </c>
      <c r="P1277" s="15" t="s">
        <v>8041</v>
      </c>
      <c r="Q1277" s="15" t="s">
        <v>8042</v>
      </c>
      <c r="R1277" s="16">
        <v>44329</v>
      </c>
      <c r="S1277" s="17" t="s">
        <v>569</v>
      </c>
      <c r="T1277" s="20">
        <f>HYPERLINK("https://vnm.spiral.com.vn//uploaded/20210513/C5AC019A-C1D3-4693-AA71-7F7258A91020.jpg","14:10:31")</f>
      </c>
      <c r="U1277" s="18"/>
      <c r="V1277" s="18" t="s">
        <v>35</v>
      </c>
      <c r="W1277" s="15" t="s">
        <v>8043</v>
      </c>
      <c r="X1277" s="15" t="s">
        <v>35</v>
      </c>
      <c r="Y1277" s="15" t="s">
        <v>35</v>
      </c>
      <c r="Z1277" s="19">
        <v>0</v>
      </c>
      <c r="AA1277" s="15">
        <v>0</v>
      </c>
      <c r="AB1277" s="15" t="s">
        <v>35</v>
      </c>
    </row>
    <row r="1278">
      <c r="A1278" s="15">
        <v>1274</v>
      </c>
      <c r="B1278" s="15" t="s">
        <v>49</v>
      </c>
      <c r="C1278" s="15" t="s">
        <v>50</v>
      </c>
      <c r="D1278" s="15" t="s">
        <v>35</v>
      </c>
      <c r="E1278" s="15" t="s">
        <v>35</v>
      </c>
      <c r="F1278" s="15" t="s">
        <v>35</v>
      </c>
      <c r="G1278" s="15" t="s">
        <v>35</v>
      </c>
      <c r="H1278" s="15" t="s">
        <v>8044</v>
      </c>
      <c r="I1278" s="15" t="s">
        <v>8045</v>
      </c>
      <c r="J1278" s="15" t="s">
        <v>8046</v>
      </c>
      <c r="K1278" s="15" t="s">
        <v>40</v>
      </c>
      <c r="L1278" s="15" t="s">
        <v>41</v>
      </c>
      <c r="M1278" s="15" t="s">
        <v>55</v>
      </c>
      <c r="N1278" s="15" t="s">
        <v>56</v>
      </c>
      <c r="O1278" s="15" t="s">
        <v>44</v>
      </c>
      <c r="P1278" s="15" t="s">
        <v>8047</v>
      </c>
      <c r="Q1278" s="15" t="s">
        <v>8048</v>
      </c>
      <c r="R1278" s="16">
        <v>44329</v>
      </c>
      <c r="S1278" s="17" t="s">
        <v>8049</v>
      </c>
      <c r="T1278" s="20">
        <f>HYPERLINK("https://vnm.spiral.com.vn//uploaded/20210513/521908fa-9dfe-4dff-98c2-3f351141ab11.JPEG","14:10:30")</f>
      </c>
      <c r="U1278" s="18"/>
      <c r="V1278" s="18" t="s">
        <v>35</v>
      </c>
      <c r="W1278" s="15" t="s">
        <v>8050</v>
      </c>
      <c r="X1278" s="15" t="s">
        <v>35</v>
      </c>
      <c r="Y1278" s="15" t="s">
        <v>35</v>
      </c>
      <c r="Z1278" s="19">
        <v>0</v>
      </c>
      <c r="AA1278" s="15">
        <v>0</v>
      </c>
      <c r="AB1278" s="15" t="s">
        <v>35</v>
      </c>
    </row>
    <row r="1279">
      <c r="A1279" s="15">
        <v>1275</v>
      </c>
      <c r="B1279" s="15" t="s">
        <v>87</v>
      </c>
      <c r="C1279" s="15" t="s">
        <v>88</v>
      </c>
      <c r="D1279" s="15" t="s">
        <v>357</v>
      </c>
      <c r="E1279" s="15" t="s">
        <v>90</v>
      </c>
      <c r="F1279" s="15" t="s">
        <v>35</v>
      </c>
      <c r="G1279" s="15" t="s">
        <v>74</v>
      </c>
      <c r="H1279" s="15" t="s">
        <v>8051</v>
      </c>
      <c r="I1279" s="15" t="s">
        <v>8052</v>
      </c>
      <c r="J1279" s="15" t="s">
        <v>8053</v>
      </c>
      <c r="K1279" s="15" t="s">
        <v>94</v>
      </c>
      <c r="L1279" s="15" t="s">
        <v>95</v>
      </c>
      <c r="M1279" s="15" t="s">
        <v>1570</v>
      </c>
      <c r="N1279" s="15" t="s">
        <v>1571</v>
      </c>
      <c r="O1279" s="15" t="s">
        <v>98</v>
      </c>
      <c r="P1279" s="15" t="s">
        <v>2024</v>
      </c>
      <c r="Q1279" s="15" t="s">
        <v>2025</v>
      </c>
      <c r="R1279" s="16">
        <v>44329</v>
      </c>
      <c r="S1279" s="17" t="s">
        <v>70</v>
      </c>
      <c r="T1279" s="20">
        <f>HYPERLINK("https://vnm.spiral.com.vn//uploaded/20210513/da0bbb16-c5e0-4ff5-8724-513cb671f6f0.JPEG","13:50:15")</f>
      </c>
      <c r="U1279" s="20">
        <f>HYPERLINK("https://vnm.spiral.com.vn//uploaded/20210513/46bd8e20-3b56-4d1b-b6fd-156720a70715.JPEG","14:10:15")</f>
      </c>
      <c r="V1279" s="18">
        <v>0.013888888888888888</v>
      </c>
      <c r="W1279" s="15" t="s">
        <v>8054</v>
      </c>
      <c r="X1279" s="15" t="s">
        <v>8055</v>
      </c>
      <c r="Y1279" s="15" t="s">
        <v>35</v>
      </c>
      <c r="Z1279" s="19">
        <v>0</v>
      </c>
      <c r="AA1279" s="15">
        <v>0</v>
      </c>
      <c r="AB1279" s="15" t="s">
        <v>35</v>
      </c>
    </row>
    <row r="1280">
      <c r="A1280" s="15">
        <v>1276</v>
      </c>
      <c r="B1280" s="15" t="s">
        <v>246</v>
      </c>
      <c r="C1280" s="15" t="s">
        <v>276</v>
      </c>
      <c r="D1280" s="15" t="s">
        <v>35</v>
      </c>
      <c r="E1280" s="15" t="s">
        <v>35</v>
      </c>
      <c r="F1280" s="15" t="s">
        <v>7713</v>
      </c>
      <c r="G1280" s="15" t="s">
        <v>36</v>
      </c>
      <c r="H1280" s="15" t="s">
        <v>8056</v>
      </c>
      <c r="I1280" s="15" t="s">
        <v>8057</v>
      </c>
      <c r="J1280" s="15" t="s">
        <v>8058</v>
      </c>
      <c r="K1280" s="15" t="s">
        <v>40</v>
      </c>
      <c r="L1280" s="15" t="s">
        <v>41</v>
      </c>
      <c r="M1280" s="15" t="s">
        <v>252</v>
      </c>
      <c r="N1280" s="15" t="s">
        <v>253</v>
      </c>
      <c r="O1280" s="15" t="s">
        <v>44</v>
      </c>
      <c r="P1280" s="15" t="s">
        <v>8059</v>
      </c>
      <c r="Q1280" s="15" t="s">
        <v>8060</v>
      </c>
      <c r="R1280" s="16">
        <v>44329</v>
      </c>
      <c r="S1280" s="17" t="s">
        <v>569</v>
      </c>
      <c r="T1280" s="20">
        <f>HYPERLINK("https://vnm.spiral.com.vn//uploaded/20210513/814ac421-0d52-47b2-b3c7-4d44baa91bb1.JPEG","14:10:02")</f>
      </c>
      <c r="U1280" s="18"/>
      <c r="V1280" s="18" t="s">
        <v>35</v>
      </c>
      <c r="W1280" s="15" t="s">
        <v>8061</v>
      </c>
      <c r="X1280" s="15" t="s">
        <v>35</v>
      </c>
      <c r="Y1280" s="15" t="s">
        <v>35</v>
      </c>
      <c r="Z1280" s="19">
        <v>0</v>
      </c>
      <c r="AA1280" s="15">
        <v>0</v>
      </c>
      <c r="AB1280" s="15" t="s">
        <v>35</v>
      </c>
    </row>
    <row r="1281">
      <c r="A1281" s="15">
        <v>1277</v>
      </c>
      <c r="B1281" s="15" t="s">
        <v>61</v>
      </c>
      <c r="C1281" s="15" t="s">
        <v>303</v>
      </c>
      <c r="D1281" s="15" t="s">
        <v>432</v>
      </c>
      <c r="E1281" s="15" t="s">
        <v>116</v>
      </c>
      <c r="F1281" s="15" t="s">
        <v>35</v>
      </c>
      <c r="G1281" s="15" t="s">
        <v>74</v>
      </c>
      <c r="H1281" s="15" t="s">
        <v>8062</v>
      </c>
      <c r="I1281" s="15" t="s">
        <v>8063</v>
      </c>
      <c r="J1281" s="15" t="s">
        <v>8064</v>
      </c>
      <c r="K1281" s="15" t="s">
        <v>309</v>
      </c>
      <c r="L1281" s="15" t="s">
        <v>310</v>
      </c>
      <c r="M1281" s="15" t="s">
        <v>311</v>
      </c>
      <c r="N1281" s="15" t="s">
        <v>312</v>
      </c>
      <c r="O1281" s="15" t="s">
        <v>82</v>
      </c>
      <c r="P1281" s="15" t="s">
        <v>7223</v>
      </c>
      <c r="Q1281" s="15" t="s">
        <v>7224</v>
      </c>
      <c r="R1281" s="16">
        <v>44329</v>
      </c>
      <c r="S1281" s="17" t="s">
        <v>70</v>
      </c>
      <c r="T1281" s="20">
        <f>HYPERLINK("https://vnm.spiral.com.vn//uploaded/20210513/AE692D0F-20AB-4A5A-A819-11DBB2E2EAB2.jpg","13:35:49")</f>
      </c>
      <c r="U1281" s="20">
        <f>HYPERLINK("https://vnm.spiral.com.vn//uploaded/20210513/70918726-EBA1-44FE-9591-303632612E6A.jpg","14:08:54")</f>
      </c>
      <c r="V1281" s="18">
        <v>0.022974537037037036</v>
      </c>
      <c r="W1281" s="15" t="s">
        <v>8065</v>
      </c>
      <c r="X1281" s="15" t="s">
        <v>8066</v>
      </c>
      <c r="Y1281" s="15" t="s">
        <v>35</v>
      </c>
      <c r="Z1281" s="19">
        <v>0</v>
      </c>
      <c r="AA1281" s="15">
        <v>0</v>
      </c>
      <c r="AB1281" s="15" t="s">
        <v>35</v>
      </c>
    </row>
    <row r="1282">
      <c r="A1282" s="15">
        <v>1278</v>
      </c>
      <c r="B1282" s="15" t="s">
        <v>246</v>
      </c>
      <c r="C1282" s="15" t="s">
        <v>259</v>
      </c>
      <c r="D1282" s="15" t="s">
        <v>432</v>
      </c>
      <c r="E1282" s="15" t="s">
        <v>116</v>
      </c>
      <c r="F1282" s="15" t="s">
        <v>35</v>
      </c>
      <c r="G1282" s="15" t="s">
        <v>74</v>
      </c>
      <c r="H1282" s="15" t="s">
        <v>8067</v>
      </c>
      <c r="I1282" s="15" t="s">
        <v>8068</v>
      </c>
      <c r="J1282" s="15" t="s">
        <v>8069</v>
      </c>
      <c r="K1282" s="15" t="s">
        <v>166</v>
      </c>
      <c r="L1282" s="15" t="s">
        <v>167</v>
      </c>
      <c r="M1282" s="15" t="s">
        <v>263</v>
      </c>
      <c r="N1282" s="15" t="s">
        <v>264</v>
      </c>
      <c r="O1282" s="15" t="s">
        <v>82</v>
      </c>
      <c r="P1282" s="15" t="s">
        <v>2216</v>
      </c>
      <c r="Q1282" s="15" t="s">
        <v>2217</v>
      </c>
      <c r="R1282" s="16">
        <v>44329</v>
      </c>
      <c r="S1282" s="17" t="s">
        <v>70</v>
      </c>
      <c r="T1282" s="20">
        <f>HYPERLINK("https://vnm.spiral.com.vn//uploaded/20210513/c9abdcd8-dd5e-41b8-904f-10b78d8d3418.JPEG","13:38:04")</f>
      </c>
      <c r="U1282" s="20">
        <f>HYPERLINK("https://vnm.spiral.com.vn//uploaded/20210513/6927c514-430c-4af0-a206-23d2ab46da5e.JPEG","14:08:35")</f>
      </c>
      <c r="V1282" s="18">
        <v>0.02119212962962963</v>
      </c>
      <c r="W1282" s="15" t="s">
        <v>8070</v>
      </c>
      <c r="X1282" s="15" t="s">
        <v>8071</v>
      </c>
      <c r="Y1282" s="15" t="s">
        <v>35</v>
      </c>
      <c r="Z1282" s="19">
        <v>0</v>
      </c>
      <c r="AA1282" s="15">
        <v>0</v>
      </c>
      <c r="AB1282" s="15" t="s">
        <v>35</v>
      </c>
    </row>
    <row r="1283">
      <c r="A1283" s="15">
        <v>1279</v>
      </c>
      <c r="B1283" s="15" t="s">
        <v>33</v>
      </c>
      <c r="C1283" s="15" t="s">
        <v>34</v>
      </c>
      <c r="D1283" s="15" t="s">
        <v>35</v>
      </c>
      <c r="E1283" s="15" t="s">
        <v>35</v>
      </c>
      <c r="F1283" s="15" t="s">
        <v>35</v>
      </c>
      <c r="G1283" s="15" t="s">
        <v>36</v>
      </c>
      <c r="H1283" s="15" t="s">
        <v>8072</v>
      </c>
      <c r="I1283" s="15" t="s">
        <v>8073</v>
      </c>
      <c r="J1283" s="15" t="s">
        <v>8074</v>
      </c>
      <c r="K1283" s="15" t="s">
        <v>40</v>
      </c>
      <c r="L1283" s="15" t="s">
        <v>41</v>
      </c>
      <c r="M1283" s="15" t="s">
        <v>42</v>
      </c>
      <c r="N1283" s="15" t="s">
        <v>43</v>
      </c>
      <c r="O1283" s="15" t="s">
        <v>44</v>
      </c>
      <c r="P1283" s="15" t="s">
        <v>8075</v>
      </c>
      <c r="Q1283" s="15" t="s">
        <v>8076</v>
      </c>
      <c r="R1283" s="16">
        <v>44329</v>
      </c>
      <c r="S1283" s="17" t="s">
        <v>569</v>
      </c>
      <c r="T1283" s="20">
        <f>HYPERLINK("https://vnm.spiral.com.vn//uploaded/20210513/39DE558D-8060-43FF-A4A5-44C8A348E632.jpg","14:08:15")</f>
      </c>
      <c r="U1283" s="18"/>
      <c r="V1283" s="18" t="s">
        <v>35</v>
      </c>
      <c r="W1283" s="15" t="s">
        <v>8077</v>
      </c>
      <c r="X1283" s="15" t="s">
        <v>35</v>
      </c>
      <c r="Y1283" s="15" t="s">
        <v>35</v>
      </c>
      <c r="Z1283" s="19">
        <v>0</v>
      </c>
      <c r="AA1283" s="15">
        <v>0</v>
      </c>
      <c r="AB1283" s="15" t="s">
        <v>35</v>
      </c>
    </row>
    <row r="1284">
      <c r="A1284" s="15">
        <v>1280</v>
      </c>
      <c r="B1284" s="15" t="s">
        <v>246</v>
      </c>
      <c r="C1284" s="15" t="s">
        <v>864</v>
      </c>
      <c r="D1284" s="15" t="s">
        <v>35</v>
      </c>
      <c r="E1284" s="15" t="s">
        <v>35</v>
      </c>
      <c r="F1284" s="15" t="s">
        <v>2406</v>
      </c>
      <c r="G1284" s="15" t="s">
        <v>36</v>
      </c>
      <c r="H1284" s="15" t="s">
        <v>8078</v>
      </c>
      <c r="I1284" s="15" t="s">
        <v>8079</v>
      </c>
      <c r="J1284" s="15" t="s">
        <v>8080</v>
      </c>
      <c r="K1284" s="15" t="s">
        <v>40</v>
      </c>
      <c r="L1284" s="15" t="s">
        <v>41</v>
      </c>
      <c r="M1284" s="15" t="s">
        <v>252</v>
      </c>
      <c r="N1284" s="15" t="s">
        <v>253</v>
      </c>
      <c r="O1284" s="15" t="s">
        <v>44</v>
      </c>
      <c r="P1284" s="15" t="s">
        <v>8081</v>
      </c>
      <c r="Q1284" s="15" t="s">
        <v>8082</v>
      </c>
      <c r="R1284" s="16">
        <v>44329</v>
      </c>
      <c r="S1284" s="17" t="s">
        <v>112</v>
      </c>
      <c r="T1284" s="20">
        <f>HYPERLINK("https://vnm.spiral.com.vn//uploaded/20210513/A918EB13-20F3-4E0D-811C-D879F9EE3E1D.jpg","14:07:55")</f>
      </c>
      <c r="U1284" s="18"/>
      <c r="V1284" s="18" t="s">
        <v>35</v>
      </c>
      <c r="W1284" s="15" t="s">
        <v>8083</v>
      </c>
      <c r="X1284" s="15" t="s">
        <v>35</v>
      </c>
      <c r="Y1284" s="15" t="s">
        <v>35</v>
      </c>
      <c r="Z1284" s="19">
        <v>0</v>
      </c>
      <c r="AA1284" s="15">
        <v>0</v>
      </c>
      <c r="AB1284" s="15" t="s">
        <v>35</v>
      </c>
    </row>
    <row r="1285">
      <c r="A1285" s="15">
        <v>1281</v>
      </c>
      <c r="B1285" s="15" t="s">
        <v>246</v>
      </c>
      <c r="C1285" s="15" t="s">
        <v>864</v>
      </c>
      <c r="D1285" s="15" t="s">
        <v>35</v>
      </c>
      <c r="E1285" s="15" t="s">
        <v>35</v>
      </c>
      <c r="F1285" s="15" t="s">
        <v>1676</v>
      </c>
      <c r="G1285" s="15" t="s">
        <v>36</v>
      </c>
      <c r="H1285" s="15" t="s">
        <v>8084</v>
      </c>
      <c r="I1285" s="15" t="s">
        <v>8085</v>
      </c>
      <c r="J1285" s="15" t="s">
        <v>7586</v>
      </c>
      <c r="K1285" s="15" t="s">
        <v>40</v>
      </c>
      <c r="L1285" s="15" t="s">
        <v>41</v>
      </c>
      <c r="M1285" s="15" t="s">
        <v>252</v>
      </c>
      <c r="N1285" s="15" t="s">
        <v>253</v>
      </c>
      <c r="O1285" s="15" t="s">
        <v>44</v>
      </c>
      <c r="P1285" s="15" t="s">
        <v>8086</v>
      </c>
      <c r="Q1285" s="15" t="s">
        <v>8087</v>
      </c>
      <c r="R1285" s="16">
        <v>44329</v>
      </c>
      <c r="S1285" s="17" t="s">
        <v>569</v>
      </c>
      <c r="T1285" s="20">
        <f>HYPERLINK("https://vnm.spiral.com.vn//uploaded/20210513/0184E09B-9021-442C-A6E7-1E419898DD2B.jpg","14:07:53")</f>
      </c>
      <c r="U1285" s="18"/>
      <c r="V1285" s="18" t="s">
        <v>35</v>
      </c>
      <c r="W1285" s="15" t="s">
        <v>8088</v>
      </c>
      <c r="X1285" s="15" t="s">
        <v>35</v>
      </c>
      <c r="Y1285" s="15" t="s">
        <v>35</v>
      </c>
      <c r="Z1285" s="19">
        <v>0</v>
      </c>
      <c r="AA1285" s="15">
        <v>0</v>
      </c>
      <c r="AB1285" s="15" t="s">
        <v>35</v>
      </c>
    </row>
    <row r="1286">
      <c r="A1286" s="15">
        <v>1282</v>
      </c>
      <c r="B1286" s="15" t="s">
        <v>49</v>
      </c>
      <c r="C1286" s="15" t="s">
        <v>756</v>
      </c>
      <c r="D1286" s="15" t="s">
        <v>35</v>
      </c>
      <c r="E1286" s="15" t="s">
        <v>35</v>
      </c>
      <c r="F1286" s="15" t="s">
        <v>35</v>
      </c>
      <c r="G1286" s="15" t="s">
        <v>35</v>
      </c>
      <c r="H1286" s="15" t="s">
        <v>8089</v>
      </c>
      <c r="I1286" s="15" t="s">
        <v>8090</v>
      </c>
      <c r="J1286" s="15" t="s">
        <v>8091</v>
      </c>
      <c r="K1286" s="15" t="s">
        <v>40</v>
      </c>
      <c r="L1286" s="15" t="s">
        <v>41</v>
      </c>
      <c r="M1286" s="15" t="s">
        <v>55</v>
      </c>
      <c r="N1286" s="15" t="s">
        <v>56</v>
      </c>
      <c r="O1286" s="15" t="s">
        <v>44</v>
      </c>
      <c r="P1286" s="15" t="s">
        <v>8092</v>
      </c>
      <c r="Q1286" s="15" t="s">
        <v>8093</v>
      </c>
      <c r="R1286" s="16">
        <v>44329</v>
      </c>
      <c r="S1286" s="17" t="s">
        <v>569</v>
      </c>
      <c r="T1286" s="20">
        <f>HYPERLINK("https://vnm.spiral.com.vn//uploaded/20210513/43633777-57FE-4295-B01A-5D136C8A5B0C.jpg","14:07:38")</f>
      </c>
      <c r="U1286" s="18"/>
      <c r="V1286" s="18" t="s">
        <v>35</v>
      </c>
      <c r="W1286" s="15" t="s">
        <v>8094</v>
      </c>
      <c r="X1286" s="15" t="s">
        <v>35</v>
      </c>
      <c r="Y1286" s="15" t="s">
        <v>35</v>
      </c>
      <c r="Z1286" s="19">
        <v>0</v>
      </c>
      <c r="AA1286" s="15">
        <v>0</v>
      </c>
      <c r="AB1286" s="15" t="s">
        <v>35</v>
      </c>
    </row>
    <row r="1287">
      <c r="A1287" s="15">
        <v>1283</v>
      </c>
      <c r="B1287" s="15" t="s">
        <v>343</v>
      </c>
      <c r="C1287" s="15" t="s">
        <v>344</v>
      </c>
      <c r="D1287" s="15" t="s">
        <v>35</v>
      </c>
      <c r="E1287" s="15" t="s">
        <v>35</v>
      </c>
      <c r="F1287" s="15" t="s">
        <v>35</v>
      </c>
      <c r="G1287" s="15" t="s">
        <v>74</v>
      </c>
      <c r="H1287" s="15" t="s">
        <v>8095</v>
      </c>
      <c r="I1287" s="15" t="s">
        <v>8096</v>
      </c>
      <c r="J1287" s="15" t="s">
        <v>8097</v>
      </c>
      <c r="K1287" s="15" t="s">
        <v>584</v>
      </c>
      <c r="L1287" s="15" t="s">
        <v>585</v>
      </c>
      <c r="M1287" s="15" t="s">
        <v>827</v>
      </c>
      <c r="N1287" s="15" t="s">
        <v>828</v>
      </c>
      <c r="O1287" s="15" t="s">
        <v>82</v>
      </c>
      <c r="P1287" s="15" t="s">
        <v>7778</v>
      </c>
      <c r="Q1287" s="15" t="s">
        <v>7779</v>
      </c>
      <c r="R1287" s="16">
        <v>44329</v>
      </c>
      <c r="S1287" s="17" t="s">
        <v>70</v>
      </c>
      <c r="T1287" s="20">
        <f>HYPERLINK("https://vnm.spiral.com.vn//uploaded/20210513/113c6902-4258-420e-ac9f-42b839d688ac.JPEG","13:52:00")</f>
      </c>
      <c r="U1287" s="20">
        <f>HYPERLINK("https://vnm.spiral.com.vn//uploaded/20210513/67cefe76-b225-4af9-b534-32d0f9432e4f.JPEG","14:07:21")</f>
      </c>
      <c r="V1287" s="18">
        <v>0.010659722222222221</v>
      </c>
      <c r="W1287" s="15" t="s">
        <v>8098</v>
      </c>
      <c r="X1287" s="15" t="s">
        <v>8099</v>
      </c>
      <c r="Y1287" s="15" t="s">
        <v>35</v>
      </c>
      <c r="Z1287" s="19">
        <v>0</v>
      </c>
      <c r="AA1287" s="15">
        <v>0</v>
      </c>
      <c r="AB1287" s="15" t="s">
        <v>35</v>
      </c>
    </row>
    <row r="1288">
      <c r="A1288" s="15">
        <v>1284</v>
      </c>
      <c r="B1288" s="15" t="s">
        <v>61</v>
      </c>
      <c r="C1288" s="15" t="s">
        <v>201</v>
      </c>
      <c r="D1288" s="15" t="s">
        <v>35</v>
      </c>
      <c r="E1288" s="15" t="s">
        <v>35</v>
      </c>
      <c r="F1288" s="15" t="s">
        <v>2302</v>
      </c>
      <c r="G1288" s="15" t="s">
        <v>36</v>
      </c>
      <c r="H1288" s="15" t="s">
        <v>8100</v>
      </c>
      <c r="I1288" s="15" t="s">
        <v>8101</v>
      </c>
      <c r="J1288" s="15" t="s">
        <v>8102</v>
      </c>
      <c r="K1288" s="15" t="s">
        <v>40</v>
      </c>
      <c r="L1288" s="15" t="s">
        <v>41</v>
      </c>
      <c r="M1288" s="15" t="s">
        <v>205</v>
      </c>
      <c r="N1288" s="15" t="s">
        <v>206</v>
      </c>
      <c r="O1288" s="15" t="s">
        <v>44</v>
      </c>
      <c r="P1288" s="15" t="s">
        <v>8103</v>
      </c>
      <c r="Q1288" s="15" t="s">
        <v>8104</v>
      </c>
      <c r="R1288" s="16">
        <v>44329</v>
      </c>
      <c r="S1288" s="17" t="s">
        <v>569</v>
      </c>
      <c r="T1288" s="20">
        <f>HYPERLINK("https://vnm.spiral.com.vn//uploaded/20210513/13d3f8c1-7259-44f8-bb97-1b660034b7fe.JPEG","14:07:19")</f>
      </c>
      <c r="U1288" s="18"/>
      <c r="V1288" s="18" t="s">
        <v>35</v>
      </c>
      <c r="W1288" s="15" t="s">
        <v>8105</v>
      </c>
      <c r="X1288" s="15" t="s">
        <v>35</v>
      </c>
      <c r="Y1288" s="15" t="s">
        <v>35</v>
      </c>
      <c r="Z1288" s="19">
        <v>0</v>
      </c>
      <c r="AA1288" s="15">
        <v>0</v>
      </c>
      <c r="AB1288" s="15" t="s">
        <v>35</v>
      </c>
    </row>
    <row r="1289">
      <c r="A1289" s="15">
        <v>1285</v>
      </c>
      <c r="B1289" s="15" t="s">
        <v>49</v>
      </c>
      <c r="C1289" s="15" t="s">
        <v>162</v>
      </c>
      <c r="D1289" s="15" t="s">
        <v>35</v>
      </c>
      <c r="E1289" s="15" t="s">
        <v>35</v>
      </c>
      <c r="F1289" s="15" t="s">
        <v>35</v>
      </c>
      <c r="G1289" s="15" t="s">
        <v>36</v>
      </c>
      <c r="H1289" s="15" t="s">
        <v>8106</v>
      </c>
      <c r="I1289" s="15" t="s">
        <v>8107</v>
      </c>
      <c r="J1289" s="15" t="s">
        <v>8108</v>
      </c>
      <c r="K1289" s="15" t="s">
        <v>40</v>
      </c>
      <c r="L1289" s="15" t="s">
        <v>41</v>
      </c>
      <c r="M1289" s="15" t="s">
        <v>55</v>
      </c>
      <c r="N1289" s="15" t="s">
        <v>56</v>
      </c>
      <c r="O1289" s="15" t="s">
        <v>44</v>
      </c>
      <c r="P1289" s="15" t="s">
        <v>8109</v>
      </c>
      <c r="Q1289" s="15" t="s">
        <v>8110</v>
      </c>
      <c r="R1289" s="16">
        <v>44329</v>
      </c>
      <c r="S1289" s="17" t="s">
        <v>569</v>
      </c>
      <c r="T1289" s="20">
        <f>HYPERLINK("https://vnm.spiral.com.vn//uploaded/20210513/F5A95F7F-01E1-456B-98F9-8A2E1F9859F0.jpg","14:07:09")</f>
      </c>
      <c r="U1289" s="18"/>
      <c r="V1289" s="18" t="s">
        <v>35</v>
      </c>
      <c r="W1289" s="15" t="s">
        <v>8111</v>
      </c>
      <c r="X1289" s="15" t="s">
        <v>35</v>
      </c>
      <c r="Y1289" s="15" t="s">
        <v>35</v>
      </c>
      <c r="Z1289" s="19">
        <v>0</v>
      </c>
      <c r="AA1289" s="15">
        <v>0</v>
      </c>
      <c r="AB1289" s="15" t="s">
        <v>35</v>
      </c>
    </row>
    <row r="1290">
      <c r="A1290" s="15">
        <v>1286</v>
      </c>
      <c r="B1290" s="15" t="s">
        <v>87</v>
      </c>
      <c r="C1290" s="15" t="s">
        <v>88</v>
      </c>
      <c r="D1290" s="15" t="s">
        <v>135</v>
      </c>
      <c r="E1290" s="15" t="s">
        <v>116</v>
      </c>
      <c r="F1290" s="15" t="s">
        <v>35</v>
      </c>
      <c r="G1290" s="15" t="s">
        <v>74</v>
      </c>
      <c r="H1290" s="15" t="s">
        <v>8112</v>
      </c>
      <c r="I1290" s="15" t="s">
        <v>8113</v>
      </c>
      <c r="J1290" s="15" t="s">
        <v>8114</v>
      </c>
      <c r="K1290" s="15" t="s">
        <v>1861</v>
      </c>
      <c r="L1290" s="15" t="s">
        <v>1862</v>
      </c>
      <c r="M1290" s="15" t="s">
        <v>1863</v>
      </c>
      <c r="N1290" s="15" t="s">
        <v>1864</v>
      </c>
      <c r="O1290" s="15" t="s">
        <v>82</v>
      </c>
      <c r="P1290" s="15" t="s">
        <v>1865</v>
      </c>
      <c r="Q1290" s="15" t="s">
        <v>1866</v>
      </c>
      <c r="R1290" s="16">
        <v>44329</v>
      </c>
      <c r="S1290" s="17" t="s">
        <v>70</v>
      </c>
      <c r="T1290" s="20">
        <f>HYPERLINK("https://vnm.spiral.com.vn//uploaded/20210513/A5059099-F25F-4E11-8CA8-01D1ECF6D31D.jpg","13:15:55")</f>
      </c>
      <c r="U1290" s="20">
        <f>HYPERLINK("https://vnm.spiral.com.vn//uploaded/20210513/DF61FB8C-7493-4D0B-BE5F-235C67C12269.jpg","14:07:08")</f>
      </c>
      <c r="V1290" s="18">
        <v>0.03556712962962963</v>
      </c>
      <c r="W1290" s="15" t="s">
        <v>8115</v>
      </c>
      <c r="X1290" s="15" t="s">
        <v>8116</v>
      </c>
      <c r="Y1290" s="15" t="s">
        <v>35</v>
      </c>
      <c r="Z1290" s="19">
        <v>0</v>
      </c>
      <c r="AA1290" s="15">
        <v>0</v>
      </c>
      <c r="AB1290" s="15" t="s">
        <v>35</v>
      </c>
    </row>
    <row r="1291">
      <c r="A1291" s="15">
        <v>1287</v>
      </c>
      <c r="B1291" s="15" t="s">
        <v>87</v>
      </c>
      <c r="C1291" s="15" t="s">
        <v>88</v>
      </c>
      <c r="D1291" s="15" t="s">
        <v>35</v>
      </c>
      <c r="E1291" s="15" t="s">
        <v>35</v>
      </c>
      <c r="F1291" s="15" t="s">
        <v>35</v>
      </c>
      <c r="G1291" s="15" t="s">
        <v>74</v>
      </c>
      <c r="H1291" s="15" t="s">
        <v>8117</v>
      </c>
      <c r="I1291" s="15" t="s">
        <v>8118</v>
      </c>
      <c r="J1291" s="15" t="s">
        <v>8119</v>
      </c>
      <c r="K1291" s="15" t="s">
        <v>888</v>
      </c>
      <c r="L1291" s="15" t="s">
        <v>889</v>
      </c>
      <c r="M1291" s="15" t="s">
        <v>1666</v>
      </c>
      <c r="N1291" s="15" t="s">
        <v>1667</v>
      </c>
      <c r="O1291" s="15" t="s">
        <v>82</v>
      </c>
      <c r="P1291" s="15" t="s">
        <v>1668</v>
      </c>
      <c r="Q1291" s="15" t="s">
        <v>1669</v>
      </c>
      <c r="R1291" s="16">
        <v>44329</v>
      </c>
      <c r="S1291" s="17" t="s">
        <v>70</v>
      </c>
      <c r="T1291" s="20">
        <f>HYPERLINK("https://vnm.spiral.com.vn//uploaded/20210513/8A73BE9D-62F1-4F65-BE9A-AFEB0649C057.jpg","13:51:50")</f>
      </c>
      <c r="U1291" s="20">
        <f>HYPERLINK("https://vnm.spiral.com.vn//uploaded/20210513/7A6BEA0A-3FE1-460F-8B3D-2955E644BD65.jpg","14:07:06")</f>
      </c>
      <c r="V1291" s="18">
        <v>0.010601851851851852</v>
      </c>
      <c r="W1291" s="15" t="s">
        <v>8120</v>
      </c>
      <c r="X1291" s="15" t="s">
        <v>8120</v>
      </c>
      <c r="Y1291" s="15" t="s">
        <v>35</v>
      </c>
      <c r="Z1291" s="19">
        <v>0</v>
      </c>
      <c r="AA1291" s="15">
        <v>0</v>
      </c>
      <c r="AB1291" s="15" t="s">
        <v>35</v>
      </c>
    </row>
    <row r="1292">
      <c r="A1292" s="15">
        <v>1288</v>
      </c>
      <c r="B1292" s="15" t="s">
        <v>343</v>
      </c>
      <c r="C1292" s="15" t="s">
        <v>601</v>
      </c>
      <c r="D1292" s="15" t="s">
        <v>35</v>
      </c>
      <c r="E1292" s="15" t="s">
        <v>35</v>
      </c>
      <c r="F1292" s="15" t="s">
        <v>35</v>
      </c>
      <c r="G1292" s="15" t="s">
        <v>36</v>
      </c>
      <c r="H1292" s="15" t="s">
        <v>8121</v>
      </c>
      <c r="I1292" s="15" t="s">
        <v>8122</v>
      </c>
      <c r="J1292" s="15" t="s">
        <v>8123</v>
      </c>
      <c r="K1292" s="15" t="s">
        <v>40</v>
      </c>
      <c r="L1292" s="15" t="s">
        <v>41</v>
      </c>
      <c r="M1292" s="15" t="s">
        <v>595</v>
      </c>
      <c r="N1292" s="15" t="s">
        <v>596</v>
      </c>
      <c r="O1292" s="15" t="s">
        <v>44</v>
      </c>
      <c r="P1292" s="15" t="s">
        <v>8124</v>
      </c>
      <c r="Q1292" s="15" t="s">
        <v>8125</v>
      </c>
      <c r="R1292" s="16">
        <v>44329</v>
      </c>
      <c r="S1292" s="17" t="s">
        <v>569</v>
      </c>
      <c r="T1292" s="20">
        <f>HYPERLINK("https://vnm.spiral.com.vn//uploaded/20210513/d00f1406-f386-4721-9456-51c008885018.JPEG","14:06:56")</f>
      </c>
      <c r="U1292" s="18"/>
      <c r="V1292" s="18" t="s">
        <v>35</v>
      </c>
      <c r="W1292" s="15" t="s">
        <v>8126</v>
      </c>
      <c r="X1292" s="15" t="s">
        <v>35</v>
      </c>
      <c r="Y1292" s="15" t="s">
        <v>35</v>
      </c>
      <c r="Z1292" s="19">
        <v>0</v>
      </c>
      <c r="AA1292" s="15">
        <v>0</v>
      </c>
      <c r="AB1292" s="15" t="s">
        <v>35</v>
      </c>
    </row>
    <row r="1293">
      <c r="A1293" s="15">
        <v>1289</v>
      </c>
      <c r="B1293" s="15" t="s">
        <v>103</v>
      </c>
      <c r="C1293" s="15" t="s">
        <v>174</v>
      </c>
      <c r="D1293" s="15" t="s">
        <v>35</v>
      </c>
      <c r="E1293" s="15" t="s">
        <v>35</v>
      </c>
      <c r="F1293" s="15" t="s">
        <v>35</v>
      </c>
      <c r="G1293" s="15" t="s">
        <v>35</v>
      </c>
      <c r="H1293" s="15" t="s">
        <v>8127</v>
      </c>
      <c r="I1293" s="15" t="s">
        <v>8128</v>
      </c>
      <c r="J1293" s="15" t="s">
        <v>8129</v>
      </c>
      <c r="K1293" s="15" t="s">
        <v>40</v>
      </c>
      <c r="L1293" s="15" t="s">
        <v>41</v>
      </c>
      <c r="M1293" s="15" t="s">
        <v>108</v>
      </c>
      <c r="N1293" s="15" t="s">
        <v>109</v>
      </c>
      <c r="O1293" s="15" t="s">
        <v>44</v>
      </c>
      <c r="P1293" s="15" t="s">
        <v>8130</v>
      </c>
      <c r="Q1293" s="15" t="s">
        <v>8131</v>
      </c>
      <c r="R1293" s="16">
        <v>44329</v>
      </c>
      <c r="S1293" s="17" t="s">
        <v>569</v>
      </c>
      <c r="T1293" s="20">
        <f>HYPERLINK("https://vnm.spiral.com.vn//uploaded/20210513/0907a399-0ba6-467c-8046-0fa910e7d4de.JPEG","14:06:35")</f>
      </c>
      <c r="U1293" s="18"/>
      <c r="V1293" s="18" t="s">
        <v>35</v>
      </c>
      <c r="W1293" s="15" t="s">
        <v>8132</v>
      </c>
      <c r="X1293" s="15" t="s">
        <v>35</v>
      </c>
      <c r="Y1293" s="15" t="s">
        <v>35</v>
      </c>
      <c r="Z1293" s="19">
        <v>0</v>
      </c>
      <c r="AA1293" s="15">
        <v>0</v>
      </c>
      <c r="AB1293" s="15" t="s">
        <v>35</v>
      </c>
    </row>
    <row r="1294">
      <c r="A1294" s="15">
        <v>1290</v>
      </c>
      <c r="B1294" s="15" t="s">
        <v>87</v>
      </c>
      <c r="C1294" s="15" t="s">
        <v>88</v>
      </c>
      <c r="D1294" s="15" t="s">
        <v>1897</v>
      </c>
      <c r="E1294" s="15" t="s">
        <v>90</v>
      </c>
      <c r="F1294" s="15" t="s">
        <v>35</v>
      </c>
      <c r="G1294" s="15" t="s">
        <v>74</v>
      </c>
      <c r="H1294" s="15" t="s">
        <v>4416</v>
      </c>
      <c r="I1294" s="15" t="s">
        <v>4417</v>
      </c>
      <c r="J1294" s="15" t="s">
        <v>4418</v>
      </c>
      <c r="K1294" s="15" t="s">
        <v>94</v>
      </c>
      <c r="L1294" s="15" t="s">
        <v>95</v>
      </c>
      <c r="M1294" s="15" t="s">
        <v>1204</v>
      </c>
      <c r="N1294" s="15" t="s">
        <v>1205</v>
      </c>
      <c r="O1294" s="15" t="s">
        <v>98</v>
      </c>
      <c r="P1294" s="15" t="s">
        <v>3774</v>
      </c>
      <c r="Q1294" s="15" t="s">
        <v>3775</v>
      </c>
      <c r="R1294" s="16">
        <v>44329</v>
      </c>
      <c r="S1294" s="17" t="s">
        <v>35</v>
      </c>
      <c r="T1294" s="20">
        <f>HYPERLINK("https://vnm.spiral.com.vn//uploaded/20210513/84093add-30bc-4ca1-b536-034be0cc598f.jpg","11:48:00")</f>
      </c>
      <c r="U1294" s="20">
        <f>HYPERLINK("https://vnm.spiral.com.vn//uploaded/20210513/97fa7cab-fd3b-4ddf-82dd-2118f5d6385a.jpg","14:06:32")</f>
      </c>
      <c r="V1294" s="18">
        <v>0.09620370370370371</v>
      </c>
      <c r="W1294" s="15" t="s">
        <v>8133</v>
      </c>
      <c r="X1294" s="15" t="s">
        <v>8134</v>
      </c>
      <c r="Y1294" s="15" t="s">
        <v>35</v>
      </c>
      <c r="Z1294" s="19">
        <v>0</v>
      </c>
      <c r="AA1294" s="15">
        <v>0</v>
      </c>
      <c r="AB1294" s="15" t="s">
        <v>35</v>
      </c>
    </row>
    <row r="1295">
      <c r="A1295" s="15">
        <v>1291</v>
      </c>
      <c r="B1295" s="15" t="s">
        <v>49</v>
      </c>
      <c r="C1295" s="15" t="s">
        <v>369</v>
      </c>
      <c r="D1295" s="15" t="s">
        <v>35</v>
      </c>
      <c r="E1295" s="15" t="s">
        <v>35</v>
      </c>
      <c r="F1295" s="15" t="s">
        <v>370</v>
      </c>
      <c r="G1295" s="15" t="s">
        <v>36</v>
      </c>
      <c r="H1295" s="15" t="s">
        <v>8135</v>
      </c>
      <c r="I1295" s="15" t="s">
        <v>8136</v>
      </c>
      <c r="J1295" s="15" t="s">
        <v>8137</v>
      </c>
      <c r="K1295" s="15" t="s">
        <v>40</v>
      </c>
      <c r="L1295" s="15" t="s">
        <v>41</v>
      </c>
      <c r="M1295" s="15" t="s">
        <v>55</v>
      </c>
      <c r="N1295" s="15" t="s">
        <v>56</v>
      </c>
      <c r="O1295" s="15" t="s">
        <v>44</v>
      </c>
      <c r="P1295" s="15" t="s">
        <v>8138</v>
      </c>
      <c r="Q1295" s="15" t="s">
        <v>8139</v>
      </c>
      <c r="R1295" s="16">
        <v>44329</v>
      </c>
      <c r="S1295" s="17" t="s">
        <v>569</v>
      </c>
      <c r="T1295" s="20">
        <f>HYPERLINK("https://vnm.spiral.com.vn//uploaded/20210513/7c12ecfa-bd9e-405e-b7f9-a5a84063277e.JPEG","14:06:13")</f>
      </c>
      <c r="U1295" s="18"/>
      <c r="V1295" s="18" t="s">
        <v>35</v>
      </c>
      <c r="W1295" s="15" t="s">
        <v>8140</v>
      </c>
      <c r="X1295" s="15" t="s">
        <v>35</v>
      </c>
      <c r="Y1295" s="15" t="s">
        <v>35</v>
      </c>
      <c r="Z1295" s="19">
        <v>0</v>
      </c>
      <c r="AA1295" s="15">
        <v>0</v>
      </c>
      <c r="AB1295" s="15" t="s">
        <v>35</v>
      </c>
    </row>
    <row r="1296">
      <c r="A1296" s="15">
        <v>1292</v>
      </c>
      <c r="B1296" s="15" t="s">
        <v>103</v>
      </c>
      <c r="C1296" s="15" t="s">
        <v>1078</v>
      </c>
      <c r="D1296" s="15" t="s">
        <v>35</v>
      </c>
      <c r="E1296" s="15" t="s">
        <v>35</v>
      </c>
      <c r="F1296" s="15" t="s">
        <v>35</v>
      </c>
      <c r="G1296" s="15" t="s">
        <v>35</v>
      </c>
      <c r="H1296" s="15" t="s">
        <v>8141</v>
      </c>
      <c r="I1296" s="15" t="s">
        <v>8142</v>
      </c>
      <c r="J1296" s="15" t="s">
        <v>8143</v>
      </c>
      <c r="K1296" s="15" t="s">
        <v>40</v>
      </c>
      <c r="L1296" s="15" t="s">
        <v>41</v>
      </c>
      <c r="M1296" s="15" t="s">
        <v>565</v>
      </c>
      <c r="N1296" s="15" t="s">
        <v>566</v>
      </c>
      <c r="O1296" s="15" t="s">
        <v>44</v>
      </c>
      <c r="P1296" s="15" t="s">
        <v>8144</v>
      </c>
      <c r="Q1296" s="15" t="s">
        <v>8145</v>
      </c>
      <c r="R1296" s="16">
        <v>44329</v>
      </c>
      <c r="S1296" s="17" t="s">
        <v>8146</v>
      </c>
      <c r="T1296" s="20">
        <f>HYPERLINK("https://vnm.spiral.com.vn//uploaded/20210513/f953591c-8d7f-4aef-bbc3-677b649d13ae.JPEG","14:06:01")</f>
      </c>
      <c r="U1296" s="18"/>
      <c r="V1296" s="18" t="s">
        <v>35</v>
      </c>
      <c r="W1296" s="15" t="s">
        <v>8147</v>
      </c>
      <c r="X1296" s="15" t="s">
        <v>35</v>
      </c>
      <c r="Y1296" s="15" t="s">
        <v>35</v>
      </c>
      <c r="Z1296" s="19">
        <v>0</v>
      </c>
      <c r="AA1296" s="15">
        <v>0</v>
      </c>
      <c r="AB1296" s="15" t="s">
        <v>35</v>
      </c>
    </row>
    <row r="1297">
      <c r="A1297" s="15">
        <v>1293</v>
      </c>
      <c r="B1297" s="15" t="s">
        <v>49</v>
      </c>
      <c r="C1297" s="15" t="s">
        <v>468</v>
      </c>
      <c r="D1297" s="15" t="s">
        <v>35</v>
      </c>
      <c r="E1297" s="15" t="s">
        <v>35</v>
      </c>
      <c r="F1297" s="15" t="s">
        <v>1435</v>
      </c>
      <c r="G1297" s="15" t="s">
        <v>36</v>
      </c>
      <c r="H1297" s="15" t="s">
        <v>8148</v>
      </c>
      <c r="I1297" s="15" t="s">
        <v>8149</v>
      </c>
      <c r="J1297" s="15" t="s">
        <v>8150</v>
      </c>
      <c r="K1297" s="15" t="s">
        <v>40</v>
      </c>
      <c r="L1297" s="15" t="s">
        <v>41</v>
      </c>
      <c r="M1297" s="15" t="s">
        <v>55</v>
      </c>
      <c r="N1297" s="15" t="s">
        <v>56</v>
      </c>
      <c r="O1297" s="15" t="s">
        <v>44</v>
      </c>
      <c r="P1297" s="15" t="s">
        <v>8151</v>
      </c>
      <c r="Q1297" s="15" t="s">
        <v>8152</v>
      </c>
      <c r="R1297" s="16">
        <v>44329</v>
      </c>
      <c r="S1297" s="17" t="s">
        <v>569</v>
      </c>
      <c r="T1297" s="20">
        <f>HYPERLINK("https://vnm.spiral.com.vn//uploaded/20210513/526492b9-84a7-4319-99f4-c084603f6679.JPEG","14:05:33")</f>
      </c>
      <c r="U1297" s="18"/>
      <c r="V1297" s="18" t="s">
        <v>35</v>
      </c>
      <c r="W1297" s="15" t="s">
        <v>8153</v>
      </c>
      <c r="X1297" s="15" t="s">
        <v>35</v>
      </c>
      <c r="Y1297" s="15" t="s">
        <v>35</v>
      </c>
      <c r="Z1297" s="19">
        <v>0</v>
      </c>
      <c r="AA1297" s="15">
        <v>0</v>
      </c>
      <c r="AB1297" s="15" t="s">
        <v>35</v>
      </c>
    </row>
    <row r="1298">
      <c r="A1298" s="15">
        <v>1294</v>
      </c>
      <c r="B1298" s="15" t="s">
        <v>33</v>
      </c>
      <c r="C1298" s="15" t="s">
        <v>8154</v>
      </c>
      <c r="D1298" s="15" t="s">
        <v>35</v>
      </c>
      <c r="E1298" s="15" t="s">
        <v>35</v>
      </c>
      <c r="F1298" s="15" t="s">
        <v>8155</v>
      </c>
      <c r="G1298" s="15" t="s">
        <v>36</v>
      </c>
      <c r="H1298" s="15" t="s">
        <v>8156</v>
      </c>
      <c r="I1298" s="15" t="s">
        <v>8157</v>
      </c>
      <c r="J1298" s="15" t="s">
        <v>8158</v>
      </c>
      <c r="K1298" s="15" t="s">
        <v>40</v>
      </c>
      <c r="L1298" s="15" t="s">
        <v>41</v>
      </c>
      <c r="M1298" s="15" t="s">
        <v>42</v>
      </c>
      <c r="N1298" s="15" t="s">
        <v>43</v>
      </c>
      <c r="O1298" s="15" t="s">
        <v>44</v>
      </c>
      <c r="P1298" s="15" t="s">
        <v>8159</v>
      </c>
      <c r="Q1298" s="15" t="s">
        <v>8160</v>
      </c>
      <c r="R1298" s="16">
        <v>44329</v>
      </c>
      <c r="S1298" s="17" t="s">
        <v>569</v>
      </c>
      <c r="T1298" s="20">
        <f>HYPERLINK("https://vnm.spiral.com.vn//uploaded/20210513/604D9317-8DAE-439C-8DFC-A7D091EE41EB.jpg","14:05:23")</f>
      </c>
      <c r="U1298" s="18"/>
      <c r="V1298" s="18" t="s">
        <v>35</v>
      </c>
      <c r="W1298" s="15" t="s">
        <v>8161</v>
      </c>
      <c r="X1298" s="15" t="s">
        <v>35</v>
      </c>
      <c r="Y1298" s="15" t="s">
        <v>35</v>
      </c>
      <c r="Z1298" s="19">
        <v>0</v>
      </c>
      <c r="AA1298" s="15">
        <v>0</v>
      </c>
      <c r="AB1298" s="15" t="s">
        <v>35</v>
      </c>
    </row>
    <row r="1299">
      <c r="A1299" s="15">
        <v>1295</v>
      </c>
      <c r="B1299" s="15" t="s">
        <v>246</v>
      </c>
      <c r="C1299" s="15" t="s">
        <v>247</v>
      </c>
      <c r="D1299" s="15" t="s">
        <v>89</v>
      </c>
      <c r="E1299" s="15" t="s">
        <v>90</v>
      </c>
      <c r="F1299" s="15" t="s">
        <v>35</v>
      </c>
      <c r="G1299" s="15" t="s">
        <v>74</v>
      </c>
      <c r="H1299" s="15" t="s">
        <v>8162</v>
      </c>
      <c r="I1299" s="15" t="s">
        <v>8163</v>
      </c>
      <c r="J1299" s="15" t="s">
        <v>8164</v>
      </c>
      <c r="K1299" s="15" t="s">
        <v>263</v>
      </c>
      <c r="L1299" s="15" t="s">
        <v>264</v>
      </c>
      <c r="M1299" s="15" t="s">
        <v>339</v>
      </c>
      <c r="N1299" s="15" t="s">
        <v>340</v>
      </c>
      <c r="O1299" s="15" t="s">
        <v>156</v>
      </c>
      <c r="P1299" s="15" t="s">
        <v>8165</v>
      </c>
      <c r="Q1299" s="15" t="s">
        <v>283</v>
      </c>
      <c r="R1299" s="16">
        <v>44329</v>
      </c>
      <c r="S1299" s="17" t="s">
        <v>569</v>
      </c>
      <c r="T1299" s="20">
        <f>HYPERLINK("https://vnm.spiral.com.vn//uploaded/20210513/776ad00b-7286-4bc4-8671-af3ec70dd4b1.JPEG","14:05:19")</f>
      </c>
      <c r="U1299" s="18"/>
      <c r="V1299" s="18" t="s">
        <v>35</v>
      </c>
      <c r="W1299" s="15" t="s">
        <v>8166</v>
      </c>
      <c r="X1299" s="15" t="s">
        <v>35</v>
      </c>
      <c r="Y1299" s="15" t="s">
        <v>35</v>
      </c>
      <c r="Z1299" s="19">
        <v>0</v>
      </c>
      <c r="AA1299" s="15">
        <v>0</v>
      </c>
      <c r="AB1299" s="15" t="s">
        <v>35</v>
      </c>
    </row>
    <row r="1300">
      <c r="A1300" s="15">
        <v>1296</v>
      </c>
      <c r="B1300" s="15" t="s">
        <v>49</v>
      </c>
      <c r="C1300" s="15" t="s">
        <v>369</v>
      </c>
      <c r="D1300" s="15" t="s">
        <v>35</v>
      </c>
      <c r="E1300" s="15" t="s">
        <v>35</v>
      </c>
      <c r="F1300" s="15" t="s">
        <v>5030</v>
      </c>
      <c r="G1300" s="15" t="s">
        <v>36</v>
      </c>
      <c r="H1300" s="15" t="s">
        <v>8167</v>
      </c>
      <c r="I1300" s="15" t="s">
        <v>7325</v>
      </c>
      <c r="J1300" s="15" t="s">
        <v>8168</v>
      </c>
      <c r="K1300" s="15" t="s">
        <v>40</v>
      </c>
      <c r="L1300" s="15" t="s">
        <v>41</v>
      </c>
      <c r="M1300" s="15" t="s">
        <v>55</v>
      </c>
      <c r="N1300" s="15" t="s">
        <v>56</v>
      </c>
      <c r="O1300" s="15" t="s">
        <v>44</v>
      </c>
      <c r="P1300" s="15" t="s">
        <v>8169</v>
      </c>
      <c r="Q1300" s="15" t="s">
        <v>8170</v>
      </c>
      <c r="R1300" s="16">
        <v>44329</v>
      </c>
      <c r="S1300" s="17" t="s">
        <v>569</v>
      </c>
      <c r="T1300" s="20">
        <f>HYPERLINK("https://vnm.spiral.com.vn//uploaded/20210513/C24F82B6-FB52-4636-8074-F913F5933D5B.jpg","14:05:17")</f>
      </c>
      <c r="U1300" s="18"/>
      <c r="V1300" s="18" t="s">
        <v>35</v>
      </c>
      <c r="W1300" s="15" t="s">
        <v>8171</v>
      </c>
      <c r="X1300" s="15" t="s">
        <v>35</v>
      </c>
      <c r="Y1300" s="15" t="s">
        <v>35</v>
      </c>
      <c r="Z1300" s="19">
        <v>0</v>
      </c>
      <c r="AA1300" s="15">
        <v>0</v>
      </c>
      <c r="AB1300" s="15" t="s">
        <v>35</v>
      </c>
    </row>
    <row r="1301">
      <c r="A1301" s="15">
        <v>1297</v>
      </c>
      <c r="B1301" s="15" t="s">
        <v>87</v>
      </c>
      <c r="C1301" s="15" t="s">
        <v>88</v>
      </c>
      <c r="D1301" s="15" t="s">
        <v>35</v>
      </c>
      <c r="E1301" s="15" t="s">
        <v>35</v>
      </c>
      <c r="F1301" s="15" t="s">
        <v>35</v>
      </c>
      <c r="G1301" s="15" t="s">
        <v>74</v>
      </c>
      <c r="H1301" s="15" t="s">
        <v>8172</v>
      </c>
      <c r="I1301" s="15" t="s">
        <v>8173</v>
      </c>
      <c r="J1301" s="15" t="s">
        <v>8174</v>
      </c>
      <c r="K1301" s="15" t="s">
        <v>888</v>
      </c>
      <c r="L1301" s="15" t="s">
        <v>889</v>
      </c>
      <c r="M1301" s="15" t="s">
        <v>890</v>
      </c>
      <c r="N1301" s="15" t="s">
        <v>891</v>
      </c>
      <c r="O1301" s="15" t="s">
        <v>82</v>
      </c>
      <c r="P1301" s="15" t="s">
        <v>1914</v>
      </c>
      <c r="Q1301" s="15" t="s">
        <v>1915</v>
      </c>
      <c r="R1301" s="16">
        <v>44329</v>
      </c>
      <c r="S1301" s="17" t="s">
        <v>70</v>
      </c>
      <c r="T1301" s="20">
        <f>HYPERLINK("https://vnm.spiral.com.vn//uploaded/20210513/F325C3A3-1066-4586-91D3-410CBC8E0F96.jpg","13:33:38")</f>
      </c>
      <c r="U1301" s="20">
        <f>HYPERLINK("https://vnm.spiral.com.vn//uploaded/20210513/5575C3F9-26B1-4B3F-83D7-1CF63F248F39.jpg","14:05:10")</f>
      </c>
      <c r="V1301" s="18">
        <v>0.02189814814814815</v>
      </c>
      <c r="W1301" s="15" t="s">
        <v>8175</v>
      </c>
      <c r="X1301" s="15" t="s">
        <v>8176</v>
      </c>
      <c r="Y1301" s="15" t="s">
        <v>35</v>
      </c>
      <c r="Z1301" s="19">
        <v>0</v>
      </c>
      <c r="AA1301" s="15">
        <v>0</v>
      </c>
      <c r="AB1301" s="15" t="s">
        <v>35</v>
      </c>
    </row>
    <row r="1302">
      <c r="A1302" s="15">
        <v>1298</v>
      </c>
      <c r="B1302" s="15" t="s">
        <v>87</v>
      </c>
      <c r="C1302" s="15" t="s">
        <v>88</v>
      </c>
      <c r="D1302" s="15" t="s">
        <v>432</v>
      </c>
      <c r="E1302" s="15" t="s">
        <v>116</v>
      </c>
      <c r="F1302" s="15" t="s">
        <v>35</v>
      </c>
      <c r="G1302" s="15" t="s">
        <v>74</v>
      </c>
      <c r="H1302" s="15" t="s">
        <v>7235</v>
      </c>
      <c r="I1302" s="15" t="s">
        <v>7236</v>
      </c>
      <c r="J1302" s="15" t="s">
        <v>7237</v>
      </c>
      <c r="K1302" s="15" t="s">
        <v>94</v>
      </c>
      <c r="L1302" s="15" t="s">
        <v>95</v>
      </c>
      <c r="M1302" s="15" t="s">
        <v>625</v>
      </c>
      <c r="N1302" s="15" t="s">
        <v>626</v>
      </c>
      <c r="O1302" s="15" t="s">
        <v>98</v>
      </c>
      <c r="P1302" s="15" t="s">
        <v>1022</v>
      </c>
      <c r="Q1302" s="15" t="s">
        <v>1023</v>
      </c>
      <c r="R1302" s="16">
        <v>44329</v>
      </c>
      <c r="S1302" s="17" t="s">
        <v>70</v>
      </c>
      <c r="T1302" s="20">
        <f>HYPERLINK("https://vnm.spiral.com.vn//uploaded/20210513/63a9e796-8726-4a14-addf-e5e5c86b4410.JPEG","13:45:04")</f>
      </c>
      <c r="U1302" s="20">
        <f>HYPERLINK("https://vnm.spiral.com.vn//uploaded/20210513/8c2d5560-69d0-4676-80b4-d1646dd40f52.JPEG","14:05:07")</f>
      </c>
      <c r="V1302" s="18">
        <v>0.01392361111111111</v>
      </c>
      <c r="W1302" s="15" t="s">
        <v>8177</v>
      </c>
      <c r="X1302" s="15" t="s">
        <v>8178</v>
      </c>
      <c r="Y1302" s="15" t="s">
        <v>35</v>
      </c>
      <c r="Z1302" s="19">
        <v>0</v>
      </c>
      <c r="AA1302" s="15">
        <v>0</v>
      </c>
      <c r="AB1302" s="15" t="s">
        <v>35</v>
      </c>
    </row>
    <row r="1303">
      <c r="A1303" s="15">
        <v>1299</v>
      </c>
      <c r="B1303" s="15" t="s">
        <v>61</v>
      </c>
      <c r="C1303" s="15" t="s">
        <v>201</v>
      </c>
      <c r="D1303" s="15" t="s">
        <v>35</v>
      </c>
      <c r="E1303" s="15" t="s">
        <v>35</v>
      </c>
      <c r="F1303" s="15" t="s">
        <v>35</v>
      </c>
      <c r="G1303" s="15" t="s">
        <v>36</v>
      </c>
      <c r="H1303" s="15" t="s">
        <v>8179</v>
      </c>
      <c r="I1303" s="15" t="s">
        <v>8180</v>
      </c>
      <c r="J1303" s="15" t="s">
        <v>8181</v>
      </c>
      <c r="K1303" s="15" t="s">
        <v>40</v>
      </c>
      <c r="L1303" s="15" t="s">
        <v>41</v>
      </c>
      <c r="M1303" s="15" t="s">
        <v>205</v>
      </c>
      <c r="N1303" s="15" t="s">
        <v>206</v>
      </c>
      <c r="O1303" s="15" t="s">
        <v>44</v>
      </c>
      <c r="P1303" s="15" t="s">
        <v>8182</v>
      </c>
      <c r="Q1303" s="15" t="s">
        <v>8183</v>
      </c>
      <c r="R1303" s="16">
        <v>44329</v>
      </c>
      <c r="S1303" s="17" t="s">
        <v>569</v>
      </c>
      <c r="T1303" s="20">
        <f>HYPERLINK("https://vnm.spiral.com.vn//uploaded/20210513/47e06f1e-3ca3-43c5-a9df-63eda054e1dc.JPEG","14:05:06")</f>
      </c>
      <c r="U1303" s="18"/>
      <c r="V1303" s="18" t="s">
        <v>35</v>
      </c>
      <c r="W1303" s="15" t="s">
        <v>8184</v>
      </c>
      <c r="X1303" s="15" t="s">
        <v>35</v>
      </c>
      <c r="Y1303" s="15" t="s">
        <v>35</v>
      </c>
      <c r="Z1303" s="19">
        <v>0</v>
      </c>
      <c r="AA1303" s="15">
        <v>0</v>
      </c>
      <c r="AB1303" s="15" t="s">
        <v>35</v>
      </c>
    </row>
    <row r="1304">
      <c r="A1304" s="15">
        <v>1300</v>
      </c>
      <c r="B1304" s="15" t="s">
        <v>33</v>
      </c>
      <c r="C1304" s="15" t="s">
        <v>34</v>
      </c>
      <c r="D1304" s="15" t="s">
        <v>35</v>
      </c>
      <c r="E1304" s="15" t="s">
        <v>35</v>
      </c>
      <c r="F1304" s="15" t="s">
        <v>35</v>
      </c>
      <c r="G1304" s="15" t="s">
        <v>36</v>
      </c>
      <c r="H1304" s="15" t="s">
        <v>8185</v>
      </c>
      <c r="I1304" s="15" t="s">
        <v>8186</v>
      </c>
      <c r="J1304" s="15" t="s">
        <v>8187</v>
      </c>
      <c r="K1304" s="15" t="s">
        <v>40</v>
      </c>
      <c r="L1304" s="15" t="s">
        <v>41</v>
      </c>
      <c r="M1304" s="15" t="s">
        <v>42</v>
      </c>
      <c r="N1304" s="15" t="s">
        <v>43</v>
      </c>
      <c r="O1304" s="15" t="s">
        <v>44</v>
      </c>
      <c r="P1304" s="15" t="s">
        <v>8188</v>
      </c>
      <c r="Q1304" s="15" t="s">
        <v>898</v>
      </c>
      <c r="R1304" s="16">
        <v>44329</v>
      </c>
      <c r="S1304" s="17" t="s">
        <v>569</v>
      </c>
      <c r="T1304" s="20">
        <f>HYPERLINK("https://vnm.spiral.com.vn//uploaded/20210513/c4c459fc-da4e-41eb-9520-6355a915a1af.JPEG","14:05:03")</f>
      </c>
      <c r="U1304" s="18"/>
      <c r="V1304" s="18" t="s">
        <v>35</v>
      </c>
      <c r="W1304" s="15" t="s">
        <v>8189</v>
      </c>
      <c r="X1304" s="15" t="s">
        <v>35</v>
      </c>
      <c r="Y1304" s="15" t="s">
        <v>35</v>
      </c>
      <c r="Z1304" s="19">
        <v>0</v>
      </c>
      <c r="AA1304" s="15">
        <v>0</v>
      </c>
      <c r="AB1304" s="15" t="s">
        <v>35</v>
      </c>
    </row>
    <row r="1305">
      <c r="A1305" s="15">
        <v>1301</v>
      </c>
      <c r="B1305" s="15" t="s">
        <v>33</v>
      </c>
      <c r="C1305" s="15" t="s">
        <v>2999</v>
      </c>
      <c r="D1305" s="15" t="s">
        <v>35</v>
      </c>
      <c r="E1305" s="15" t="s">
        <v>35</v>
      </c>
      <c r="F1305" s="15" t="s">
        <v>35</v>
      </c>
      <c r="G1305" s="15" t="s">
        <v>74</v>
      </c>
      <c r="H1305" s="15" t="s">
        <v>8190</v>
      </c>
      <c r="I1305" s="15" t="s">
        <v>8191</v>
      </c>
      <c r="J1305" s="15" t="s">
        <v>8192</v>
      </c>
      <c r="K1305" s="15" t="s">
        <v>2887</v>
      </c>
      <c r="L1305" s="15" t="s">
        <v>2888</v>
      </c>
      <c r="M1305" s="15" t="s">
        <v>2889</v>
      </c>
      <c r="N1305" s="15" t="s">
        <v>2890</v>
      </c>
      <c r="O1305" s="15" t="s">
        <v>82</v>
      </c>
      <c r="P1305" s="15" t="s">
        <v>3003</v>
      </c>
      <c r="Q1305" s="15" t="s">
        <v>1155</v>
      </c>
      <c r="R1305" s="16">
        <v>44329</v>
      </c>
      <c r="S1305" s="17" t="s">
        <v>70</v>
      </c>
      <c r="T1305" s="20">
        <f>HYPERLINK("https://vnm.spiral.com.vn//uploaded/20210513/2d092001-41b4-4fdf-a97e-7513b3e72593.JPEG","13:04:51")</f>
      </c>
      <c r="U1305" s="20">
        <f>HYPERLINK("https://vnm.spiral.com.vn//uploaded/20210513/03932e9a-b99c-4b14-9952-e7b543328601.JPEG","14:05:00")</f>
      </c>
      <c r="V1305" s="18">
        <v>0.04177083333333333</v>
      </c>
      <c r="W1305" s="15" t="s">
        <v>8193</v>
      </c>
      <c r="X1305" s="15" t="s">
        <v>8194</v>
      </c>
      <c r="Y1305" s="15" t="s">
        <v>35</v>
      </c>
      <c r="Z1305" s="19">
        <v>0</v>
      </c>
      <c r="AA1305" s="15">
        <v>0</v>
      </c>
      <c r="AB1305" s="15" t="s">
        <v>35</v>
      </c>
    </row>
    <row r="1306">
      <c r="A1306" s="15">
        <v>1302</v>
      </c>
      <c r="B1306" s="15" t="s">
        <v>33</v>
      </c>
      <c r="C1306" s="15" t="s">
        <v>2883</v>
      </c>
      <c r="D1306" s="15" t="s">
        <v>35</v>
      </c>
      <c r="E1306" s="15" t="s">
        <v>35</v>
      </c>
      <c r="F1306" s="15" t="s">
        <v>35</v>
      </c>
      <c r="G1306" s="15" t="s">
        <v>36</v>
      </c>
      <c r="H1306" s="15" t="s">
        <v>8195</v>
      </c>
      <c r="I1306" s="15" t="s">
        <v>8196</v>
      </c>
      <c r="J1306" s="15" t="s">
        <v>8197</v>
      </c>
      <c r="K1306" s="15" t="s">
        <v>40</v>
      </c>
      <c r="L1306" s="15" t="s">
        <v>41</v>
      </c>
      <c r="M1306" s="15" t="s">
        <v>42</v>
      </c>
      <c r="N1306" s="15" t="s">
        <v>43</v>
      </c>
      <c r="O1306" s="15" t="s">
        <v>44</v>
      </c>
      <c r="P1306" s="15" t="s">
        <v>8198</v>
      </c>
      <c r="Q1306" s="15" t="s">
        <v>8199</v>
      </c>
      <c r="R1306" s="16">
        <v>44329</v>
      </c>
      <c r="S1306" s="17" t="s">
        <v>569</v>
      </c>
      <c r="T1306" s="20">
        <f>HYPERLINK("https://vnm.spiral.com.vn//uploaded/20210513/F18E9552-6A26-4969-9D54-0636F050270F.jpg","14:04:56")</f>
      </c>
      <c r="U1306" s="18"/>
      <c r="V1306" s="18" t="s">
        <v>35</v>
      </c>
      <c r="W1306" s="15" t="s">
        <v>8200</v>
      </c>
      <c r="X1306" s="15" t="s">
        <v>35</v>
      </c>
      <c r="Y1306" s="15" t="s">
        <v>35</v>
      </c>
      <c r="Z1306" s="19">
        <v>0</v>
      </c>
      <c r="AA1306" s="15">
        <v>0</v>
      </c>
      <c r="AB1306" s="15" t="s">
        <v>35</v>
      </c>
    </row>
    <row r="1307">
      <c r="A1307" s="15">
        <v>1303</v>
      </c>
      <c r="B1307" s="15" t="s">
        <v>49</v>
      </c>
      <c r="C1307" s="15" t="s">
        <v>369</v>
      </c>
      <c r="D1307" s="15" t="s">
        <v>35</v>
      </c>
      <c r="E1307" s="15" t="s">
        <v>35</v>
      </c>
      <c r="F1307" s="15" t="s">
        <v>7649</v>
      </c>
      <c r="G1307" s="15" t="s">
        <v>36</v>
      </c>
      <c r="H1307" s="15" t="s">
        <v>8201</v>
      </c>
      <c r="I1307" s="15" t="s">
        <v>8202</v>
      </c>
      <c r="J1307" s="15" t="s">
        <v>8203</v>
      </c>
      <c r="K1307" s="15" t="s">
        <v>40</v>
      </c>
      <c r="L1307" s="15" t="s">
        <v>41</v>
      </c>
      <c r="M1307" s="15" t="s">
        <v>55</v>
      </c>
      <c r="N1307" s="15" t="s">
        <v>56</v>
      </c>
      <c r="O1307" s="15" t="s">
        <v>44</v>
      </c>
      <c r="P1307" s="15" t="s">
        <v>8204</v>
      </c>
      <c r="Q1307" s="15" t="s">
        <v>8205</v>
      </c>
      <c r="R1307" s="16">
        <v>44329</v>
      </c>
      <c r="S1307" s="17" t="s">
        <v>569</v>
      </c>
      <c r="T1307" s="20">
        <f>HYPERLINK("https://vnm.spiral.com.vn//uploaded/20210513/287eafa0-11d0-4840-96b9-6c9408bc6b58.JPEG","14:04:25")</f>
      </c>
      <c r="U1307" s="18"/>
      <c r="V1307" s="18" t="s">
        <v>35</v>
      </c>
      <c r="W1307" s="15" t="s">
        <v>8206</v>
      </c>
      <c r="X1307" s="15" t="s">
        <v>35</v>
      </c>
      <c r="Y1307" s="15" t="s">
        <v>35</v>
      </c>
      <c r="Z1307" s="19">
        <v>0</v>
      </c>
      <c r="AA1307" s="15">
        <v>0</v>
      </c>
      <c r="AB1307" s="15" t="s">
        <v>35</v>
      </c>
    </row>
    <row r="1308">
      <c r="A1308" s="15">
        <v>1304</v>
      </c>
      <c r="B1308" s="15" t="s">
        <v>103</v>
      </c>
      <c r="C1308" s="15" t="s">
        <v>186</v>
      </c>
      <c r="D1308" s="15" t="s">
        <v>35</v>
      </c>
      <c r="E1308" s="15" t="s">
        <v>35</v>
      </c>
      <c r="F1308" s="15" t="s">
        <v>35</v>
      </c>
      <c r="G1308" s="15" t="s">
        <v>36</v>
      </c>
      <c r="H1308" s="15" t="s">
        <v>8207</v>
      </c>
      <c r="I1308" s="15" t="s">
        <v>8208</v>
      </c>
      <c r="J1308" s="15" t="s">
        <v>8209</v>
      </c>
      <c r="K1308" s="15" t="s">
        <v>40</v>
      </c>
      <c r="L1308" s="15" t="s">
        <v>41</v>
      </c>
      <c r="M1308" s="15" t="s">
        <v>565</v>
      </c>
      <c r="N1308" s="15" t="s">
        <v>566</v>
      </c>
      <c r="O1308" s="15" t="s">
        <v>44</v>
      </c>
      <c r="P1308" s="15" t="s">
        <v>8210</v>
      </c>
      <c r="Q1308" s="15" t="s">
        <v>8211</v>
      </c>
      <c r="R1308" s="16">
        <v>44329</v>
      </c>
      <c r="S1308" s="17" t="s">
        <v>569</v>
      </c>
      <c r="T1308" s="20">
        <f>HYPERLINK("https://vnm.spiral.com.vn//uploaded/20210513/a13d278b-4a63-4db3-84ea-5685fc5bfad8.JPEG","14:04:16")</f>
      </c>
      <c r="U1308" s="18"/>
      <c r="V1308" s="18" t="s">
        <v>35</v>
      </c>
      <c r="W1308" s="15" t="s">
        <v>8212</v>
      </c>
      <c r="X1308" s="15" t="s">
        <v>35</v>
      </c>
      <c r="Y1308" s="15" t="s">
        <v>35</v>
      </c>
      <c r="Z1308" s="19">
        <v>0</v>
      </c>
      <c r="AA1308" s="15">
        <v>0</v>
      </c>
      <c r="AB1308" s="15" t="s">
        <v>35</v>
      </c>
    </row>
    <row r="1309">
      <c r="A1309" s="15">
        <v>1305</v>
      </c>
      <c r="B1309" s="15" t="s">
        <v>343</v>
      </c>
      <c r="C1309" s="15" t="s">
        <v>344</v>
      </c>
      <c r="D1309" s="15" t="s">
        <v>35</v>
      </c>
      <c r="E1309" s="15" t="s">
        <v>35</v>
      </c>
      <c r="F1309" s="15" t="s">
        <v>35</v>
      </c>
      <c r="G1309" s="15" t="s">
        <v>36</v>
      </c>
      <c r="H1309" s="15" t="s">
        <v>8213</v>
      </c>
      <c r="I1309" s="15" t="s">
        <v>8214</v>
      </c>
      <c r="J1309" s="15" t="s">
        <v>8215</v>
      </c>
      <c r="K1309" s="15" t="s">
        <v>40</v>
      </c>
      <c r="L1309" s="15" t="s">
        <v>41</v>
      </c>
      <c r="M1309" s="15" t="s">
        <v>409</v>
      </c>
      <c r="N1309" s="15" t="s">
        <v>410</v>
      </c>
      <c r="O1309" s="15" t="s">
        <v>44</v>
      </c>
      <c r="P1309" s="15" t="s">
        <v>8216</v>
      </c>
      <c r="Q1309" s="15" t="s">
        <v>8217</v>
      </c>
      <c r="R1309" s="16">
        <v>44329</v>
      </c>
      <c r="S1309" s="17" t="s">
        <v>569</v>
      </c>
      <c r="T1309" s="20">
        <f>HYPERLINK("https://vnm.spiral.com.vn//uploaded/20210513/5f314909-6bf3-408b-94bf-e452faa22f71.JPEG","14:04:07")</f>
      </c>
      <c r="U1309" s="18"/>
      <c r="V1309" s="18" t="s">
        <v>35</v>
      </c>
      <c r="W1309" s="15" t="s">
        <v>8218</v>
      </c>
      <c r="X1309" s="15" t="s">
        <v>35</v>
      </c>
      <c r="Y1309" s="15" t="s">
        <v>35</v>
      </c>
      <c r="Z1309" s="19">
        <v>0</v>
      </c>
      <c r="AA1309" s="15">
        <v>0</v>
      </c>
      <c r="AB1309" s="15" t="s">
        <v>35</v>
      </c>
    </row>
    <row r="1310">
      <c r="A1310" s="15">
        <v>1306</v>
      </c>
      <c r="B1310" s="15" t="s">
        <v>343</v>
      </c>
      <c r="C1310" s="15" t="s">
        <v>7476</v>
      </c>
      <c r="D1310" s="15" t="s">
        <v>35</v>
      </c>
      <c r="E1310" s="15" t="s">
        <v>35</v>
      </c>
      <c r="F1310" s="15" t="s">
        <v>8219</v>
      </c>
      <c r="G1310" s="15" t="s">
        <v>36</v>
      </c>
      <c r="H1310" s="15" t="s">
        <v>8220</v>
      </c>
      <c r="I1310" s="15" t="s">
        <v>8221</v>
      </c>
      <c r="J1310" s="15" t="s">
        <v>8222</v>
      </c>
      <c r="K1310" s="15" t="s">
        <v>40</v>
      </c>
      <c r="L1310" s="15" t="s">
        <v>41</v>
      </c>
      <c r="M1310" s="15" t="s">
        <v>409</v>
      </c>
      <c r="N1310" s="15" t="s">
        <v>410</v>
      </c>
      <c r="O1310" s="15" t="s">
        <v>44</v>
      </c>
      <c r="P1310" s="15" t="s">
        <v>8223</v>
      </c>
      <c r="Q1310" s="15" t="s">
        <v>8224</v>
      </c>
      <c r="R1310" s="16">
        <v>44329</v>
      </c>
      <c r="S1310" s="17" t="s">
        <v>569</v>
      </c>
      <c r="T1310" s="20">
        <f>HYPERLINK("https://vnm.spiral.com.vn//uploaded/20210513/35618AED-8889-4F78-BE76-D7608E4C538A.jpg","14:03:58")</f>
      </c>
      <c r="U1310" s="18"/>
      <c r="V1310" s="18" t="s">
        <v>35</v>
      </c>
      <c r="W1310" s="15" t="s">
        <v>8225</v>
      </c>
      <c r="X1310" s="15" t="s">
        <v>35</v>
      </c>
      <c r="Y1310" s="15" t="s">
        <v>35</v>
      </c>
      <c r="Z1310" s="19">
        <v>0</v>
      </c>
      <c r="AA1310" s="15">
        <v>0</v>
      </c>
      <c r="AB1310" s="15" t="s">
        <v>35</v>
      </c>
    </row>
    <row r="1311">
      <c r="A1311" s="15">
        <v>1307</v>
      </c>
      <c r="B1311" s="15" t="s">
        <v>49</v>
      </c>
      <c r="C1311" s="15" t="s">
        <v>162</v>
      </c>
      <c r="D1311" s="15" t="s">
        <v>35</v>
      </c>
      <c r="E1311" s="15" t="s">
        <v>35</v>
      </c>
      <c r="F1311" s="15" t="s">
        <v>833</v>
      </c>
      <c r="G1311" s="15" t="s">
        <v>36</v>
      </c>
      <c r="H1311" s="15" t="s">
        <v>8226</v>
      </c>
      <c r="I1311" s="15" t="s">
        <v>8227</v>
      </c>
      <c r="J1311" s="15" t="s">
        <v>8228</v>
      </c>
      <c r="K1311" s="15" t="s">
        <v>40</v>
      </c>
      <c r="L1311" s="15" t="s">
        <v>41</v>
      </c>
      <c r="M1311" s="15" t="s">
        <v>55</v>
      </c>
      <c r="N1311" s="15" t="s">
        <v>56</v>
      </c>
      <c r="O1311" s="15" t="s">
        <v>44</v>
      </c>
      <c r="P1311" s="15" t="s">
        <v>8229</v>
      </c>
      <c r="Q1311" s="15" t="s">
        <v>8230</v>
      </c>
      <c r="R1311" s="16">
        <v>44329</v>
      </c>
      <c r="S1311" s="17" t="s">
        <v>569</v>
      </c>
      <c r="T1311" s="20">
        <f>HYPERLINK("https://vnm.spiral.com.vn//uploaded/20210513/c30c00b3-66da-40e6-b51b-18bc9056d130.JPEG","14:03:54")</f>
      </c>
      <c r="U1311" s="18"/>
      <c r="V1311" s="18" t="s">
        <v>35</v>
      </c>
      <c r="W1311" s="15" t="s">
        <v>8231</v>
      </c>
      <c r="X1311" s="15" t="s">
        <v>35</v>
      </c>
      <c r="Y1311" s="15" t="s">
        <v>35</v>
      </c>
      <c r="Z1311" s="19">
        <v>0</v>
      </c>
      <c r="AA1311" s="15">
        <v>0</v>
      </c>
      <c r="AB1311" s="15" t="s">
        <v>35</v>
      </c>
    </row>
    <row r="1312">
      <c r="A1312" s="15">
        <v>1308</v>
      </c>
      <c r="B1312" s="15" t="s">
        <v>246</v>
      </c>
      <c r="C1312" s="15" t="s">
        <v>247</v>
      </c>
      <c r="D1312" s="15" t="s">
        <v>35</v>
      </c>
      <c r="E1312" s="15" t="s">
        <v>35</v>
      </c>
      <c r="F1312" s="15" t="s">
        <v>7347</v>
      </c>
      <c r="G1312" s="15" t="s">
        <v>36</v>
      </c>
      <c r="H1312" s="15" t="s">
        <v>8232</v>
      </c>
      <c r="I1312" s="15" t="s">
        <v>8233</v>
      </c>
      <c r="J1312" s="15" t="s">
        <v>8234</v>
      </c>
      <c r="K1312" s="15" t="s">
        <v>40</v>
      </c>
      <c r="L1312" s="15" t="s">
        <v>41</v>
      </c>
      <c r="M1312" s="15" t="s">
        <v>252</v>
      </c>
      <c r="N1312" s="15" t="s">
        <v>253</v>
      </c>
      <c r="O1312" s="15" t="s">
        <v>44</v>
      </c>
      <c r="P1312" s="15" t="s">
        <v>8235</v>
      </c>
      <c r="Q1312" s="15" t="s">
        <v>8236</v>
      </c>
      <c r="R1312" s="16">
        <v>44329</v>
      </c>
      <c r="S1312" s="17" t="s">
        <v>2703</v>
      </c>
      <c r="T1312" s="20">
        <f>HYPERLINK("https://vnm.spiral.com.vn//uploaded/20210513/2FB7873F-DE6A-4471-8D5B-D8BCE56F84C9.jpg","14:03:52")</f>
      </c>
      <c r="U1312" s="18"/>
      <c r="V1312" s="18" t="s">
        <v>35</v>
      </c>
      <c r="W1312" s="15" t="s">
        <v>8237</v>
      </c>
      <c r="X1312" s="15" t="s">
        <v>35</v>
      </c>
      <c r="Y1312" s="15" t="s">
        <v>35</v>
      </c>
      <c r="Z1312" s="19">
        <v>0</v>
      </c>
      <c r="AA1312" s="15">
        <v>0</v>
      </c>
      <c r="AB1312" s="15" t="s">
        <v>35</v>
      </c>
    </row>
    <row r="1313">
      <c r="A1313" s="15">
        <v>1309</v>
      </c>
      <c r="B1313" s="15" t="s">
        <v>343</v>
      </c>
      <c r="C1313" s="15" t="s">
        <v>344</v>
      </c>
      <c r="D1313" s="15" t="s">
        <v>35</v>
      </c>
      <c r="E1313" s="15" t="s">
        <v>35</v>
      </c>
      <c r="F1313" s="15" t="s">
        <v>35</v>
      </c>
      <c r="G1313" s="15" t="s">
        <v>36</v>
      </c>
      <c r="H1313" s="15" t="s">
        <v>8238</v>
      </c>
      <c r="I1313" s="15" t="s">
        <v>8239</v>
      </c>
      <c r="J1313" s="15" t="s">
        <v>8240</v>
      </c>
      <c r="K1313" s="15" t="s">
        <v>40</v>
      </c>
      <c r="L1313" s="15" t="s">
        <v>41</v>
      </c>
      <c r="M1313" s="15" t="s">
        <v>409</v>
      </c>
      <c r="N1313" s="15" t="s">
        <v>410</v>
      </c>
      <c r="O1313" s="15" t="s">
        <v>44</v>
      </c>
      <c r="P1313" s="15" t="s">
        <v>8241</v>
      </c>
      <c r="Q1313" s="15" t="s">
        <v>1155</v>
      </c>
      <c r="R1313" s="16">
        <v>44329</v>
      </c>
      <c r="S1313" s="17" t="s">
        <v>569</v>
      </c>
      <c r="T1313" s="20">
        <f>HYPERLINK("https://vnm.spiral.com.vn//uploaded/20210513/3226573b-14b3-4d59-b291-29476de15424.JPEG","14:03:48")</f>
      </c>
      <c r="U1313" s="18"/>
      <c r="V1313" s="18" t="s">
        <v>35</v>
      </c>
      <c r="W1313" s="15" t="s">
        <v>8242</v>
      </c>
      <c r="X1313" s="15" t="s">
        <v>35</v>
      </c>
      <c r="Y1313" s="15" t="s">
        <v>35</v>
      </c>
      <c r="Z1313" s="19">
        <v>0</v>
      </c>
      <c r="AA1313" s="15">
        <v>0</v>
      </c>
      <c r="AB1313" s="15" t="s">
        <v>35</v>
      </c>
    </row>
    <row r="1314">
      <c r="A1314" s="15">
        <v>1310</v>
      </c>
      <c r="B1314" s="15" t="s">
        <v>33</v>
      </c>
      <c r="C1314" s="15" t="s">
        <v>219</v>
      </c>
      <c r="D1314" s="15" t="s">
        <v>35</v>
      </c>
      <c r="E1314" s="15" t="s">
        <v>35</v>
      </c>
      <c r="F1314" s="15" t="s">
        <v>8243</v>
      </c>
      <c r="G1314" s="15" t="s">
        <v>36</v>
      </c>
      <c r="H1314" s="15" t="s">
        <v>8244</v>
      </c>
      <c r="I1314" s="15" t="s">
        <v>8245</v>
      </c>
      <c r="J1314" s="15" t="s">
        <v>8246</v>
      </c>
      <c r="K1314" s="15" t="s">
        <v>40</v>
      </c>
      <c r="L1314" s="15" t="s">
        <v>41</v>
      </c>
      <c r="M1314" s="15" t="s">
        <v>42</v>
      </c>
      <c r="N1314" s="15" t="s">
        <v>43</v>
      </c>
      <c r="O1314" s="15" t="s">
        <v>44</v>
      </c>
      <c r="P1314" s="15" t="s">
        <v>8247</v>
      </c>
      <c r="Q1314" s="15" t="s">
        <v>733</v>
      </c>
      <c r="R1314" s="16">
        <v>44329</v>
      </c>
      <c r="S1314" s="17" t="s">
        <v>569</v>
      </c>
      <c r="T1314" s="20">
        <f>HYPERLINK("https://vnm.spiral.com.vn//uploaded/20210513/3fabb9cb-d339-4cea-b3cf-d70b2feae4bd.JPEG","14:03:39")</f>
      </c>
      <c r="U1314" s="18"/>
      <c r="V1314" s="18" t="s">
        <v>35</v>
      </c>
      <c r="W1314" s="15" t="s">
        <v>8248</v>
      </c>
      <c r="X1314" s="15" t="s">
        <v>35</v>
      </c>
      <c r="Y1314" s="15" t="s">
        <v>35</v>
      </c>
      <c r="Z1314" s="19">
        <v>0</v>
      </c>
      <c r="AA1314" s="15">
        <v>0</v>
      </c>
      <c r="AB1314" s="15" t="s">
        <v>35</v>
      </c>
    </row>
    <row r="1315">
      <c r="A1315" s="15">
        <v>1311</v>
      </c>
      <c r="B1315" s="15" t="s">
        <v>61</v>
      </c>
      <c r="C1315" s="15" t="s">
        <v>442</v>
      </c>
      <c r="D1315" s="15" t="s">
        <v>35</v>
      </c>
      <c r="E1315" s="15" t="s">
        <v>35</v>
      </c>
      <c r="F1315" s="15" t="s">
        <v>8249</v>
      </c>
      <c r="G1315" s="15" t="s">
        <v>36</v>
      </c>
      <c r="H1315" s="15" t="s">
        <v>8250</v>
      </c>
      <c r="I1315" s="15" t="s">
        <v>8251</v>
      </c>
      <c r="J1315" s="15" t="s">
        <v>8252</v>
      </c>
      <c r="K1315" s="15" t="s">
        <v>40</v>
      </c>
      <c r="L1315" s="15" t="s">
        <v>41</v>
      </c>
      <c r="M1315" s="15" t="s">
        <v>205</v>
      </c>
      <c r="N1315" s="15" t="s">
        <v>206</v>
      </c>
      <c r="O1315" s="15" t="s">
        <v>44</v>
      </c>
      <c r="P1315" s="15" t="s">
        <v>8253</v>
      </c>
      <c r="Q1315" s="15" t="s">
        <v>8254</v>
      </c>
      <c r="R1315" s="16">
        <v>44329</v>
      </c>
      <c r="S1315" s="17" t="s">
        <v>7628</v>
      </c>
      <c r="T1315" s="20">
        <f>HYPERLINK("https://vnm.spiral.com.vn//uploaded/20210513/990f4a2f-1064-4a30-884d-5b0e27d06cb6.JPEG","14:03:36")</f>
      </c>
      <c r="U1315" s="18"/>
      <c r="V1315" s="18" t="s">
        <v>35</v>
      </c>
      <c r="W1315" s="15" t="s">
        <v>8255</v>
      </c>
      <c r="X1315" s="15" t="s">
        <v>35</v>
      </c>
      <c r="Y1315" s="15" t="s">
        <v>35</v>
      </c>
      <c r="Z1315" s="19">
        <v>0</v>
      </c>
      <c r="AA1315" s="15">
        <v>0</v>
      </c>
      <c r="AB1315" s="15" t="s">
        <v>35</v>
      </c>
    </row>
    <row r="1316">
      <c r="A1316" s="15">
        <v>1312</v>
      </c>
      <c r="B1316" s="15" t="s">
        <v>246</v>
      </c>
      <c r="C1316" s="15" t="s">
        <v>247</v>
      </c>
      <c r="D1316" s="15" t="s">
        <v>35</v>
      </c>
      <c r="E1316" s="15" t="s">
        <v>35</v>
      </c>
      <c r="F1316" s="15" t="s">
        <v>248</v>
      </c>
      <c r="G1316" s="15" t="s">
        <v>36</v>
      </c>
      <c r="H1316" s="15" t="s">
        <v>8256</v>
      </c>
      <c r="I1316" s="15" t="s">
        <v>8257</v>
      </c>
      <c r="J1316" s="15" t="s">
        <v>8258</v>
      </c>
      <c r="K1316" s="15" t="s">
        <v>40</v>
      </c>
      <c r="L1316" s="15" t="s">
        <v>41</v>
      </c>
      <c r="M1316" s="15" t="s">
        <v>252</v>
      </c>
      <c r="N1316" s="15" t="s">
        <v>253</v>
      </c>
      <c r="O1316" s="15" t="s">
        <v>44</v>
      </c>
      <c r="P1316" s="15" t="s">
        <v>8259</v>
      </c>
      <c r="Q1316" s="15" t="s">
        <v>8260</v>
      </c>
      <c r="R1316" s="16">
        <v>44329</v>
      </c>
      <c r="S1316" s="17" t="s">
        <v>569</v>
      </c>
      <c r="T1316" s="20">
        <f>HYPERLINK("https://vnm.spiral.com.vn//uploaded/20210513/335cfa89-5486-477c-bf05-b425fa24b79d.JPEG","14:03:27")</f>
      </c>
      <c r="U1316" s="18"/>
      <c r="V1316" s="18" t="s">
        <v>35</v>
      </c>
      <c r="W1316" s="15" t="s">
        <v>8261</v>
      </c>
      <c r="X1316" s="15" t="s">
        <v>35</v>
      </c>
      <c r="Y1316" s="15" t="s">
        <v>35</v>
      </c>
      <c r="Z1316" s="19">
        <v>0</v>
      </c>
      <c r="AA1316" s="15">
        <v>0</v>
      </c>
      <c r="AB1316" s="15" t="s">
        <v>35</v>
      </c>
    </row>
    <row r="1317">
      <c r="A1317" s="15">
        <v>1313</v>
      </c>
      <c r="B1317" s="15" t="s">
        <v>49</v>
      </c>
      <c r="C1317" s="15" t="s">
        <v>162</v>
      </c>
      <c r="D1317" s="15" t="s">
        <v>148</v>
      </c>
      <c r="E1317" s="15" t="s">
        <v>90</v>
      </c>
      <c r="F1317" s="15" t="s">
        <v>35</v>
      </c>
      <c r="G1317" s="15" t="s">
        <v>74</v>
      </c>
      <c r="H1317" s="15" t="s">
        <v>4914</v>
      </c>
      <c r="I1317" s="15" t="s">
        <v>4915</v>
      </c>
      <c r="J1317" s="15" t="s">
        <v>4916</v>
      </c>
      <c r="K1317" s="15" t="s">
        <v>166</v>
      </c>
      <c r="L1317" s="15" t="s">
        <v>167</v>
      </c>
      <c r="M1317" s="15" t="s">
        <v>168</v>
      </c>
      <c r="N1317" s="15" t="s">
        <v>169</v>
      </c>
      <c r="O1317" s="15" t="s">
        <v>156</v>
      </c>
      <c r="P1317" s="15" t="s">
        <v>8262</v>
      </c>
      <c r="Q1317" s="15" t="s">
        <v>8263</v>
      </c>
      <c r="R1317" s="16">
        <v>44329</v>
      </c>
      <c r="S1317" s="17" t="s">
        <v>7638</v>
      </c>
      <c r="T1317" s="20">
        <f>HYPERLINK("https://vnm.spiral.com.vn//uploaded/20210513/0BD92713-1D41-4B77-8F3F-2ED1EDDC84CE.jpg","14:03:19")</f>
      </c>
      <c r="U1317" s="18"/>
      <c r="V1317" s="18" t="s">
        <v>35</v>
      </c>
      <c r="W1317" s="15" t="s">
        <v>8264</v>
      </c>
      <c r="X1317" s="15" t="s">
        <v>35</v>
      </c>
      <c r="Y1317" s="15" t="s">
        <v>35</v>
      </c>
      <c r="Z1317" s="19">
        <v>0</v>
      </c>
      <c r="AA1317" s="15">
        <v>0</v>
      </c>
      <c r="AB1317" s="15" t="s">
        <v>35</v>
      </c>
    </row>
    <row r="1318">
      <c r="A1318" s="15">
        <v>1314</v>
      </c>
      <c r="B1318" s="15" t="s">
        <v>103</v>
      </c>
      <c r="C1318" s="15" t="s">
        <v>186</v>
      </c>
      <c r="D1318" s="15" t="s">
        <v>432</v>
      </c>
      <c r="E1318" s="15" t="s">
        <v>116</v>
      </c>
      <c r="F1318" s="15" t="s">
        <v>35</v>
      </c>
      <c r="G1318" s="15" t="s">
        <v>74</v>
      </c>
      <c r="H1318" s="15" t="s">
        <v>8265</v>
      </c>
      <c r="I1318" s="15" t="s">
        <v>8266</v>
      </c>
      <c r="J1318" s="15" t="s">
        <v>8267</v>
      </c>
      <c r="K1318" s="15" t="s">
        <v>436</v>
      </c>
      <c r="L1318" s="15" t="s">
        <v>437</v>
      </c>
      <c r="M1318" s="15" t="s">
        <v>438</v>
      </c>
      <c r="N1318" s="15" t="s">
        <v>439</v>
      </c>
      <c r="O1318" s="15" t="s">
        <v>82</v>
      </c>
      <c r="P1318" s="15" t="s">
        <v>2554</v>
      </c>
      <c r="Q1318" s="15" t="s">
        <v>2555</v>
      </c>
      <c r="R1318" s="16">
        <v>44329</v>
      </c>
      <c r="S1318" s="17" t="s">
        <v>70</v>
      </c>
      <c r="T1318" s="20">
        <f>HYPERLINK("https://vnm.spiral.com.vn//uploaded/20210513/D13AE5B2-F884-4A9B-8E5A-8B015842244A.jpg","13:18:52")</f>
      </c>
      <c r="U1318" s="20">
        <f>HYPERLINK("https://vnm.spiral.com.vn//uploaded/20210513/4029F0BA-4201-4CB1-BFF3-C34C5F9019EC.jpg","14:02:49")</f>
      </c>
      <c r="V1318" s="18">
        <v>0.030520833333333334</v>
      </c>
      <c r="W1318" s="15" t="s">
        <v>8268</v>
      </c>
      <c r="X1318" s="15" t="s">
        <v>8269</v>
      </c>
      <c r="Y1318" s="15" t="s">
        <v>35</v>
      </c>
      <c r="Z1318" s="19">
        <v>0</v>
      </c>
      <c r="AA1318" s="15">
        <v>0</v>
      </c>
      <c r="AB1318" s="15" t="s">
        <v>35</v>
      </c>
    </row>
    <row r="1319">
      <c r="A1319" s="15">
        <v>1315</v>
      </c>
      <c r="B1319" s="15" t="s">
        <v>246</v>
      </c>
      <c r="C1319" s="15" t="s">
        <v>259</v>
      </c>
      <c r="D1319" s="15" t="s">
        <v>35</v>
      </c>
      <c r="E1319" s="15" t="s">
        <v>35</v>
      </c>
      <c r="F1319" s="15" t="s">
        <v>943</v>
      </c>
      <c r="G1319" s="15" t="s">
        <v>36</v>
      </c>
      <c r="H1319" s="15" t="s">
        <v>8270</v>
      </c>
      <c r="I1319" s="15" t="s">
        <v>4818</v>
      </c>
      <c r="J1319" s="15" t="s">
        <v>8271</v>
      </c>
      <c r="K1319" s="15" t="s">
        <v>40</v>
      </c>
      <c r="L1319" s="15" t="s">
        <v>41</v>
      </c>
      <c r="M1319" s="15" t="s">
        <v>252</v>
      </c>
      <c r="N1319" s="15" t="s">
        <v>253</v>
      </c>
      <c r="O1319" s="15" t="s">
        <v>44</v>
      </c>
      <c r="P1319" s="15" t="s">
        <v>8272</v>
      </c>
      <c r="Q1319" s="15" t="s">
        <v>8273</v>
      </c>
      <c r="R1319" s="16">
        <v>44329</v>
      </c>
      <c r="S1319" s="17" t="s">
        <v>569</v>
      </c>
      <c r="T1319" s="20">
        <f>HYPERLINK("https://vnm.spiral.com.vn//uploaded/20210513/13922EB6-7CDC-4CBD-9492-D5283CD66A52.jpg","14:02:36")</f>
      </c>
      <c r="U1319" s="18"/>
      <c r="V1319" s="18" t="s">
        <v>35</v>
      </c>
      <c r="W1319" s="15" t="s">
        <v>8274</v>
      </c>
      <c r="X1319" s="15" t="s">
        <v>35</v>
      </c>
      <c r="Y1319" s="15" t="s">
        <v>35</v>
      </c>
      <c r="Z1319" s="19">
        <v>0</v>
      </c>
      <c r="AA1319" s="15">
        <v>0</v>
      </c>
      <c r="AB1319" s="15" t="s">
        <v>35</v>
      </c>
    </row>
    <row r="1320">
      <c r="A1320" s="15">
        <v>1316</v>
      </c>
      <c r="B1320" s="15" t="s">
        <v>33</v>
      </c>
      <c r="C1320" s="15" t="s">
        <v>211</v>
      </c>
      <c r="D1320" s="15" t="s">
        <v>35</v>
      </c>
      <c r="E1320" s="15" t="s">
        <v>35</v>
      </c>
      <c r="F1320" s="15" t="s">
        <v>35</v>
      </c>
      <c r="G1320" s="15" t="s">
        <v>36</v>
      </c>
      <c r="H1320" s="15" t="s">
        <v>8275</v>
      </c>
      <c r="I1320" s="15" t="s">
        <v>6360</v>
      </c>
      <c r="J1320" s="15" t="s">
        <v>8276</v>
      </c>
      <c r="K1320" s="15" t="s">
        <v>40</v>
      </c>
      <c r="L1320" s="15" t="s">
        <v>41</v>
      </c>
      <c r="M1320" s="15" t="s">
        <v>42</v>
      </c>
      <c r="N1320" s="15" t="s">
        <v>43</v>
      </c>
      <c r="O1320" s="15" t="s">
        <v>44</v>
      </c>
      <c r="P1320" s="15" t="s">
        <v>8277</v>
      </c>
      <c r="Q1320" s="15" t="s">
        <v>1981</v>
      </c>
      <c r="R1320" s="16">
        <v>44329</v>
      </c>
      <c r="S1320" s="17" t="s">
        <v>569</v>
      </c>
      <c r="T1320" s="20">
        <f>HYPERLINK("https://vnm.spiral.com.vn//uploaded/20210513/6aa4b3f5-c7b4-4fe9-914b-a2b88fb02902.JPEG","14:02:33")</f>
      </c>
      <c r="U1320" s="18"/>
      <c r="V1320" s="18" t="s">
        <v>35</v>
      </c>
      <c r="W1320" s="15" t="s">
        <v>8278</v>
      </c>
      <c r="X1320" s="15" t="s">
        <v>35</v>
      </c>
      <c r="Y1320" s="15" t="s">
        <v>35</v>
      </c>
      <c r="Z1320" s="19">
        <v>0</v>
      </c>
      <c r="AA1320" s="15">
        <v>0</v>
      </c>
      <c r="AB1320" s="15" t="s">
        <v>35</v>
      </c>
    </row>
    <row r="1321">
      <c r="A1321" s="15">
        <v>1317</v>
      </c>
      <c r="B1321" s="15" t="s">
        <v>87</v>
      </c>
      <c r="C1321" s="15" t="s">
        <v>88</v>
      </c>
      <c r="D1321" s="15" t="s">
        <v>35</v>
      </c>
      <c r="E1321" s="15" t="s">
        <v>35</v>
      </c>
      <c r="F1321" s="15" t="s">
        <v>35</v>
      </c>
      <c r="G1321" s="15" t="s">
        <v>74</v>
      </c>
      <c r="H1321" s="15" t="s">
        <v>8279</v>
      </c>
      <c r="I1321" s="15" t="s">
        <v>8280</v>
      </c>
      <c r="J1321" s="15" t="s">
        <v>8281</v>
      </c>
      <c r="K1321" s="15" t="s">
        <v>888</v>
      </c>
      <c r="L1321" s="15" t="s">
        <v>889</v>
      </c>
      <c r="M1321" s="15" t="s">
        <v>924</v>
      </c>
      <c r="N1321" s="15" t="s">
        <v>925</v>
      </c>
      <c r="O1321" s="15" t="s">
        <v>82</v>
      </c>
      <c r="P1321" s="15" t="s">
        <v>1460</v>
      </c>
      <c r="Q1321" s="15" t="s">
        <v>1461</v>
      </c>
      <c r="R1321" s="16">
        <v>44329</v>
      </c>
      <c r="S1321" s="17" t="s">
        <v>70</v>
      </c>
      <c r="T1321" s="20">
        <f>HYPERLINK("https://vnm.spiral.com.vn//uploaded/20210513/9FCC9FBE-AD90-4FFF-8CFC-CB6CCF0284AA.jpg","13:38:00")</f>
      </c>
      <c r="U1321" s="20">
        <f>HYPERLINK("https://vnm.spiral.com.vn//uploaded/20210513/FEE7342A-7BCA-4511-B5F8-0BE74C8479C8.jpg","14:02:26")</f>
      </c>
      <c r="V1321" s="18">
        <v>0.016967592592592593</v>
      </c>
      <c r="W1321" s="15" t="s">
        <v>8282</v>
      </c>
      <c r="X1321" s="15" t="s">
        <v>8283</v>
      </c>
      <c r="Y1321" s="15" t="s">
        <v>35</v>
      </c>
      <c r="Z1321" s="19">
        <v>0</v>
      </c>
      <c r="AA1321" s="15">
        <v>0</v>
      </c>
      <c r="AB1321" s="15" t="s">
        <v>35</v>
      </c>
    </row>
    <row r="1322">
      <c r="A1322" s="15">
        <v>1318</v>
      </c>
      <c r="B1322" s="15" t="s">
        <v>103</v>
      </c>
      <c r="C1322" s="15" t="s">
        <v>104</v>
      </c>
      <c r="D1322" s="15" t="s">
        <v>35</v>
      </c>
      <c r="E1322" s="15" t="s">
        <v>35</v>
      </c>
      <c r="F1322" s="15" t="s">
        <v>35</v>
      </c>
      <c r="G1322" s="15" t="s">
        <v>35</v>
      </c>
      <c r="H1322" s="15" t="s">
        <v>8284</v>
      </c>
      <c r="I1322" s="15" t="s">
        <v>8285</v>
      </c>
      <c r="J1322" s="15" t="s">
        <v>8286</v>
      </c>
      <c r="K1322" s="15" t="s">
        <v>40</v>
      </c>
      <c r="L1322" s="15" t="s">
        <v>41</v>
      </c>
      <c r="M1322" s="15" t="s">
        <v>108</v>
      </c>
      <c r="N1322" s="15" t="s">
        <v>109</v>
      </c>
      <c r="O1322" s="15" t="s">
        <v>44</v>
      </c>
      <c r="P1322" s="15" t="s">
        <v>8287</v>
      </c>
      <c r="Q1322" s="15" t="s">
        <v>8288</v>
      </c>
      <c r="R1322" s="16">
        <v>44329</v>
      </c>
      <c r="S1322" s="17" t="s">
        <v>8289</v>
      </c>
      <c r="T1322" s="20">
        <f>HYPERLINK("https://vnm.spiral.com.vn//uploaded/20210513/ffc7645d-acdd-4c90-9ef8-957aa249bb6b.JPEG","14:02:09")</f>
      </c>
      <c r="U1322" s="18"/>
      <c r="V1322" s="18" t="s">
        <v>35</v>
      </c>
      <c r="W1322" s="15" t="s">
        <v>8290</v>
      </c>
      <c r="X1322" s="15" t="s">
        <v>35</v>
      </c>
      <c r="Y1322" s="15" t="s">
        <v>35</v>
      </c>
      <c r="Z1322" s="19">
        <v>0</v>
      </c>
      <c r="AA1322" s="15">
        <v>0</v>
      </c>
      <c r="AB1322" s="15" t="s">
        <v>35</v>
      </c>
    </row>
    <row r="1323">
      <c r="A1323" s="15">
        <v>1319</v>
      </c>
      <c r="B1323" s="15" t="s">
        <v>87</v>
      </c>
      <c r="C1323" s="15" t="s">
        <v>88</v>
      </c>
      <c r="D1323" s="15" t="s">
        <v>432</v>
      </c>
      <c r="E1323" s="15" t="s">
        <v>116</v>
      </c>
      <c r="F1323" s="15" t="s">
        <v>35</v>
      </c>
      <c r="G1323" s="15" t="s">
        <v>74</v>
      </c>
      <c r="H1323" s="15" t="s">
        <v>8291</v>
      </c>
      <c r="I1323" s="15" t="s">
        <v>8292</v>
      </c>
      <c r="J1323" s="15" t="s">
        <v>8293</v>
      </c>
      <c r="K1323" s="15" t="s">
        <v>625</v>
      </c>
      <c r="L1323" s="15" t="s">
        <v>626</v>
      </c>
      <c r="M1323" s="15" t="s">
        <v>1022</v>
      </c>
      <c r="N1323" s="15" t="s">
        <v>1023</v>
      </c>
      <c r="O1323" s="15" t="s">
        <v>82</v>
      </c>
      <c r="P1323" s="15" t="s">
        <v>2241</v>
      </c>
      <c r="Q1323" s="15" t="s">
        <v>2242</v>
      </c>
      <c r="R1323" s="16">
        <v>44329</v>
      </c>
      <c r="S1323" s="17" t="s">
        <v>70</v>
      </c>
      <c r="T1323" s="20">
        <f>HYPERLINK("https://vnm.spiral.com.vn//uploaded/20210513/BEEC8413-F794-429B-8B8C-8B3A69531D73.jpg","13:17:15")</f>
      </c>
      <c r="U1323" s="20">
        <f>HYPERLINK("https://vnm.spiral.com.vn//uploaded/20210513/355063E3-39BD-4F41-A066-BFD71DCE8B3B.jpg","14:02:07")</f>
      </c>
      <c r="V1323" s="18">
        <v>0.031157407407407408</v>
      </c>
      <c r="W1323" s="15" t="s">
        <v>8294</v>
      </c>
      <c r="X1323" s="15" t="s">
        <v>8295</v>
      </c>
      <c r="Y1323" s="15" t="s">
        <v>35</v>
      </c>
      <c r="Z1323" s="19">
        <v>0</v>
      </c>
      <c r="AA1323" s="15">
        <v>0</v>
      </c>
      <c r="AB1323" s="15" t="s">
        <v>35</v>
      </c>
    </row>
    <row r="1324">
      <c r="A1324" s="15">
        <v>1320</v>
      </c>
      <c r="B1324" s="15" t="s">
        <v>343</v>
      </c>
      <c r="C1324" s="15" t="s">
        <v>645</v>
      </c>
      <c r="D1324" s="15" t="s">
        <v>35</v>
      </c>
      <c r="E1324" s="15" t="s">
        <v>35</v>
      </c>
      <c r="F1324" s="15" t="s">
        <v>35</v>
      </c>
      <c r="G1324" s="15" t="s">
        <v>36</v>
      </c>
      <c r="H1324" s="15" t="s">
        <v>8296</v>
      </c>
      <c r="I1324" s="15" t="s">
        <v>8297</v>
      </c>
      <c r="J1324" s="15" t="s">
        <v>8298</v>
      </c>
      <c r="K1324" s="15" t="s">
        <v>40</v>
      </c>
      <c r="L1324" s="15" t="s">
        <v>41</v>
      </c>
      <c r="M1324" s="15" t="s">
        <v>42</v>
      </c>
      <c r="N1324" s="15" t="s">
        <v>43</v>
      </c>
      <c r="O1324" s="15" t="s">
        <v>44</v>
      </c>
      <c r="P1324" s="15" t="s">
        <v>8299</v>
      </c>
      <c r="Q1324" s="15" t="s">
        <v>8300</v>
      </c>
      <c r="R1324" s="16">
        <v>44329</v>
      </c>
      <c r="S1324" s="17" t="s">
        <v>7905</v>
      </c>
      <c r="T1324" s="20">
        <f>HYPERLINK("https://vnm.spiral.com.vn//uploaded/20210513/C375F7B0-429D-44F4-82F9-7E35EF895DF5.jpg","14:02:05")</f>
      </c>
      <c r="U1324" s="18"/>
      <c r="V1324" s="18" t="s">
        <v>35</v>
      </c>
      <c r="W1324" s="15" t="s">
        <v>8301</v>
      </c>
      <c r="X1324" s="15" t="s">
        <v>35</v>
      </c>
      <c r="Y1324" s="15" t="s">
        <v>35</v>
      </c>
      <c r="Z1324" s="19">
        <v>0</v>
      </c>
      <c r="AA1324" s="15">
        <v>0</v>
      </c>
      <c r="AB1324" s="15" t="s">
        <v>35</v>
      </c>
    </row>
    <row r="1325">
      <c r="A1325" s="15">
        <v>1321</v>
      </c>
      <c r="B1325" s="15" t="s">
        <v>246</v>
      </c>
      <c r="C1325" s="15" t="s">
        <v>276</v>
      </c>
      <c r="D1325" s="15" t="s">
        <v>35</v>
      </c>
      <c r="E1325" s="15" t="s">
        <v>35</v>
      </c>
      <c r="F1325" s="15" t="s">
        <v>8302</v>
      </c>
      <c r="G1325" s="15" t="s">
        <v>36</v>
      </c>
      <c r="H1325" s="15" t="s">
        <v>8303</v>
      </c>
      <c r="I1325" s="15" t="s">
        <v>7731</v>
      </c>
      <c r="J1325" s="15" t="s">
        <v>8304</v>
      </c>
      <c r="K1325" s="15" t="s">
        <v>40</v>
      </c>
      <c r="L1325" s="15" t="s">
        <v>41</v>
      </c>
      <c r="M1325" s="15" t="s">
        <v>252</v>
      </c>
      <c r="N1325" s="15" t="s">
        <v>253</v>
      </c>
      <c r="O1325" s="15" t="s">
        <v>44</v>
      </c>
      <c r="P1325" s="15" t="s">
        <v>8305</v>
      </c>
      <c r="Q1325" s="15" t="s">
        <v>3745</v>
      </c>
      <c r="R1325" s="16">
        <v>44329</v>
      </c>
      <c r="S1325" s="17" t="s">
        <v>2703</v>
      </c>
      <c r="T1325" s="20">
        <f>HYPERLINK("https://vnm.spiral.com.vn//uploaded/20210513/46971BEE-BBBA-4317-A3BE-AFE9D5454CB1.jpg","14:01:38")</f>
      </c>
      <c r="U1325" s="18"/>
      <c r="V1325" s="18" t="s">
        <v>35</v>
      </c>
      <c r="W1325" s="15" t="s">
        <v>8306</v>
      </c>
      <c r="X1325" s="15" t="s">
        <v>35</v>
      </c>
      <c r="Y1325" s="15" t="s">
        <v>35</v>
      </c>
      <c r="Z1325" s="19">
        <v>0</v>
      </c>
      <c r="AA1325" s="15">
        <v>0</v>
      </c>
      <c r="AB1325" s="15" t="s">
        <v>35</v>
      </c>
    </row>
    <row r="1326">
      <c r="A1326" s="15">
        <v>1322</v>
      </c>
      <c r="B1326" s="15" t="s">
        <v>87</v>
      </c>
      <c r="C1326" s="15" t="s">
        <v>88</v>
      </c>
      <c r="D1326" s="15" t="s">
        <v>35</v>
      </c>
      <c r="E1326" s="15" t="s">
        <v>35</v>
      </c>
      <c r="F1326" s="15" t="s">
        <v>806</v>
      </c>
      <c r="G1326" s="15" t="s">
        <v>36</v>
      </c>
      <c r="H1326" s="15" t="s">
        <v>8307</v>
      </c>
      <c r="I1326" s="15" t="s">
        <v>8308</v>
      </c>
      <c r="J1326" s="15" t="s">
        <v>8309</v>
      </c>
      <c r="K1326" s="15" t="s">
        <v>40</v>
      </c>
      <c r="L1326" s="15" t="s">
        <v>41</v>
      </c>
      <c r="M1326" s="15" t="s">
        <v>810</v>
      </c>
      <c r="N1326" s="15" t="s">
        <v>811</v>
      </c>
      <c r="O1326" s="15" t="s">
        <v>44</v>
      </c>
      <c r="P1326" s="15" t="s">
        <v>6462</v>
      </c>
      <c r="Q1326" s="15" t="s">
        <v>6463</v>
      </c>
      <c r="R1326" s="16">
        <v>44329</v>
      </c>
      <c r="S1326" s="17" t="s">
        <v>8310</v>
      </c>
      <c r="T1326" s="20">
        <f>HYPERLINK("https://vnm.spiral.com.vn//uploaded/20210513/041C99F0-EC09-4251-910E-14D26E801E61.jpg","09:58:08")</f>
      </c>
      <c r="U1326" s="20">
        <f>HYPERLINK("https://vnm.spiral.com.vn//uploaded/20210513/DE0315D6-5E83-47C5-8C50-D24B51812893.jpg","14:01:31")</f>
      </c>
      <c r="V1326" s="18">
        <v>0.1690162037037037</v>
      </c>
      <c r="W1326" s="15" t="s">
        <v>8311</v>
      </c>
      <c r="X1326" s="15" t="s">
        <v>8312</v>
      </c>
      <c r="Y1326" s="15" t="s">
        <v>35</v>
      </c>
      <c r="Z1326" s="19">
        <v>0</v>
      </c>
      <c r="AA1326" s="15">
        <v>0</v>
      </c>
      <c r="AB1326" s="15" t="s">
        <v>35</v>
      </c>
    </row>
    <row r="1327">
      <c r="A1327" s="15">
        <v>1323</v>
      </c>
      <c r="B1327" s="15" t="s">
        <v>49</v>
      </c>
      <c r="C1327" s="15" t="s">
        <v>1715</v>
      </c>
      <c r="D1327" s="15" t="s">
        <v>35</v>
      </c>
      <c r="E1327" s="15" t="s">
        <v>35</v>
      </c>
      <c r="F1327" s="15" t="s">
        <v>8313</v>
      </c>
      <c r="G1327" s="15" t="s">
        <v>36</v>
      </c>
      <c r="H1327" s="15" t="s">
        <v>8314</v>
      </c>
      <c r="I1327" s="15" t="s">
        <v>8315</v>
      </c>
      <c r="J1327" s="15" t="s">
        <v>8316</v>
      </c>
      <c r="K1327" s="15" t="s">
        <v>40</v>
      </c>
      <c r="L1327" s="15" t="s">
        <v>41</v>
      </c>
      <c r="M1327" s="15" t="s">
        <v>55</v>
      </c>
      <c r="N1327" s="15" t="s">
        <v>56</v>
      </c>
      <c r="O1327" s="15" t="s">
        <v>44</v>
      </c>
      <c r="P1327" s="15" t="s">
        <v>8317</v>
      </c>
      <c r="Q1327" s="15" t="s">
        <v>8318</v>
      </c>
      <c r="R1327" s="16">
        <v>44329</v>
      </c>
      <c r="S1327" s="17" t="s">
        <v>569</v>
      </c>
      <c r="T1327" s="20">
        <f>HYPERLINK("https://vnm.spiral.com.vn//uploaded/20210513/3FB0D19D-0A20-4374-BE3E-DF82F702706A.jpg","14:01:20")</f>
      </c>
      <c r="U1327" s="18"/>
      <c r="V1327" s="18" t="s">
        <v>35</v>
      </c>
      <c r="W1327" s="15" t="s">
        <v>8319</v>
      </c>
      <c r="X1327" s="15" t="s">
        <v>35</v>
      </c>
      <c r="Y1327" s="15" t="s">
        <v>35</v>
      </c>
      <c r="Z1327" s="19">
        <v>0</v>
      </c>
      <c r="AA1327" s="15">
        <v>0</v>
      </c>
      <c r="AB1327" s="15" t="s">
        <v>35</v>
      </c>
    </row>
    <row r="1328">
      <c r="A1328" s="15">
        <v>1324</v>
      </c>
      <c r="B1328" s="15" t="s">
        <v>87</v>
      </c>
      <c r="C1328" s="15" t="s">
        <v>88</v>
      </c>
      <c r="D1328" s="15" t="s">
        <v>115</v>
      </c>
      <c r="E1328" s="15" t="s">
        <v>116</v>
      </c>
      <c r="F1328" s="15" t="s">
        <v>35</v>
      </c>
      <c r="G1328" s="15" t="s">
        <v>74</v>
      </c>
      <c r="H1328" s="15" t="s">
        <v>8320</v>
      </c>
      <c r="I1328" s="15" t="s">
        <v>8321</v>
      </c>
      <c r="J1328" s="15" t="s">
        <v>8322</v>
      </c>
      <c r="K1328" s="15" t="s">
        <v>120</v>
      </c>
      <c r="L1328" s="15" t="s">
        <v>121</v>
      </c>
      <c r="M1328" s="15" t="s">
        <v>122</v>
      </c>
      <c r="N1328" s="15" t="s">
        <v>123</v>
      </c>
      <c r="O1328" s="15" t="s">
        <v>82</v>
      </c>
      <c r="P1328" s="15" t="s">
        <v>1920</v>
      </c>
      <c r="Q1328" s="15" t="s">
        <v>1921</v>
      </c>
      <c r="R1328" s="16">
        <v>44329</v>
      </c>
      <c r="S1328" s="17" t="s">
        <v>70</v>
      </c>
      <c r="T1328" s="20">
        <f>HYPERLINK("https://vnm.spiral.com.vn//uploaded/20210513/2289fbac-1176-4bdb-90b1-accbc3f4402e.JPEG","12:26:52")</f>
      </c>
      <c r="U1328" s="20">
        <f>HYPERLINK("https://vnm.spiral.com.vn//uploaded/20210513/0aa93a66-3d0f-4e58-862a-3ead0d02699b.JPEG","14:01:19")</f>
      </c>
      <c r="V1328" s="18">
        <v>0.06559027777777778</v>
      </c>
      <c r="W1328" s="15" t="s">
        <v>8323</v>
      </c>
      <c r="X1328" s="15" t="s">
        <v>8324</v>
      </c>
      <c r="Y1328" s="15" t="s">
        <v>35</v>
      </c>
      <c r="Z1328" s="19">
        <v>0</v>
      </c>
      <c r="AA1328" s="15">
        <v>0</v>
      </c>
      <c r="AB1328" s="15" t="s">
        <v>35</v>
      </c>
    </row>
    <row r="1329">
      <c r="A1329" s="15">
        <v>1325</v>
      </c>
      <c r="B1329" s="15" t="s">
        <v>343</v>
      </c>
      <c r="C1329" s="15" t="s">
        <v>3117</v>
      </c>
      <c r="D1329" s="15" t="s">
        <v>35</v>
      </c>
      <c r="E1329" s="15" t="s">
        <v>35</v>
      </c>
      <c r="F1329" s="15" t="s">
        <v>35</v>
      </c>
      <c r="G1329" s="15" t="s">
        <v>36</v>
      </c>
      <c r="H1329" s="15" t="s">
        <v>8325</v>
      </c>
      <c r="I1329" s="15" t="s">
        <v>8326</v>
      </c>
      <c r="J1329" s="15" t="s">
        <v>8327</v>
      </c>
      <c r="K1329" s="15" t="s">
        <v>40</v>
      </c>
      <c r="L1329" s="15" t="s">
        <v>41</v>
      </c>
      <c r="M1329" s="15" t="s">
        <v>595</v>
      </c>
      <c r="N1329" s="15" t="s">
        <v>596</v>
      </c>
      <c r="O1329" s="15" t="s">
        <v>44</v>
      </c>
      <c r="P1329" s="15" t="s">
        <v>8328</v>
      </c>
      <c r="Q1329" s="15" t="s">
        <v>8329</v>
      </c>
      <c r="R1329" s="16">
        <v>44329</v>
      </c>
      <c r="S1329" s="17" t="s">
        <v>569</v>
      </c>
      <c r="T1329" s="20">
        <f>HYPERLINK("https://vnm.spiral.com.vn//uploaded/20210513/4d16ec40-da34-489f-ad66-203f84906f76.JPEG","14:01:14")</f>
      </c>
      <c r="U1329" s="18"/>
      <c r="V1329" s="18" t="s">
        <v>35</v>
      </c>
      <c r="W1329" s="15" t="s">
        <v>8330</v>
      </c>
      <c r="X1329" s="15" t="s">
        <v>35</v>
      </c>
      <c r="Y1329" s="15" t="s">
        <v>35</v>
      </c>
      <c r="Z1329" s="19">
        <v>0</v>
      </c>
      <c r="AA1329" s="15">
        <v>0</v>
      </c>
      <c r="AB1329" s="15" t="s">
        <v>35</v>
      </c>
    </row>
    <row r="1330">
      <c r="A1330" s="15">
        <v>1326</v>
      </c>
      <c r="B1330" s="15" t="s">
        <v>343</v>
      </c>
      <c r="C1330" s="15" t="s">
        <v>344</v>
      </c>
      <c r="D1330" s="15" t="s">
        <v>432</v>
      </c>
      <c r="E1330" s="15" t="s">
        <v>116</v>
      </c>
      <c r="F1330" s="15" t="s">
        <v>35</v>
      </c>
      <c r="G1330" s="15" t="s">
        <v>74</v>
      </c>
      <c r="H1330" s="15" t="s">
        <v>8331</v>
      </c>
      <c r="I1330" s="15" t="s">
        <v>8332</v>
      </c>
      <c r="J1330" s="15" t="s">
        <v>8333</v>
      </c>
      <c r="K1330" s="15" t="s">
        <v>512</v>
      </c>
      <c r="L1330" s="15" t="s">
        <v>513</v>
      </c>
      <c r="M1330" s="15" t="s">
        <v>514</v>
      </c>
      <c r="N1330" s="15" t="s">
        <v>515</v>
      </c>
      <c r="O1330" s="15" t="s">
        <v>82</v>
      </c>
      <c r="P1330" s="15" t="s">
        <v>1047</v>
      </c>
      <c r="Q1330" s="15" t="s">
        <v>1048</v>
      </c>
      <c r="R1330" s="16">
        <v>44329</v>
      </c>
      <c r="S1330" s="17" t="s">
        <v>70</v>
      </c>
      <c r="T1330" s="20">
        <f>HYPERLINK("https://vnm.spiral.com.vn//uploaded/20210513/ef61b87c-dd9d-4d4e-be96-d81b8a66b43c.JPEG","12:23:02")</f>
      </c>
      <c r="U1330" s="20">
        <f>HYPERLINK("https://vnm.spiral.com.vn//uploaded/20210513/1affeb60-9ab8-4166-839e-93417fb8aefa.JPEG","14:01:12")</f>
      </c>
      <c r="V1330" s="18">
        <v>0.0681712962962963</v>
      </c>
      <c r="W1330" s="15" t="s">
        <v>8334</v>
      </c>
      <c r="X1330" s="15" t="s">
        <v>8335</v>
      </c>
      <c r="Y1330" s="15" t="s">
        <v>35</v>
      </c>
      <c r="Z1330" s="19">
        <v>0</v>
      </c>
      <c r="AA1330" s="15">
        <v>0</v>
      </c>
      <c r="AB1330" s="15" t="s">
        <v>35</v>
      </c>
    </row>
    <row r="1331">
      <c r="A1331" s="15">
        <v>1327</v>
      </c>
      <c r="B1331" s="15" t="s">
        <v>49</v>
      </c>
      <c r="C1331" s="15" t="s">
        <v>756</v>
      </c>
      <c r="D1331" s="15" t="s">
        <v>35</v>
      </c>
      <c r="E1331" s="15" t="s">
        <v>35</v>
      </c>
      <c r="F1331" s="15" t="s">
        <v>6964</v>
      </c>
      <c r="G1331" s="15" t="s">
        <v>36</v>
      </c>
      <c r="H1331" s="15" t="s">
        <v>8336</v>
      </c>
      <c r="I1331" s="15" t="s">
        <v>8337</v>
      </c>
      <c r="J1331" s="15" t="s">
        <v>8338</v>
      </c>
      <c r="K1331" s="15" t="s">
        <v>40</v>
      </c>
      <c r="L1331" s="15" t="s">
        <v>41</v>
      </c>
      <c r="M1331" s="15" t="s">
        <v>55</v>
      </c>
      <c r="N1331" s="15" t="s">
        <v>56</v>
      </c>
      <c r="O1331" s="15" t="s">
        <v>44</v>
      </c>
      <c r="P1331" s="15" t="s">
        <v>8339</v>
      </c>
      <c r="Q1331" s="15" t="s">
        <v>8340</v>
      </c>
      <c r="R1331" s="16">
        <v>44329</v>
      </c>
      <c r="S1331" s="17" t="s">
        <v>569</v>
      </c>
      <c r="T1331" s="20">
        <f>HYPERLINK("https://vnm.spiral.com.vn//uploaded/20210513/3065dc8f-81db-476d-8910-b99243d29ac9.JPEG","14:00:57")</f>
      </c>
      <c r="U1331" s="18"/>
      <c r="V1331" s="18" t="s">
        <v>35</v>
      </c>
      <c r="W1331" s="15" t="s">
        <v>8341</v>
      </c>
      <c r="X1331" s="15" t="s">
        <v>35</v>
      </c>
      <c r="Y1331" s="15" t="s">
        <v>35</v>
      </c>
      <c r="Z1331" s="19">
        <v>0</v>
      </c>
      <c r="AA1331" s="15">
        <v>0</v>
      </c>
      <c r="AB1331" s="15" t="s">
        <v>35</v>
      </c>
    </row>
    <row r="1332">
      <c r="A1332" s="15">
        <v>1328</v>
      </c>
      <c r="B1332" s="15" t="s">
        <v>33</v>
      </c>
      <c r="C1332" s="15" t="s">
        <v>765</v>
      </c>
      <c r="D1332" s="15" t="s">
        <v>35</v>
      </c>
      <c r="E1332" s="15" t="s">
        <v>35</v>
      </c>
      <c r="F1332" s="15" t="s">
        <v>35</v>
      </c>
      <c r="G1332" s="15" t="s">
        <v>36</v>
      </c>
      <c r="H1332" s="15" t="s">
        <v>8342</v>
      </c>
      <c r="I1332" s="15" t="s">
        <v>2375</v>
      </c>
      <c r="J1332" s="15" t="s">
        <v>8343</v>
      </c>
      <c r="K1332" s="15" t="s">
        <v>40</v>
      </c>
      <c r="L1332" s="15" t="s">
        <v>41</v>
      </c>
      <c r="M1332" s="15" t="s">
        <v>42</v>
      </c>
      <c r="N1332" s="15" t="s">
        <v>43</v>
      </c>
      <c r="O1332" s="15" t="s">
        <v>44</v>
      </c>
      <c r="P1332" s="15" t="s">
        <v>8344</v>
      </c>
      <c r="Q1332" s="15" t="s">
        <v>8345</v>
      </c>
      <c r="R1332" s="16">
        <v>44329</v>
      </c>
      <c r="S1332" s="17" t="s">
        <v>686</v>
      </c>
      <c r="T1332" s="20">
        <f>HYPERLINK("https://vnm.spiral.com.vn//uploaded/20210513/7CB7A90A-D561-41AF-A3A0-41414C7378B0.jpg","14:00:56")</f>
      </c>
      <c r="U1332" s="18"/>
      <c r="V1332" s="18" t="s">
        <v>35</v>
      </c>
      <c r="W1332" s="15" t="s">
        <v>8346</v>
      </c>
      <c r="X1332" s="15" t="s">
        <v>35</v>
      </c>
      <c r="Y1332" s="15" t="s">
        <v>35</v>
      </c>
      <c r="Z1332" s="19">
        <v>0</v>
      </c>
      <c r="AA1332" s="15">
        <v>0</v>
      </c>
      <c r="AB1332" s="15" t="s">
        <v>35</v>
      </c>
    </row>
    <row r="1333">
      <c r="A1333" s="15">
        <v>1329</v>
      </c>
      <c r="B1333" s="15" t="s">
        <v>49</v>
      </c>
      <c r="C1333" s="15" t="s">
        <v>162</v>
      </c>
      <c r="D1333" s="15" t="s">
        <v>35</v>
      </c>
      <c r="E1333" s="15" t="s">
        <v>35</v>
      </c>
      <c r="F1333" s="15" t="s">
        <v>1221</v>
      </c>
      <c r="G1333" s="15" t="s">
        <v>36</v>
      </c>
      <c r="H1333" s="15" t="s">
        <v>8347</v>
      </c>
      <c r="I1333" s="15" t="s">
        <v>8348</v>
      </c>
      <c r="J1333" s="15" t="s">
        <v>1224</v>
      </c>
      <c r="K1333" s="15" t="s">
        <v>40</v>
      </c>
      <c r="L1333" s="15" t="s">
        <v>41</v>
      </c>
      <c r="M1333" s="15" t="s">
        <v>55</v>
      </c>
      <c r="N1333" s="15" t="s">
        <v>56</v>
      </c>
      <c r="O1333" s="15" t="s">
        <v>44</v>
      </c>
      <c r="P1333" s="15" t="s">
        <v>8349</v>
      </c>
      <c r="Q1333" s="15" t="s">
        <v>8350</v>
      </c>
      <c r="R1333" s="16">
        <v>44329</v>
      </c>
      <c r="S1333" s="17" t="s">
        <v>569</v>
      </c>
      <c r="T1333" s="20">
        <f>HYPERLINK("https://vnm.spiral.com.vn//uploaded/20210513/4f50ca75-de0f-43f8-a652-2f17e745cae8.JPEG","14:00:47")</f>
      </c>
      <c r="U1333" s="18"/>
      <c r="V1333" s="18" t="s">
        <v>35</v>
      </c>
      <c r="W1333" s="15" t="s">
        <v>8351</v>
      </c>
      <c r="X1333" s="15" t="s">
        <v>35</v>
      </c>
      <c r="Y1333" s="15" t="s">
        <v>35</v>
      </c>
      <c r="Z1333" s="19">
        <v>0</v>
      </c>
      <c r="AA1333" s="15">
        <v>0</v>
      </c>
      <c r="AB1333" s="15" t="s">
        <v>35</v>
      </c>
    </row>
    <row r="1334">
      <c r="A1334" s="15">
        <v>1330</v>
      </c>
      <c r="B1334" s="15" t="s">
        <v>33</v>
      </c>
      <c r="C1334" s="15" t="s">
        <v>2999</v>
      </c>
      <c r="D1334" s="15" t="s">
        <v>35</v>
      </c>
      <c r="E1334" s="15" t="s">
        <v>35</v>
      </c>
      <c r="F1334" s="15" t="s">
        <v>35</v>
      </c>
      <c r="G1334" s="15" t="s">
        <v>36</v>
      </c>
      <c r="H1334" s="15" t="s">
        <v>8352</v>
      </c>
      <c r="I1334" s="15" t="s">
        <v>8353</v>
      </c>
      <c r="J1334" s="15" t="s">
        <v>8354</v>
      </c>
      <c r="K1334" s="15" t="s">
        <v>40</v>
      </c>
      <c r="L1334" s="15" t="s">
        <v>41</v>
      </c>
      <c r="M1334" s="15" t="s">
        <v>42</v>
      </c>
      <c r="N1334" s="15" t="s">
        <v>43</v>
      </c>
      <c r="O1334" s="15" t="s">
        <v>44</v>
      </c>
      <c r="P1334" s="15" t="s">
        <v>8355</v>
      </c>
      <c r="Q1334" s="15" t="s">
        <v>8356</v>
      </c>
      <c r="R1334" s="16">
        <v>44329</v>
      </c>
      <c r="S1334" s="17" t="s">
        <v>569</v>
      </c>
      <c r="T1334" s="20">
        <f>HYPERLINK("https://vnm.spiral.com.vn//uploaded/20210513/8e5a389b-fea8-4c76-b22b-0512716f2a90.JPEG","14:00:38")</f>
      </c>
      <c r="U1334" s="18"/>
      <c r="V1334" s="18" t="s">
        <v>35</v>
      </c>
      <c r="W1334" s="15" t="s">
        <v>8357</v>
      </c>
      <c r="X1334" s="15" t="s">
        <v>35</v>
      </c>
      <c r="Y1334" s="15" t="s">
        <v>35</v>
      </c>
      <c r="Z1334" s="19">
        <v>0</v>
      </c>
      <c r="AA1334" s="15">
        <v>0</v>
      </c>
      <c r="AB1334" s="15" t="s">
        <v>35</v>
      </c>
    </row>
    <row r="1335">
      <c r="A1335" s="15">
        <v>1331</v>
      </c>
      <c r="B1335" s="15" t="s">
        <v>87</v>
      </c>
      <c r="C1335" s="15" t="s">
        <v>88</v>
      </c>
      <c r="D1335" s="15" t="s">
        <v>115</v>
      </c>
      <c r="E1335" s="15" t="s">
        <v>116</v>
      </c>
      <c r="F1335" s="15" t="s">
        <v>35</v>
      </c>
      <c r="G1335" s="15" t="s">
        <v>74</v>
      </c>
      <c r="H1335" s="15" t="s">
        <v>5883</v>
      </c>
      <c r="I1335" s="15" t="s">
        <v>5884</v>
      </c>
      <c r="J1335" s="15" t="s">
        <v>5885</v>
      </c>
      <c r="K1335" s="15" t="s">
        <v>94</v>
      </c>
      <c r="L1335" s="15" t="s">
        <v>95</v>
      </c>
      <c r="M1335" s="15" t="s">
        <v>120</v>
      </c>
      <c r="N1335" s="15" t="s">
        <v>121</v>
      </c>
      <c r="O1335" s="15" t="s">
        <v>98</v>
      </c>
      <c r="P1335" s="15" t="s">
        <v>122</v>
      </c>
      <c r="Q1335" s="15" t="s">
        <v>123</v>
      </c>
      <c r="R1335" s="16">
        <v>44329</v>
      </c>
      <c r="S1335" s="17" t="s">
        <v>70</v>
      </c>
      <c r="T1335" s="18"/>
      <c r="U1335" s="20">
        <f>HYPERLINK("https://vnm.spiral.com.vn//uploaded/20210513/63e33c02-8b93-4b31-94a1-bc74f3c10c01.jpg","14:00:03")</f>
      </c>
      <c r="V1335" s="18" t="s">
        <v>35</v>
      </c>
      <c r="W1335" s="15" t="s">
        <v>35</v>
      </c>
      <c r="X1335" s="15" t="s">
        <v>8358</v>
      </c>
      <c r="Y1335" s="15" t="s">
        <v>35</v>
      </c>
      <c r="Z1335" s="19">
        <v>0</v>
      </c>
      <c r="AA1335" s="15">
        <v>0</v>
      </c>
      <c r="AB1335" s="15" t="s">
        <v>35</v>
      </c>
    </row>
    <row r="1336">
      <c r="A1336" s="15">
        <v>1332</v>
      </c>
      <c r="B1336" s="15" t="s">
        <v>49</v>
      </c>
      <c r="C1336" s="15" t="s">
        <v>468</v>
      </c>
      <c r="D1336" s="15" t="s">
        <v>35</v>
      </c>
      <c r="E1336" s="15" t="s">
        <v>35</v>
      </c>
      <c r="F1336" s="15" t="s">
        <v>1435</v>
      </c>
      <c r="G1336" s="15" t="s">
        <v>36</v>
      </c>
      <c r="H1336" s="15" t="s">
        <v>8359</v>
      </c>
      <c r="I1336" s="15" t="s">
        <v>8360</v>
      </c>
      <c r="J1336" s="15" t="s">
        <v>8361</v>
      </c>
      <c r="K1336" s="15" t="s">
        <v>40</v>
      </c>
      <c r="L1336" s="15" t="s">
        <v>41</v>
      </c>
      <c r="M1336" s="15" t="s">
        <v>55</v>
      </c>
      <c r="N1336" s="15" t="s">
        <v>56</v>
      </c>
      <c r="O1336" s="15" t="s">
        <v>44</v>
      </c>
      <c r="P1336" s="15" t="s">
        <v>8362</v>
      </c>
      <c r="Q1336" s="15" t="s">
        <v>8363</v>
      </c>
      <c r="R1336" s="16">
        <v>44329</v>
      </c>
      <c r="S1336" s="17" t="s">
        <v>569</v>
      </c>
      <c r="T1336" s="20">
        <f>HYPERLINK("https://vnm.spiral.com.vn//uploaded/20210513/56C3FF97-FF64-44F5-BD10-9F4638E96581.jpg","14:00:01")</f>
      </c>
      <c r="U1336" s="18"/>
      <c r="V1336" s="18" t="s">
        <v>35</v>
      </c>
      <c r="W1336" s="15" t="s">
        <v>8364</v>
      </c>
      <c r="X1336" s="15" t="s">
        <v>35</v>
      </c>
      <c r="Y1336" s="15" t="s">
        <v>35</v>
      </c>
      <c r="Z1336" s="19">
        <v>0</v>
      </c>
      <c r="AA1336" s="15">
        <v>0</v>
      </c>
      <c r="AB1336" s="15" t="s">
        <v>35</v>
      </c>
    </row>
    <row r="1337">
      <c r="A1337" s="15">
        <v>1333</v>
      </c>
      <c r="B1337" s="15" t="s">
        <v>103</v>
      </c>
      <c r="C1337" s="15" t="s">
        <v>186</v>
      </c>
      <c r="D1337" s="15" t="s">
        <v>35</v>
      </c>
      <c r="E1337" s="15" t="s">
        <v>35</v>
      </c>
      <c r="F1337" s="15" t="s">
        <v>35</v>
      </c>
      <c r="G1337" s="15" t="s">
        <v>36</v>
      </c>
      <c r="H1337" s="15" t="s">
        <v>8365</v>
      </c>
      <c r="I1337" s="15" t="s">
        <v>8366</v>
      </c>
      <c r="J1337" s="15" t="s">
        <v>8367</v>
      </c>
      <c r="K1337" s="15" t="s">
        <v>40</v>
      </c>
      <c r="L1337" s="15" t="s">
        <v>41</v>
      </c>
      <c r="M1337" s="15" t="s">
        <v>565</v>
      </c>
      <c r="N1337" s="15" t="s">
        <v>566</v>
      </c>
      <c r="O1337" s="15" t="s">
        <v>44</v>
      </c>
      <c r="P1337" s="15" t="s">
        <v>8368</v>
      </c>
      <c r="Q1337" s="15" t="s">
        <v>8369</v>
      </c>
      <c r="R1337" s="16">
        <v>44329</v>
      </c>
      <c r="S1337" s="17" t="s">
        <v>569</v>
      </c>
      <c r="T1337" s="20">
        <f>HYPERLINK("https://vnm.spiral.com.vn//uploaded/20210513/D6517217-9102-4F3C-AC1A-CB5661609CC1.jpg","13:59:35")</f>
      </c>
      <c r="U1337" s="18"/>
      <c r="V1337" s="18" t="s">
        <v>35</v>
      </c>
      <c r="W1337" s="15" t="s">
        <v>8370</v>
      </c>
      <c r="X1337" s="15" t="s">
        <v>35</v>
      </c>
      <c r="Y1337" s="15" t="s">
        <v>35</v>
      </c>
      <c r="Z1337" s="19">
        <v>0</v>
      </c>
      <c r="AA1337" s="15">
        <v>0</v>
      </c>
      <c r="AB1337" s="15" t="s">
        <v>35</v>
      </c>
    </row>
    <row r="1338">
      <c r="A1338" s="15">
        <v>1334</v>
      </c>
      <c r="B1338" s="15" t="s">
        <v>343</v>
      </c>
      <c r="C1338" s="15" t="s">
        <v>7476</v>
      </c>
      <c r="D1338" s="15" t="s">
        <v>35</v>
      </c>
      <c r="E1338" s="15" t="s">
        <v>35</v>
      </c>
      <c r="F1338" s="15" t="s">
        <v>35</v>
      </c>
      <c r="G1338" s="15" t="s">
        <v>36</v>
      </c>
      <c r="H1338" s="15" t="s">
        <v>8371</v>
      </c>
      <c r="I1338" s="15" t="s">
        <v>8372</v>
      </c>
      <c r="J1338" s="15" t="s">
        <v>8373</v>
      </c>
      <c r="K1338" s="15" t="s">
        <v>40</v>
      </c>
      <c r="L1338" s="15" t="s">
        <v>41</v>
      </c>
      <c r="M1338" s="15" t="s">
        <v>409</v>
      </c>
      <c r="N1338" s="15" t="s">
        <v>410</v>
      </c>
      <c r="O1338" s="15" t="s">
        <v>44</v>
      </c>
      <c r="P1338" s="15" t="s">
        <v>8374</v>
      </c>
      <c r="Q1338" s="15" t="s">
        <v>5981</v>
      </c>
      <c r="R1338" s="16">
        <v>44329</v>
      </c>
      <c r="S1338" s="17" t="s">
        <v>569</v>
      </c>
      <c r="T1338" s="20">
        <f>HYPERLINK("https://vnm.spiral.com.vn//uploaded/20210513/DB56476F-5518-491D-A648-DC61DD09F37B.jpg","13:59:20")</f>
      </c>
      <c r="U1338" s="18"/>
      <c r="V1338" s="18" t="s">
        <v>35</v>
      </c>
      <c r="W1338" s="15" t="s">
        <v>8375</v>
      </c>
      <c r="X1338" s="15" t="s">
        <v>35</v>
      </c>
      <c r="Y1338" s="15" t="s">
        <v>35</v>
      </c>
      <c r="Z1338" s="19">
        <v>0</v>
      </c>
      <c r="AA1338" s="15">
        <v>0</v>
      </c>
      <c r="AB1338" s="15" t="s">
        <v>35</v>
      </c>
    </row>
    <row r="1339">
      <c r="A1339" s="15">
        <v>1335</v>
      </c>
      <c r="B1339" s="15" t="s">
        <v>343</v>
      </c>
      <c r="C1339" s="15" t="s">
        <v>2069</v>
      </c>
      <c r="D1339" s="15" t="s">
        <v>35</v>
      </c>
      <c r="E1339" s="15" t="s">
        <v>35</v>
      </c>
      <c r="F1339" s="15" t="s">
        <v>5873</v>
      </c>
      <c r="G1339" s="15" t="s">
        <v>36</v>
      </c>
      <c r="H1339" s="15" t="s">
        <v>8376</v>
      </c>
      <c r="I1339" s="15" t="s">
        <v>8377</v>
      </c>
      <c r="J1339" s="15" t="s">
        <v>8378</v>
      </c>
      <c r="K1339" s="15" t="s">
        <v>40</v>
      </c>
      <c r="L1339" s="15" t="s">
        <v>41</v>
      </c>
      <c r="M1339" s="15" t="s">
        <v>595</v>
      </c>
      <c r="N1339" s="15" t="s">
        <v>596</v>
      </c>
      <c r="O1339" s="15" t="s">
        <v>44</v>
      </c>
      <c r="P1339" s="15" t="s">
        <v>8379</v>
      </c>
      <c r="Q1339" s="15" t="s">
        <v>8380</v>
      </c>
      <c r="R1339" s="16">
        <v>44329</v>
      </c>
      <c r="S1339" s="17" t="s">
        <v>569</v>
      </c>
      <c r="T1339" s="20">
        <f>HYPERLINK("https://vnm.spiral.com.vn//uploaded/20210513/935E89D2-3C80-4E05-AB0B-FE245459CC1E.jpg","13:59:18")</f>
      </c>
      <c r="U1339" s="18"/>
      <c r="V1339" s="18" t="s">
        <v>35</v>
      </c>
      <c r="W1339" s="15" t="s">
        <v>8381</v>
      </c>
      <c r="X1339" s="15" t="s">
        <v>35</v>
      </c>
      <c r="Y1339" s="15" t="s">
        <v>35</v>
      </c>
      <c r="Z1339" s="19">
        <v>0</v>
      </c>
      <c r="AA1339" s="15">
        <v>0</v>
      </c>
      <c r="AB1339" s="15" t="s">
        <v>35</v>
      </c>
    </row>
    <row r="1340">
      <c r="A1340" s="15">
        <v>1336</v>
      </c>
      <c r="B1340" s="15" t="s">
        <v>103</v>
      </c>
      <c r="C1340" s="15" t="s">
        <v>186</v>
      </c>
      <c r="D1340" s="15" t="s">
        <v>135</v>
      </c>
      <c r="E1340" s="15" t="s">
        <v>116</v>
      </c>
      <c r="F1340" s="15" t="s">
        <v>35</v>
      </c>
      <c r="G1340" s="15" t="s">
        <v>74</v>
      </c>
      <c r="H1340" s="15" t="s">
        <v>8382</v>
      </c>
      <c r="I1340" s="15" t="s">
        <v>8383</v>
      </c>
      <c r="J1340" s="15" t="s">
        <v>8384</v>
      </c>
      <c r="K1340" s="15" t="s">
        <v>436</v>
      </c>
      <c r="L1340" s="15" t="s">
        <v>437</v>
      </c>
      <c r="M1340" s="15" t="s">
        <v>438</v>
      </c>
      <c r="N1340" s="15" t="s">
        <v>439</v>
      </c>
      <c r="O1340" s="15" t="s">
        <v>82</v>
      </c>
      <c r="P1340" s="15" t="s">
        <v>2431</v>
      </c>
      <c r="Q1340" s="15" t="s">
        <v>2432</v>
      </c>
      <c r="R1340" s="16">
        <v>44329</v>
      </c>
      <c r="S1340" s="17" t="s">
        <v>70</v>
      </c>
      <c r="T1340" s="20">
        <f>HYPERLINK("https://vnm.spiral.com.vn//uploaded/20210513/E41A1979-D777-400C-B55D-6017E019FCC6.jpg","13:10:54")</f>
      </c>
      <c r="U1340" s="20">
        <f>HYPERLINK("https://vnm.spiral.com.vn//uploaded/20210513/9022803D-EC13-465B-AF91-751807B1570D.jpg","13:59:12")</f>
      </c>
      <c r="V1340" s="18">
        <v>0.033541666666666664</v>
      </c>
      <c r="W1340" s="15" t="s">
        <v>8385</v>
      </c>
      <c r="X1340" s="15" t="s">
        <v>7218</v>
      </c>
      <c r="Y1340" s="15" t="s">
        <v>35</v>
      </c>
      <c r="Z1340" s="19">
        <v>0</v>
      </c>
      <c r="AA1340" s="15">
        <v>0</v>
      </c>
      <c r="AB1340" s="15" t="s">
        <v>35</v>
      </c>
    </row>
    <row r="1341">
      <c r="A1341" s="15">
        <v>1337</v>
      </c>
      <c r="B1341" s="15" t="s">
        <v>103</v>
      </c>
      <c r="C1341" s="15" t="s">
        <v>1078</v>
      </c>
      <c r="D1341" s="15" t="s">
        <v>35</v>
      </c>
      <c r="E1341" s="15" t="s">
        <v>35</v>
      </c>
      <c r="F1341" s="15" t="s">
        <v>35</v>
      </c>
      <c r="G1341" s="15" t="s">
        <v>36</v>
      </c>
      <c r="H1341" s="15" t="s">
        <v>8386</v>
      </c>
      <c r="I1341" s="15" t="s">
        <v>8387</v>
      </c>
      <c r="J1341" s="15" t="s">
        <v>8388</v>
      </c>
      <c r="K1341" s="15" t="s">
        <v>40</v>
      </c>
      <c r="L1341" s="15" t="s">
        <v>41</v>
      </c>
      <c r="M1341" s="15" t="s">
        <v>565</v>
      </c>
      <c r="N1341" s="15" t="s">
        <v>566</v>
      </c>
      <c r="O1341" s="15" t="s">
        <v>44</v>
      </c>
      <c r="P1341" s="15" t="s">
        <v>8389</v>
      </c>
      <c r="Q1341" s="15" t="s">
        <v>8390</v>
      </c>
      <c r="R1341" s="16">
        <v>44329</v>
      </c>
      <c r="S1341" s="17" t="s">
        <v>7905</v>
      </c>
      <c r="T1341" s="20">
        <f>HYPERLINK("https://vnm.spiral.com.vn//uploaded/20210513/e61e822e-1e3a-4167-918c-93eca05917db.JPEG","13:59:08")</f>
      </c>
      <c r="U1341" s="18"/>
      <c r="V1341" s="18" t="s">
        <v>35</v>
      </c>
      <c r="W1341" s="15" t="s">
        <v>8391</v>
      </c>
      <c r="X1341" s="15" t="s">
        <v>35</v>
      </c>
      <c r="Y1341" s="15" t="s">
        <v>35</v>
      </c>
      <c r="Z1341" s="19">
        <v>0</v>
      </c>
      <c r="AA1341" s="15">
        <v>0</v>
      </c>
      <c r="AB1341" s="15" t="s">
        <v>35</v>
      </c>
    </row>
    <row r="1342">
      <c r="A1342" s="15">
        <v>1338</v>
      </c>
      <c r="B1342" s="15" t="s">
        <v>87</v>
      </c>
      <c r="C1342" s="15" t="s">
        <v>88</v>
      </c>
      <c r="D1342" s="15" t="s">
        <v>432</v>
      </c>
      <c r="E1342" s="15" t="s">
        <v>116</v>
      </c>
      <c r="F1342" s="15" t="s">
        <v>35</v>
      </c>
      <c r="G1342" s="15" t="s">
        <v>74</v>
      </c>
      <c r="H1342" s="15" t="s">
        <v>8392</v>
      </c>
      <c r="I1342" s="15" t="s">
        <v>8393</v>
      </c>
      <c r="J1342" s="15" t="s">
        <v>8394</v>
      </c>
      <c r="K1342" s="15" t="s">
        <v>625</v>
      </c>
      <c r="L1342" s="15" t="s">
        <v>626</v>
      </c>
      <c r="M1342" s="15" t="s">
        <v>627</v>
      </c>
      <c r="N1342" s="15" t="s">
        <v>628</v>
      </c>
      <c r="O1342" s="15" t="s">
        <v>82</v>
      </c>
      <c r="P1342" s="15" t="s">
        <v>851</v>
      </c>
      <c r="Q1342" s="15" t="s">
        <v>852</v>
      </c>
      <c r="R1342" s="16">
        <v>44329</v>
      </c>
      <c r="S1342" s="17" t="s">
        <v>70</v>
      </c>
      <c r="T1342" s="20">
        <f>HYPERLINK("https://vnm.spiral.com.vn//uploaded/20210513/1CB57938-3679-4AE4-84E7-AF5963865BE6.jpg","13:07:34")</f>
      </c>
      <c r="U1342" s="20">
        <f>HYPERLINK("https://vnm.spiral.com.vn//uploaded/20210513/7217799C-DAF1-439A-8B4B-2A74137FE29C.jpg","13:59:01")</f>
      </c>
      <c r="V1342" s="18">
        <v>0.035729166666666666</v>
      </c>
      <c r="W1342" s="15" t="s">
        <v>8395</v>
      </c>
      <c r="X1342" s="15" t="s">
        <v>8396</v>
      </c>
      <c r="Y1342" s="15" t="s">
        <v>35</v>
      </c>
      <c r="Z1342" s="19">
        <v>0</v>
      </c>
      <c r="AA1342" s="15">
        <v>0</v>
      </c>
      <c r="AB1342" s="15" t="s">
        <v>35</v>
      </c>
    </row>
    <row r="1343">
      <c r="A1343" s="15">
        <v>1339</v>
      </c>
      <c r="B1343" s="15" t="s">
        <v>49</v>
      </c>
      <c r="C1343" s="15" t="s">
        <v>162</v>
      </c>
      <c r="D1343" s="15" t="s">
        <v>35</v>
      </c>
      <c r="E1343" s="15" t="s">
        <v>35</v>
      </c>
      <c r="F1343" s="15" t="s">
        <v>3675</v>
      </c>
      <c r="G1343" s="15" t="s">
        <v>36</v>
      </c>
      <c r="H1343" s="15" t="s">
        <v>8397</v>
      </c>
      <c r="I1343" s="15" t="s">
        <v>8398</v>
      </c>
      <c r="J1343" s="15" t="s">
        <v>8399</v>
      </c>
      <c r="K1343" s="15" t="s">
        <v>40</v>
      </c>
      <c r="L1343" s="15" t="s">
        <v>41</v>
      </c>
      <c r="M1343" s="15" t="s">
        <v>55</v>
      </c>
      <c r="N1343" s="15" t="s">
        <v>56</v>
      </c>
      <c r="O1343" s="15" t="s">
        <v>44</v>
      </c>
      <c r="P1343" s="15" t="s">
        <v>8400</v>
      </c>
      <c r="Q1343" s="15" t="s">
        <v>8401</v>
      </c>
      <c r="R1343" s="16">
        <v>44329</v>
      </c>
      <c r="S1343" s="17" t="s">
        <v>569</v>
      </c>
      <c r="T1343" s="20">
        <f>HYPERLINK("https://vnm.spiral.com.vn//uploaded/20210513/67E71C97-276F-4C3D-9361-1213098F05EC.jpg","13:59:00")</f>
      </c>
      <c r="U1343" s="18"/>
      <c r="V1343" s="18" t="s">
        <v>35</v>
      </c>
      <c r="W1343" s="15" t="s">
        <v>8402</v>
      </c>
      <c r="X1343" s="15" t="s">
        <v>35</v>
      </c>
      <c r="Y1343" s="15" t="s">
        <v>35</v>
      </c>
      <c r="Z1343" s="19">
        <v>0</v>
      </c>
      <c r="AA1343" s="15">
        <v>0</v>
      </c>
      <c r="AB1343" s="15" t="s">
        <v>35</v>
      </c>
    </row>
    <row r="1344">
      <c r="A1344" s="15">
        <v>1340</v>
      </c>
      <c r="B1344" s="15" t="s">
        <v>343</v>
      </c>
      <c r="C1344" s="15" t="s">
        <v>344</v>
      </c>
      <c r="D1344" s="15" t="s">
        <v>35</v>
      </c>
      <c r="E1344" s="15" t="s">
        <v>35</v>
      </c>
      <c r="F1344" s="15" t="s">
        <v>35</v>
      </c>
      <c r="G1344" s="15" t="s">
        <v>36</v>
      </c>
      <c r="H1344" s="15" t="s">
        <v>8403</v>
      </c>
      <c r="I1344" s="15" t="s">
        <v>8404</v>
      </c>
      <c r="J1344" s="15" t="s">
        <v>8405</v>
      </c>
      <c r="K1344" s="15" t="s">
        <v>40</v>
      </c>
      <c r="L1344" s="15" t="s">
        <v>41</v>
      </c>
      <c r="M1344" s="15" t="s">
        <v>409</v>
      </c>
      <c r="N1344" s="15" t="s">
        <v>410</v>
      </c>
      <c r="O1344" s="15" t="s">
        <v>44</v>
      </c>
      <c r="P1344" s="15" t="s">
        <v>8406</v>
      </c>
      <c r="Q1344" s="15" t="s">
        <v>8407</v>
      </c>
      <c r="R1344" s="16">
        <v>44329</v>
      </c>
      <c r="S1344" s="17" t="s">
        <v>7638</v>
      </c>
      <c r="T1344" s="20">
        <f>HYPERLINK("https://vnm.spiral.com.vn//uploaded/20210513/46c8dc76-2f2c-4713-98f2-effa4f63b5ce.JPEG","13:58:52")</f>
      </c>
      <c r="U1344" s="18"/>
      <c r="V1344" s="18" t="s">
        <v>35</v>
      </c>
      <c r="W1344" s="15" t="s">
        <v>8408</v>
      </c>
      <c r="X1344" s="15" t="s">
        <v>35</v>
      </c>
      <c r="Y1344" s="15" t="s">
        <v>35</v>
      </c>
      <c r="Z1344" s="19">
        <v>0</v>
      </c>
      <c r="AA1344" s="15">
        <v>0</v>
      </c>
      <c r="AB1344" s="15" t="s">
        <v>35</v>
      </c>
    </row>
    <row r="1345">
      <c r="A1345" s="15">
        <v>1341</v>
      </c>
      <c r="B1345" s="15" t="s">
        <v>49</v>
      </c>
      <c r="C1345" s="15" t="s">
        <v>468</v>
      </c>
      <c r="D1345" s="15" t="s">
        <v>35</v>
      </c>
      <c r="E1345" s="15" t="s">
        <v>35</v>
      </c>
      <c r="F1345" s="15" t="s">
        <v>2857</v>
      </c>
      <c r="G1345" s="15" t="s">
        <v>36</v>
      </c>
      <c r="H1345" s="15" t="s">
        <v>8409</v>
      </c>
      <c r="I1345" s="15" t="s">
        <v>1420</v>
      </c>
      <c r="J1345" s="15" t="s">
        <v>8150</v>
      </c>
      <c r="K1345" s="15" t="s">
        <v>40</v>
      </c>
      <c r="L1345" s="15" t="s">
        <v>41</v>
      </c>
      <c r="M1345" s="15" t="s">
        <v>55</v>
      </c>
      <c r="N1345" s="15" t="s">
        <v>56</v>
      </c>
      <c r="O1345" s="15" t="s">
        <v>44</v>
      </c>
      <c r="P1345" s="15" t="s">
        <v>8410</v>
      </c>
      <c r="Q1345" s="15" t="s">
        <v>8411</v>
      </c>
      <c r="R1345" s="16">
        <v>44329</v>
      </c>
      <c r="S1345" s="17" t="s">
        <v>569</v>
      </c>
      <c r="T1345" s="20">
        <f>HYPERLINK("https://vnm.spiral.com.vn//uploaded/20210513/B18610FC-FA67-4550-BC64-2174B36A2A73.jpg","13:58:41")</f>
      </c>
      <c r="U1345" s="18"/>
      <c r="V1345" s="18" t="s">
        <v>35</v>
      </c>
      <c r="W1345" s="15" t="s">
        <v>8412</v>
      </c>
      <c r="X1345" s="15" t="s">
        <v>35</v>
      </c>
      <c r="Y1345" s="15" t="s">
        <v>35</v>
      </c>
      <c r="Z1345" s="19">
        <v>0</v>
      </c>
      <c r="AA1345" s="15">
        <v>0</v>
      </c>
      <c r="AB1345" s="15" t="s">
        <v>35</v>
      </c>
    </row>
    <row r="1346">
      <c r="A1346" s="15">
        <v>1342</v>
      </c>
      <c r="B1346" s="15" t="s">
        <v>103</v>
      </c>
      <c r="C1346" s="15" t="s">
        <v>1078</v>
      </c>
      <c r="D1346" s="15" t="s">
        <v>35</v>
      </c>
      <c r="E1346" s="15" t="s">
        <v>35</v>
      </c>
      <c r="F1346" s="15" t="s">
        <v>8413</v>
      </c>
      <c r="G1346" s="15" t="s">
        <v>36</v>
      </c>
      <c r="H1346" s="15" t="s">
        <v>8414</v>
      </c>
      <c r="I1346" s="15" t="s">
        <v>8415</v>
      </c>
      <c r="J1346" s="15" t="s">
        <v>8388</v>
      </c>
      <c r="K1346" s="15" t="s">
        <v>40</v>
      </c>
      <c r="L1346" s="15" t="s">
        <v>41</v>
      </c>
      <c r="M1346" s="15" t="s">
        <v>565</v>
      </c>
      <c r="N1346" s="15" t="s">
        <v>566</v>
      </c>
      <c r="O1346" s="15" t="s">
        <v>44</v>
      </c>
      <c r="P1346" s="15" t="s">
        <v>8416</v>
      </c>
      <c r="Q1346" s="15" t="s">
        <v>2529</v>
      </c>
      <c r="R1346" s="16">
        <v>44329</v>
      </c>
      <c r="S1346" s="17" t="s">
        <v>569</v>
      </c>
      <c r="T1346" s="20">
        <f>HYPERLINK("https://vnm.spiral.com.vn//uploaded/20210513/bc83a4de-c41c-4b9d-b630-037f09c564b1.JPEG","13:58:38")</f>
      </c>
      <c r="U1346" s="18"/>
      <c r="V1346" s="18" t="s">
        <v>35</v>
      </c>
      <c r="W1346" s="15" t="s">
        <v>8417</v>
      </c>
      <c r="X1346" s="15" t="s">
        <v>35</v>
      </c>
      <c r="Y1346" s="15" t="s">
        <v>35</v>
      </c>
      <c r="Z1346" s="19">
        <v>0</v>
      </c>
      <c r="AA1346" s="15">
        <v>0</v>
      </c>
      <c r="AB1346" s="15" t="s">
        <v>35</v>
      </c>
    </row>
    <row r="1347">
      <c r="A1347" s="15">
        <v>1343</v>
      </c>
      <c r="B1347" s="15" t="s">
        <v>246</v>
      </c>
      <c r="C1347" s="15" t="s">
        <v>782</v>
      </c>
      <c r="D1347" s="15" t="s">
        <v>35</v>
      </c>
      <c r="E1347" s="15" t="s">
        <v>35</v>
      </c>
      <c r="F1347" s="15" t="s">
        <v>1707</v>
      </c>
      <c r="G1347" s="15" t="s">
        <v>36</v>
      </c>
      <c r="H1347" s="15" t="s">
        <v>8418</v>
      </c>
      <c r="I1347" s="15" t="s">
        <v>8419</v>
      </c>
      <c r="J1347" s="15" t="s">
        <v>8420</v>
      </c>
      <c r="K1347" s="15" t="s">
        <v>40</v>
      </c>
      <c r="L1347" s="15" t="s">
        <v>41</v>
      </c>
      <c r="M1347" s="15" t="s">
        <v>252</v>
      </c>
      <c r="N1347" s="15" t="s">
        <v>253</v>
      </c>
      <c r="O1347" s="15" t="s">
        <v>44</v>
      </c>
      <c r="P1347" s="15" t="s">
        <v>8421</v>
      </c>
      <c r="Q1347" s="15" t="s">
        <v>8422</v>
      </c>
      <c r="R1347" s="16">
        <v>44329</v>
      </c>
      <c r="S1347" s="17" t="s">
        <v>569</v>
      </c>
      <c r="T1347" s="20">
        <f>HYPERLINK("https://vnm.spiral.com.vn//uploaded/20210513/775EE979-6F79-407C-92D0-3CFAB2940C46.jpg","13:58:32")</f>
      </c>
      <c r="U1347" s="18"/>
      <c r="V1347" s="18" t="s">
        <v>35</v>
      </c>
      <c r="W1347" s="15" t="s">
        <v>8423</v>
      </c>
      <c r="X1347" s="15" t="s">
        <v>35</v>
      </c>
      <c r="Y1347" s="15" t="s">
        <v>35</v>
      </c>
      <c r="Z1347" s="19">
        <v>0</v>
      </c>
      <c r="AA1347" s="15">
        <v>0</v>
      </c>
      <c r="AB1347" s="15" t="s">
        <v>35</v>
      </c>
    </row>
    <row r="1348">
      <c r="A1348" s="15">
        <v>1344</v>
      </c>
      <c r="B1348" s="15" t="s">
        <v>103</v>
      </c>
      <c r="C1348" s="15" t="s">
        <v>186</v>
      </c>
      <c r="D1348" s="15" t="s">
        <v>35</v>
      </c>
      <c r="E1348" s="15" t="s">
        <v>35</v>
      </c>
      <c r="F1348" s="15" t="s">
        <v>35</v>
      </c>
      <c r="G1348" s="15" t="s">
        <v>36</v>
      </c>
      <c r="H1348" s="15" t="s">
        <v>8424</v>
      </c>
      <c r="I1348" s="15" t="s">
        <v>8425</v>
      </c>
      <c r="J1348" s="15" t="s">
        <v>8426</v>
      </c>
      <c r="K1348" s="15" t="s">
        <v>40</v>
      </c>
      <c r="L1348" s="15" t="s">
        <v>41</v>
      </c>
      <c r="M1348" s="15" t="s">
        <v>565</v>
      </c>
      <c r="N1348" s="15" t="s">
        <v>566</v>
      </c>
      <c r="O1348" s="15" t="s">
        <v>44</v>
      </c>
      <c r="P1348" s="15" t="s">
        <v>8427</v>
      </c>
      <c r="Q1348" s="15" t="s">
        <v>8428</v>
      </c>
      <c r="R1348" s="16">
        <v>44329</v>
      </c>
      <c r="S1348" s="17" t="s">
        <v>569</v>
      </c>
      <c r="T1348" s="20">
        <f>HYPERLINK("https://vnm.spiral.com.vn//uploaded/20210513/A70EE563-4A9F-4DFA-81EC-D2F52B43F8E2.jpg","13:58:28")</f>
      </c>
      <c r="U1348" s="18"/>
      <c r="V1348" s="18" t="s">
        <v>35</v>
      </c>
      <c r="W1348" s="15" t="s">
        <v>8429</v>
      </c>
      <c r="X1348" s="15" t="s">
        <v>35</v>
      </c>
      <c r="Y1348" s="15" t="s">
        <v>35</v>
      </c>
      <c r="Z1348" s="19">
        <v>0</v>
      </c>
      <c r="AA1348" s="15">
        <v>0</v>
      </c>
      <c r="AB1348" s="15" t="s">
        <v>35</v>
      </c>
    </row>
    <row r="1349">
      <c r="A1349" s="15">
        <v>1345</v>
      </c>
      <c r="B1349" s="15" t="s">
        <v>33</v>
      </c>
      <c r="C1349" s="15" t="s">
        <v>492</v>
      </c>
      <c r="D1349" s="15" t="s">
        <v>35</v>
      </c>
      <c r="E1349" s="15" t="s">
        <v>35</v>
      </c>
      <c r="F1349" s="15" t="s">
        <v>35</v>
      </c>
      <c r="G1349" s="15" t="s">
        <v>36</v>
      </c>
      <c r="H1349" s="15" t="s">
        <v>8430</v>
      </c>
      <c r="I1349" s="15" t="s">
        <v>6591</v>
      </c>
      <c r="J1349" s="15" t="s">
        <v>8431</v>
      </c>
      <c r="K1349" s="15" t="s">
        <v>40</v>
      </c>
      <c r="L1349" s="15" t="s">
        <v>41</v>
      </c>
      <c r="M1349" s="15" t="s">
        <v>42</v>
      </c>
      <c r="N1349" s="15" t="s">
        <v>43</v>
      </c>
      <c r="O1349" s="15" t="s">
        <v>44</v>
      </c>
      <c r="P1349" s="15" t="s">
        <v>8432</v>
      </c>
      <c r="Q1349" s="15" t="s">
        <v>8433</v>
      </c>
      <c r="R1349" s="16">
        <v>44329</v>
      </c>
      <c r="S1349" s="17" t="s">
        <v>569</v>
      </c>
      <c r="T1349" s="20">
        <f>HYPERLINK("https://vnm.spiral.com.vn//uploaded/20210513/903750A1-C9C6-4F5A-820C-CFDFA2DA4C8E.jpg","13:58:18")</f>
      </c>
      <c r="U1349" s="18"/>
      <c r="V1349" s="18" t="s">
        <v>35</v>
      </c>
      <c r="W1349" s="15" t="s">
        <v>8434</v>
      </c>
      <c r="X1349" s="15" t="s">
        <v>35</v>
      </c>
      <c r="Y1349" s="15" t="s">
        <v>35</v>
      </c>
      <c r="Z1349" s="19">
        <v>0</v>
      </c>
      <c r="AA1349" s="15">
        <v>0</v>
      </c>
      <c r="AB1349" s="15" t="s">
        <v>35</v>
      </c>
    </row>
    <row r="1350">
      <c r="A1350" s="15">
        <v>1346</v>
      </c>
      <c r="B1350" s="15" t="s">
        <v>49</v>
      </c>
      <c r="C1350" s="15" t="s">
        <v>756</v>
      </c>
      <c r="D1350" s="15" t="s">
        <v>89</v>
      </c>
      <c r="E1350" s="15" t="s">
        <v>90</v>
      </c>
      <c r="F1350" s="15" t="s">
        <v>35</v>
      </c>
      <c r="G1350" s="15" t="s">
        <v>74</v>
      </c>
      <c r="H1350" s="15" t="s">
        <v>3539</v>
      </c>
      <c r="I1350" s="15" t="s">
        <v>3540</v>
      </c>
      <c r="J1350" s="15" t="s">
        <v>3541</v>
      </c>
      <c r="K1350" s="15" t="s">
        <v>168</v>
      </c>
      <c r="L1350" s="15" t="s">
        <v>169</v>
      </c>
      <c r="M1350" s="15" t="s">
        <v>2640</v>
      </c>
      <c r="N1350" s="15" t="s">
        <v>2641</v>
      </c>
      <c r="O1350" s="15" t="s">
        <v>82</v>
      </c>
      <c r="P1350" s="15" t="s">
        <v>8435</v>
      </c>
      <c r="Q1350" s="15" t="s">
        <v>8436</v>
      </c>
      <c r="R1350" s="16">
        <v>44329</v>
      </c>
      <c r="S1350" s="17" t="s">
        <v>70</v>
      </c>
      <c r="T1350" s="20">
        <f>HYPERLINK("https://vnm.spiral.com.vn//uploaded/20210513/3b1cb1c2-e978-40b4-ae94-fe5b684c8285.JPEG","13:58:09")</f>
      </c>
      <c r="U1350" s="18"/>
      <c r="V1350" s="18" t="s">
        <v>35</v>
      </c>
      <c r="W1350" s="15" t="s">
        <v>8437</v>
      </c>
      <c r="X1350" s="15" t="s">
        <v>35</v>
      </c>
      <c r="Y1350" s="15" t="s">
        <v>35</v>
      </c>
      <c r="Z1350" s="19">
        <v>0</v>
      </c>
      <c r="AA1350" s="15">
        <v>0</v>
      </c>
      <c r="AB1350" s="15" t="s">
        <v>35</v>
      </c>
    </row>
    <row r="1351">
      <c r="A1351" s="15">
        <v>1347</v>
      </c>
      <c r="B1351" s="15" t="s">
        <v>33</v>
      </c>
      <c r="C1351" s="15" t="s">
        <v>34</v>
      </c>
      <c r="D1351" s="15" t="s">
        <v>35</v>
      </c>
      <c r="E1351" s="15" t="s">
        <v>35</v>
      </c>
      <c r="F1351" s="15" t="s">
        <v>35</v>
      </c>
      <c r="G1351" s="15" t="s">
        <v>36</v>
      </c>
      <c r="H1351" s="15" t="s">
        <v>8438</v>
      </c>
      <c r="I1351" s="15" t="s">
        <v>8439</v>
      </c>
      <c r="J1351" s="15" t="s">
        <v>8440</v>
      </c>
      <c r="K1351" s="15" t="s">
        <v>40</v>
      </c>
      <c r="L1351" s="15" t="s">
        <v>41</v>
      </c>
      <c r="M1351" s="15" t="s">
        <v>42</v>
      </c>
      <c r="N1351" s="15" t="s">
        <v>43</v>
      </c>
      <c r="O1351" s="15" t="s">
        <v>44</v>
      </c>
      <c r="P1351" s="15" t="s">
        <v>8441</v>
      </c>
      <c r="Q1351" s="15" t="s">
        <v>8442</v>
      </c>
      <c r="R1351" s="16">
        <v>44329</v>
      </c>
      <c r="S1351" s="17" t="s">
        <v>569</v>
      </c>
      <c r="T1351" s="20">
        <f>HYPERLINK("https://vnm.spiral.com.vn//uploaded/20210513/c3b4f666-ca4f-4b5d-8779-25715ec56881.JPEG","13:58:03")</f>
      </c>
      <c r="U1351" s="18"/>
      <c r="V1351" s="18" t="s">
        <v>35</v>
      </c>
      <c r="W1351" s="15" t="s">
        <v>8443</v>
      </c>
      <c r="X1351" s="15" t="s">
        <v>35</v>
      </c>
      <c r="Y1351" s="15" t="s">
        <v>35</v>
      </c>
      <c r="Z1351" s="19">
        <v>0</v>
      </c>
      <c r="AA1351" s="15">
        <v>0</v>
      </c>
      <c r="AB1351" s="15" t="s">
        <v>35</v>
      </c>
    </row>
    <row r="1352">
      <c r="A1352" s="15">
        <v>1348</v>
      </c>
      <c r="B1352" s="15" t="s">
        <v>343</v>
      </c>
      <c r="C1352" s="15" t="s">
        <v>344</v>
      </c>
      <c r="D1352" s="15" t="s">
        <v>35</v>
      </c>
      <c r="E1352" s="15" t="s">
        <v>35</v>
      </c>
      <c r="F1352" s="15" t="s">
        <v>35</v>
      </c>
      <c r="G1352" s="15" t="s">
        <v>74</v>
      </c>
      <c r="H1352" s="15" t="s">
        <v>8444</v>
      </c>
      <c r="I1352" s="15" t="s">
        <v>8445</v>
      </c>
      <c r="J1352" s="15" t="s">
        <v>8446</v>
      </c>
      <c r="K1352" s="15" t="s">
        <v>584</v>
      </c>
      <c r="L1352" s="15" t="s">
        <v>585</v>
      </c>
      <c r="M1352" s="15" t="s">
        <v>827</v>
      </c>
      <c r="N1352" s="15" t="s">
        <v>828</v>
      </c>
      <c r="O1352" s="15" t="s">
        <v>82</v>
      </c>
      <c r="P1352" s="15" t="s">
        <v>2717</v>
      </c>
      <c r="Q1352" s="15" t="s">
        <v>2718</v>
      </c>
      <c r="R1352" s="16">
        <v>44329</v>
      </c>
      <c r="S1352" s="17" t="s">
        <v>70</v>
      </c>
      <c r="T1352" s="20">
        <f>HYPERLINK("https://vnm.spiral.com.vn//uploaded/20210513/B49B621C-9D9E-49B9-A605-4A874F1FB23C.jpg","13:25:05")</f>
      </c>
      <c r="U1352" s="20">
        <f>HYPERLINK("https://vnm.spiral.com.vn//uploaded/20210513/DDD7A0CF-0CCC-4A89-BFA7-7C69B8D464F0.jpg","13:58:01")</f>
      </c>
      <c r="V1352" s="18">
        <v>0.02287037037037037</v>
      </c>
      <c r="W1352" s="15" t="s">
        <v>8447</v>
      </c>
      <c r="X1352" s="15" t="s">
        <v>8448</v>
      </c>
      <c r="Y1352" s="15" t="s">
        <v>35</v>
      </c>
      <c r="Z1352" s="19">
        <v>0</v>
      </c>
      <c r="AA1352" s="15">
        <v>0</v>
      </c>
      <c r="AB1352" s="15" t="s">
        <v>35</v>
      </c>
    </row>
    <row r="1353">
      <c r="A1353" s="15">
        <v>1349</v>
      </c>
      <c r="B1353" s="15" t="s">
        <v>87</v>
      </c>
      <c r="C1353" s="15" t="s">
        <v>88</v>
      </c>
      <c r="D1353" s="15" t="s">
        <v>357</v>
      </c>
      <c r="E1353" s="15" t="s">
        <v>90</v>
      </c>
      <c r="F1353" s="15" t="s">
        <v>35</v>
      </c>
      <c r="G1353" s="15" t="s">
        <v>74</v>
      </c>
      <c r="H1353" s="15" t="s">
        <v>8449</v>
      </c>
      <c r="I1353" s="15" t="s">
        <v>8450</v>
      </c>
      <c r="J1353" s="15" t="s">
        <v>8451</v>
      </c>
      <c r="K1353" s="15" t="s">
        <v>1570</v>
      </c>
      <c r="L1353" s="15" t="s">
        <v>1571</v>
      </c>
      <c r="M1353" s="15" t="s">
        <v>2024</v>
      </c>
      <c r="N1353" s="15" t="s">
        <v>2025</v>
      </c>
      <c r="O1353" s="15" t="s">
        <v>82</v>
      </c>
      <c r="P1353" s="15" t="s">
        <v>2026</v>
      </c>
      <c r="Q1353" s="15" t="s">
        <v>2027</v>
      </c>
      <c r="R1353" s="16">
        <v>44329</v>
      </c>
      <c r="S1353" s="17" t="s">
        <v>70</v>
      </c>
      <c r="T1353" s="20">
        <f>HYPERLINK("https://vnm.spiral.com.vn//uploaded/20210513/b9536345-3a85-48d9-ad5d-93f283559a93.JPEG","13:18:32")</f>
      </c>
      <c r="U1353" s="20">
        <f>HYPERLINK("https://vnm.spiral.com.vn//uploaded/20210513/c69dd788-c412-464e-943b-89433817d692.JPEG","13:57:42")</f>
      </c>
      <c r="V1353" s="18">
        <v>0.027199074074074073</v>
      </c>
      <c r="W1353" s="15" t="s">
        <v>8452</v>
      </c>
      <c r="X1353" s="15" t="s">
        <v>8453</v>
      </c>
      <c r="Y1353" s="15" t="s">
        <v>35</v>
      </c>
      <c r="Z1353" s="19">
        <v>0</v>
      </c>
      <c r="AA1353" s="15">
        <v>0</v>
      </c>
      <c r="AB1353" s="15" t="s">
        <v>35</v>
      </c>
    </row>
    <row r="1354">
      <c r="A1354" s="15">
        <v>1350</v>
      </c>
      <c r="B1354" s="15" t="s">
        <v>246</v>
      </c>
      <c r="C1354" s="15" t="s">
        <v>782</v>
      </c>
      <c r="D1354" s="15" t="s">
        <v>35</v>
      </c>
      <c r="E1354" s="15" t="s">
        <v>35</v>
      </c>
      <c r="F1354" s="15" t="s">
        <v>783</v>
      </c>
      <c r="G1354" s="15" t="s">
        <v>36</v>
      </c>
      <c r="H1354" s="15" t="s">
        <v>8454</v>
      </c>
      <c r="I1354" s="15" t="s">
        <v>8455</v>
      </c>
      <c r="J1354" s="15" t="s">
        <v>8456</v>
      </c>
      <c r="K1354" s="15" t="s">
        <v>40</v>
      </c>
      <c r="L1354" s="15" t="s">
        <v>41</v>
      </c>
      <c r="M1354" s="15" t="s">
        <v>252</v>
      </c>
      <c r="N1354" s="15" t="s">
        <v>253</v>
      </c>
      <c r="O1354" s="15" t="s">
        <v>44</v>
      </c>
      <c r="P1354" s="15" t="s">
        <v>8457</v>
      </c>
      <c r="Q1354" s="15" t="s">
        <v>8458</v>
      </c>
      <c r="R1354" s="16">
        <v>44329</v>
      </c>
      <c r="S1354" s="17" t="s">
        <v>569</v>
      </c>
      <c r="T1354" s="20">
        <f>HYPERLINK("https://vnm.spiral.com.vn//uploaded/20210513/1ceac5a4-71ae-42f9-9190-30dfa2f16052.JPEG","13:57:40")</f>
      </c>
      <c r="U1354" s="18"/>
      <c r="V1354" s="18" t="s">
        <v>35</v>
      </c>
      <c r="W1354" s="15" t="s">
        <v>8459</v>
      </c>
      <c r="X1354" s="15" t="s">
        <v>35</v>
      </c>
      <c r="Y1354" s="15" t="s">
        <v>35</v>
      </c>
      <c r="Z1354" s="19">
        <v>0</v>
      </c>
      <c r="AA1354" s="15">
        <v>0</v>
      </c>
      <c r="AB1354" s="15" t="s">
        <v>35</v>
      </c>
    </row>
    <row r="1355">
      <c r="A1355" s="15">
        <v>1351</v>
      </c>
      <c r="B1355" s="15" t="s">
        <v>246</v>
      </c>
      <c r="C1355" s="15" t="s">
        <v>782</v>
      </c>
      <c r="D1355" s="15" t="s">
        <v>35</v>
      </c>
      <c r="E1355" s="15" t="s">
        <v>35</v>
      </c>
      <c r="F1355" s="15" t="s">
        <v>1707</v>
      </c>
      <c r="G1355" s="15" t="s">
        <v>36</v>
      </c>
      <c r="H1355" s="15" t="s">
        <v>8460</v>
      </c>
      <c r="I1355" s="15" t="s">
        <v>4029</v>
      </c>
      <c r="J1355" s="15" t="s">
        <v>8461</v>
      </c>
      <c r="K1355" s="15" t="s">
        <v>40</v>
      </c>
      <c r="L1355" s="15" t="s">
        <v>41</v>
      </c>
      <c r="M1355" s="15" t="s">
        <v>252</v>
      </c>
      <c r="N1355" s="15" t="s">
        <v>253</v>
      </c>
      <c r="O1355" s="15" t="s">
        <v>44</v>
      </c>
      <c r="P1355" s="15" t="s">
        <v>8462</v>
      </c>
      <c r="Q1355" s="15" t="s">
        <v>8463</v>
      </c>
      <c r="R1355" s="16">
        <v>44329</v>
      </c>
      <c r="S1355" s="17" t="s">
        <v>569</v>
      </c>
      <c r="T1355" s="20">
        <f>HYPERLINK("https://vnm.spiral.com.vn//uploaded/20210513/c8734e02-8671-40c6-a7ca-a0f105a282a2.JPEG","13:57:39")</f>
      </c>
      <c r="U1355" s="18"/>
      <c r="V1355" s="18" t="s">
        <v>35</v>
      </c>
      <c r="W1355" s="15" t="s">
        <v>8464</v>
      </c>
      <c r="X1355" s="15" t="s">
        <v>35</v>
      </c>
      <c r="Y1355" s="15" t="s">
        <v>35</v>
      </c>
      <c r="Z1355" s="19">
        <v>0</v>
      </c>
      <c r="AA1355" s="15">
        <v>0</v>
      </c>
      <c r="AB1355" s="15" t="s">
        <v>35</v>
      </c>
    </row>
    <row r="1356">
      <c r="A1356" s="15">
        <v>1352</v>
      </c>
      <c r="B1356" s="15" t="s">
        <v>103</v>
      </c>
      <c r="C1356" s="15" t="s">
        <v>174</v>
      </c>
      <c r="D1356" s="15" t="s">
        <v>35</v>
      </c>
      <c r="E1356" s="15" t="s">
        <v>35</v>
      </c>
      <c r="F1356" s="15" t="s">
        <v>35</v>
      </c>
      <c r="G1356" s="15" t="s">
        <v>35</v>
      </c>
      <c r="H1356" s="15" t="s">
        <v>8465</v>
      </c>
      <c r="I1356" s="15" t="s">
        <v>8466</v>
      </c>
      <c r="J1356" s="15" t="s">
        <v>8467</v>
      </c>
      <c r="K1356" s="15" t="s">
        <v>40</v>
      </c>
      <c r="L1356" s="15" t="s">
        <v>41</v>
      </c>
      <c r="M1356" s="15" t="s">
        <v>108</v>
      </c>
      <c r="N1356" s="15" t="s">
        <v>109</v>
      </c>
      <c r="O1356" s="15" t="s">
        <v>44</v>
      </c>
      <c r="P1356" s="15" t="s">
        <v>8468</v>
      </c>
      <c r="Q1356" s="15" t="s">
        <v>8469</v>
      </c>
      <c r="R1356" s="16">
        <v>44329</v>
      </c>
      <c r="S1356" s="17" t="s">
        <v>569</v>
      </c>
      <c r="T1356" s="20">
        <f>HYPERLINK("https://vnm.spiral.com.vn//uploaded/20210513/95a7101d-80e6-4d90-bb00-5e57c0aec0ad.JPEG","13:57:27")</f>
      </c>
      <c r="U1356" s="18"/>
      <c r="V1356" s="18" t="s">
        <v>35</v>
      </c>
      <c r="W1356" s="15" t="s">
        <v>8470</v>
      </c>
      <c r="X1356" s="15" t="s">
        <v>35</v>
      </c>
      <c r="Y1356" s="15" t="s">
        <v>35</v>
      </c>
      <c r="Z1356" s="19">
        <v>0</v>
      </c>
      <c r="AA1356" s="15">
        <v>0</v>
      </c>
      <c r="AB1356" s="15" t="s">
        <v>35</v>
      </c>
    </row>
    <row r="1357">
      <c r="A1357" s="15">
        <v>1353</v>
      </c>
      <c r="B1357" s="15" t="s">
        <v>61</v>
      </c>
      <c r="C1357" s="15" t="s">
        <v>904</v>
      </c>
      <c r="D1357" s="15" t="s">
        <v>35</v>
      </c>
      <c r="E1357" s="15" t="s">
        <v>35</v>
      </c>
      <c r="F1357" s="15" t="s">
        <v>35</v>
      </c>
      <c r="G1357" s="15" t="s">
        <v>36</v>
      </c>
      <c r="H1357" s="15" t="s">
        <v>8471</v>
      </c>
      <c r="I1357" s="15" t="s">
        <v>8472</v>
      </c>
      <c r="J1357" s="15" t="s">
        <v>8473</v>
      </c>
      <c r="K1357" s="15" t="s">
        <v>40</v>
      </c>
      <c r="L1357" s="15" t="s">
        <v>41</v>
      </c>
      <c r="M1357" s="15" t="s">
        <v>66</v>
      </c>
      <c r="N1357" s="15" t="s">
        <v>67</v>
      </c>
      <c r="O1357" s="15" t="s">
        <v>44</v>
      </c>
      <c r="P1357" s="15" t="s">
        <v>8474</v>
      </c>
      <c r="Q1357" s="15" t="s">
        <v>8475</v>
      </c>
      <c r="R1357" s="16">
        <v>44329</v>
      </c>
      <c r="S1357" s="17" t="s">
        <v>569</v>
      </c>
      <c r="T1357" s="20">
        <f>HYPERLINK("https://vnm.spiral.com.vn//uploaded/20210513/87803523-7CA0-4796-9CA8-77A216F049C1.jpg","13:57:27")</f>
      </c>
      <c r="U1357" s="18"/>
      <c r="V1357" s="18" t="s">
        <v>35</v>
      </c>
      <c r="W1357" s="15" t="s">
        <v>8476</v>
      </c>
      <c r="X1357" s="15" t="s">
        <v>35</v>
      </c>
      <c r="Y1357" s="15" t="s">
        <v>35</v>
      </c>
      <c r="Z1357" s="19">
        <v>0</v>
      </c>
      <c r="AA1357" s="15">
        <v>0</v>
      </c>
      <c r="AB1357" s="15" t="s">
        <v>35</v>
      </c>
    </row>
    <row r="1358">
      <c r="A1358" s="15">
        <v>1354</v>
      </c>
      <c r="B1358" s="15" t="s">
        <v>49</v>
      </c>
      <c r="C1358" s="15" t="s">
        <v>468</v>
      </c>
      <c r="D1358" s="15" t="s">
        <v>35</v>
      </c>
      <c r="E1358" s="15" t="s">
        <v>35</v>
      </c>
      <c r="F1358" s="15" t="s">
        <v>35</v>
      </c>
      <c r="G1358" s="15" t="s">
        <v>35</v>
      </c>
      <c r="H1358" s="15" t="s">
        <v>8477</v>
      </c>
      <c r="I1358" s="15" t="s">
        <v>8478</v>
      </c>
      <c r="J1358" s="15" t="s">
        <v>8479</v>
      </c>
      <c r="K1358" s="15" t="s">
        <v>40</v>
      </c>
      <c r="L1358" s="15" t="s">
        <v>41</v>
      </c>
      <c r="M1358" s="15" t="s">
        <v>55</v>
      </c>
      <c r="N1358" s="15" t="s">
        <v>56</v>
      </c>
      <c r="O1358" s="15" t="s">
        <v>44</v>
      </c>
      <c r="P1358" s="15" t="s">
        <v>8480</v>
      </c>
      <c r="Q1358" s="15" t="s">
        <v>8481</v>
      </c>
      <c r="R1358" s="16">
        <v>44329</v>
      </c>
      <c r="S1358" s="17" t="s">
        <v>569</v>
      </c>
      <c r="T1358" s="20">
        <f>HYPERLINK("https://vnm.spiral.com.vn//uploaded/20210513/115a382c-2cdc-4ae3-a1ea-e5230a0bf08a.JPEG","13:57:23")</f>
      </c>
      <c r="U1358" s="18"/>
      <c r="V1358" s="18" t="s">
        <v>35</v>
      </c>
      <c r="W1358" s="15" t="s">
        <v>8482</v>
      </c>
      <c r="X1358" s="15" t="s">
        <v>35</v>
      </c>
      <c r="Y1358" s="15" t="s">
        <v>35</v>
      </c>
      <c r="Z1358" s="19">
        <v>0</v>
      </c>
      <c r="AA1358" s="15">
        <v>0</v>
      </c>
      <c r="AB1358" s="15" t="s">
        <v>35</v>
      </c>
    </row>
    <row r="1359">
      <c r="A1359" s="15">
        <v>1355</v>
      </c>
      <c r="B1359" s="15" t="s">
        <v>61</v>
      </c>
      <c r="C1359" s="15" t="s">
        <v>320</v>
      </c>
      <c r="D1359" s="15" t="s">
        <v>35</v>
      </c>
      <c r="E1359" s="15" t="s">
        <v>35</v>
      </c>
      <c r="F1359" s="15" t="s">
        <v>35</v>
      </c>
      <c r="G1359" s="15" t="s">
        <v>36</v>
      </c>
      <c r="H1359" s="15" t="s">
        <v>8483</v>
      </c>
      <c r="I1359" s="15" t="s">
        <v>8484</v>
      </c>
      <c r="J1359" s="15" t="s">
        <v>8485</v>
      </c>
      <c r="K1359" s="15" t="s">
        <v>40</v>
      </c>
      <c r="L1359" s="15" t="s">
        <v>41</v>
      </c>
      <c r="M1359" s="15" t="s">
        <v>205</v>
      </c>
      <c r="N1359" s="15" t="s">
        <v>206</v>
      </c>
      <c r="O1359" s="15" t="s">
        <v>44</v>
      </c>
      <c r="P1359" s="15" t="s">
        <v>8486</v>
      </c>
      <c r="Q1359" s="15" t="s">
        <v>8487</v>
      </c>
      <c r="R1359" s="16">
        <v>44329</v>
      </c>
      <c r="S1359" s="17" t="s">
        <v>569</v>
      </c>
      <c r="T1359" s="20">
        <f>HYPERLINK("https://vnm.spiral.com.vn//uploaded/20210513/460F0DF4-8CD2-416A-9A6E-328BF8725A36.jpg","13:57:19")</f>
      </c>
      <c r="U1359" s="18"/>
      <c r="V1359" s="18" t="s">
        <v>35</v>
      </c>
      <c r="W1359" s="15" t="s">
        <v>8488</v>
      </c>
      <c r="X1359" s="15" t="s">
        <v>35</v>
      </c>
      <c r="Y1359" s="15" t="s">
        <v>35</v>
      </c>
      <c r="Z1359" s="19">
        <v>0</v>
      </c>
      <c r="AA1359" s="15">
        <v>0</v>
      </c>
      <c r="AB1359" s="15" t="s">
        <v>35</v>
      </c>
    </row>
    <row r="1360">
      <c r="A1360" s="15">
        <v>1356</v>
      </c>
      <c r="B1360" s="15" t="s">
        <v>343</v>
      </c>
      <c r="C1360" s="15" t="s">
        <v>344</v>
      </c>
      <c r="D1360" s="15" t="s">
        <v>35</v>
      </c>
      <c r="E1360" s="15" t="s">
        <v>35</v>
      </c>
      <c r="F1360" s="15" t="s">
        <v>35</v>
      </c>
      <c r="G1360" s="15" t="s">
        <v>36</v>
      </c>
      <c r="H1360" s="15" t="s">
        <v>8489</v>
      </c>
      <c r="I1360" s="15" t="s">
        <v>8490</v>
      </c>
      <c r="J1360" s="15" t="s">
        <v>8491</v>
      </c>
      <c r="K1360" s="15" t="s">
        <v>40</v>
      </c>
      <c r="L1360" s="15" t="s">
        <v>41</v>
      </c>
      <c r="M1360" s="15" t="s">
        <v>409</v>
      </c>
      <c r="N1360" s="15" t="s">
        <v>410</v>
      </c>
      <c r="O1360" s="15" t="s">
        <v>44</v>
      </c>
      <c r="P1360" s="15" t="s">
        <v>8492</v>
      </c>
      <c r="Q1360" s="15" t="s">
        <v>8493</v>
      </c>
      <c r="R1360" s="16">
        <v>44329</v>
      </c>
      <c r="S1360" s="17" t="s">
        <v>569</v>
      </c>
      <c r="T1360" s="20">
        <f>HYPERLINK("https://vnm.spiral.com.vn//uploaded/20210513/83691712-0304-4020-8bc9-dc6457b6a1e3.JPEG","13:57:15")</f>
      </c>
      <c r="U1360" s="18"/>
      <c r="V1360" s="18" t="s">
        <v>35</v>
      </c>
      <c r="W1360" s="15" t="s">
        <v>8494</v>
      </c>
      <c r="X1360" s="15" t="s">
        <v>35</v>
      </c>
      <c r="Y1360" s="15" t="s">
        <v>35</v>
      </c>
      <c r="Z1360" s="19">
        <v>0</v>
      </c>
      <c r="AA1360" s="15">
        <v>0</v>
      </c>
      <c r="AB1360" s="15" t="s">
        <v>35</v>
      </c>
    </row>
    <row r="1361">
      <c r="A1361" s="15">
        <v>1357</v>
      </c>
      <c r="B1361" s="15" t="s">
        <v>343</v>
      </c>
      <c r="C1361" s="15" t="s">
        <v>580</v>
      </c>
      <c r="D1361" s="15" t="s">
        <v>35</v>
      </c>
      <c r="E1361" s="15" t="s">
        <v>35</v>
      </c>
      <c r="F1361" s="15" t="s">
        <v>35</v>
      </c>
      <c r="G1361" s="15" t="s">
        <v>36</v>
      </c>
      <c r="H1361" s="15" t="s">
        <v>8495</v>
      </c>
      <c r="I1361" s="15" t="s">
        <v>8496</v>
      </c>
      <c r="J1361" s="15" t="s">
        <v>8497</v>
      </c>
      <c r="K1361" s="15" t="s">
        <v>40</v>
      </c>
      <c r="L1361" s="15" t="s">
        <v>41</v>
      </c>
      <c r="M1361" s="15" t="s">
        <v>595</v>
      </c>
      <c r="N1361" s="15" t="s">
        <v>596</v>
      </c>
      <c r="O1361" s="15" t="s">
        <v>44</v>
      </c>
      <c r="P1361" s="15" t="s">
        <v>8498</v>
      </c>
      <c r="Q1361" s="15" t="s">
        <v>8499</v>
      </c>
      <c r="R1361" s="16">
        <v>44329</v>
      </c>
      <c r="S1361" s="17" t="s">
        <v>569</v>
      </c>
      <c r="T1361" s="20">
        <f>HYPERLINK("https://vnm.spiral.com.vn//uploaded/20210513/9af89a45-ee6f-46fb-b8f5-2a2edf619041.JPEG","13:57:13")</f>
      </c>
      <c r="U1361" s="18"/>
      <c r="V1361" s="18" t="s">
        <v>35</v>
      </c>
      <c r="W1361" s="15" t="s">
        <v>8500</v>
      </c>
      <c r="X1361" s="15" t="s">
        <v>35</v>
      </c>
      <c r="Y1361" s="15" t="s">
        <v>35</v>
      </c>
      <c r="Z1361" s="19">
        <v>0</v>
      </c>
      <c r="AA1361" s="15">
        <v>0</v>
      </c>
      <c r="AB1361" s="15" t="s">
        <v>35</v>
      </c>
    </row>
    <row r="1362">
      <c r="A1362" s="15">
        <v>1358</v>
      </c>
      <c r="B1362" s="15" t="s">
        <v>246</v>
      </c>
      <c r="C1362" s="15" t="s">
        <v>782</v>
      </c>
      <c r="D1362" s="15" t="s">
        <v>35</v>
      </c>
      <c r="E1362" s="15" t="s">
        <v>35</v>
      </c>
      <c r="F1362" s="15" t="s">
        <v>6328</v>
      </c>
      <c r="G1362" s="15" t="s">
        <v>36</v>
      </c>
      <c r="H1362" s="15" t="s">
        <v>8501</v>
      </c>
      <c r="I1362" s="15" t="s">
        <v>8502</v>
      </c>
      <c r="J1362" s="15" t="s">
        <v>8503</v>
      </c>
      <c r="K1362" s="15" t="s">
        <v>40</v>
      </c>
      <c r="L1362" s="15" t="s">
        <v>41</v>
      </c>
      <c r="M1362" s="15" t="s">
        <v>252</v>
      </c>
      <c r="N1362" s="15" t="s">
        <v>253</v>
      </c>
      <c r="O1362" s="15" t="s">
        <v>44</v>
      </c>
      <c r="P1362" s="15" t="s">
        <v>8504</v>
      </c>
      <c r="Q1362" s="15" t="s">
        <v>255</v>
      </c>
      <c r="R1362" s="16">
        <v>44329</v>
      </c>
      <c r="S1362" s="17" t="s">
        <v>569</v>
      </c>
      <c r="T1362" s="20">
        <f>HYPERLINK("https://vnm.spiral.com.vn//uploaded/20210513/9dc2b40a-0734-460d-8b0a-3b4e505d7b1e.JPEG","13:57:01")</f>
      </c>
      <c r="U1362" s="18"/>
      <c r="V1362" s="18" t="s">
        <v>35</v>
      </c>
      <c r="W1362" s="15" t="s">
        <v>8505</v>
      </c>
      <c r="X1362" s="15" t="s">
        <v>35</v>
      </c>
      <c r="Y1362" s="15" t="s">
        <v>35</v>
      </c>
      <c r="Z1362" s="19">
        <v>0</v>
      </c>
      <c r="AA1362" s="15">
        <v>0</v>
      </c>
      <c r="AB1362" s="15" t="s">
        <v>35</v>
      </c>
    </row>
    <row r="1363">
      <c r="A1363" s="15">
        <v>1359</v>
      </c>
      <c r="B1363" s="15" t="s">
        <v>343</v>
      </c>
      <c r="C1363" s="15" t="s">
        <v>344</v>
      </c>
      <c r="D1363" s="15" t="s">
        <v>357</v>
      </c>
      <c r="E1363" s="15" t="s">
        <v>90</v>
      </c>
      <c r="F1363" s="15" t="s">
        <v>35</v>
      </c>
      <c r="G1363" s="15" t="s">
        <v>74</v>
      </c>
      <c r="H1363" s="15" t="s">
        <v>912</v>
      </c>
      <c r="I1363" s="15" t="s">
        <v>913</v>
      </c>
      <c r="J1363" s="15" t="s">
        <v>914</v>
      </c>
      <c r="K1363" s="15" t="s">
        <v>361</v>
      </c>
      <c r="L1363" s="15" t="s">
        <v>362</v>
      </c>
      <c r="M1363" s="15" t="s">
        <v>917</v>
      </c>
      <c r="N1363" s="15" t="s">
        <v>918</v>
      </c>
      <c r="O1363" s="15" t="s">
        <v>156</v>
      </c>
      <c r="P1363" s="15" t="s">
        <v>8506</v>
      </c>
      <c r="Q1363" s="15" t="s">
        <v>8507</v>
      </c>
      <c r="R1363" s="16">
        <v>44329</v>
      </c>
      <c r="S1363" s="17" t="s">
        <v>7638</v>
      </c>
      <c r="T1363" s="20">
        <f>HYPERLINK("https://vnm.spiral.com.vn//uploaded/20210513/A99EC146-70BE-4AC5-BA9F-627AE48C21E2.jpg","13:57:00")</f>
      </c>
      <c r="U1363" s="18"/>
      <c r="V1363" s="18" t="s">
        <v>35</v>
      </c>
      <c r="W1363" s="15" t="s">
        <v>8508</v>
      </c>
      <c r="X1363" s="15" t="s">
        <v>35</v>
      </c>
      <c r="Y1363" s="15" t="s">
        <v>35</v>
      </c>
      <c r="Z1363" s="19">
        <v>0</v>
      </c>
      <c r="AA1363" s="15">
        <v>0</v>
      </c>
      <c r="AB1363" s="15" t="s">
        <v>35</v>
      </c>
    </row>
    <row r="1364">
      <c r="A1364" s="15">
        <v>1360</v>
      </c>
      <c r="B1364" s="15" t="s">
        <v>246</v>
      </c>
      <c r="C1364" s="15" t="s">
        <v>276</v>
      </c>
      <c r="D1364" s="15" t="s">
        <v>148</v>
      </c>
      <c r="E1364" s="15" t="s">
        <v>90</v>
      </c>
      <c r="F1364" s="15" t="s">
        <v>35</v>
      </c>
      <c r="G1364" s="15" t="s">
        <v>74</v>
      </c>
      <c r="H1364" s="15" t="s">
        <v>4095</v>
      </c>
      <c r="I1364" s="15" t="s">
        <v>4096</v>
      </c>
      <c r="J1364" s="15" t="s">
        <v>4097</v>
      </c>
      <c r="K1364" s="15" t="s">
        <v>263</v>
      </c>
      <c r="L1364" s="15" t="s">
        <v>264</v>
      </c>
      <c r="M1364" s="15" t="s">
        <v>280</v>
      </c>
      <c r="N1364" s="15" t="s">
        <v>281</v>
      </c>
      <c r="O1364" s="15" t="s">
        <v>156</v>
      </c>
      <c r="P1364" s="15" t="s">
        <v>8509</v>
      </c>
      <c r="Q1364" s="15" t="s">
        <v>8510</v>
      </c>
      <c r="R1364" s="16">
        <v>44329</v>
      </c>
      <c r="S1364" s="17" t="s">
        <v>7638</v>
      </c>
      <c r="T1364" s="20">
        <f>HYPERLINK("https://vnm.spiral.com.vn//uploaded/20210513/39b41787-95fb-4560-8f50-0e451a2220ea.JPEG","13:56:36")</f>
      </c>
      <c r="U1364" s="18"/>
      <c r="V1364" s="18" t="s">
        <v>35</v>
      </c>
      <c r="W1364" s="15" t="s">
        <v>8511</v>
      </c>
      <c r="X1364" s="15" t="s">
        <v>35</v>
      </c>
      <c r="Y1364" s="15" t="s">
        <v>35</v>
      </c>
      <c r="Z1364" s="19">
        <v>0</v>
      </c>
      <c r="AA1364" s="15">
        <v>0</v>
      </c>
      <c r="AB1364" s="15" t="s">
        <v>35</v>
      </c>
    </row>
    <row r="1365">
      <c r="A1365" s="15">
        <v>1361</v>
      </c>
      <c r="B1365" s="15" t="s">
        <v>61</v>
      </c>
      <c r="C1365" s="15" t="s">
        <v>303</v>
      </c>
      <c r="D1365" s="15" t="s">
        <v>35</v>
      </c>
      <c r="E1365" s="15" t="s">
        <v>35</v>
      </c>
      <c r="F1365" s="15" t="s">
        <v>35</v>
      </c>
      <c r="G1365" s="15" t="s">
        <v>36</v>
      </c>
      <c r="H1365" s="15" t="s">
        <v>8512</v>
      </c>
      <c r="I1365" s="15" t="s">
        <v>8513</v>
      </c>
      <c r="J1365" s="15" t="s">
        <v>8514</v>
      </c>
      <c r="K1365" s="15" t="s">
        <v>40</v>
      </c>
      <c r="L1365" s="15" t="s">
        <v>41</v>
      </c>
      <c r="M1365" s="15" t="s">
        <v>205</v>
      </c>
      <c r="N1365" s="15" t="s">
        <v>206</v>
      </c>
      <c r="O1365" s="15" t="s">
        <v>44</v>
      </c>
      <c r="P1365" s="15" t="s">
        <v>8515</v>
      </c>
      <c r="Q1365" s="15" t="s">
        <v>8516</v>
      </c>
      <c r="R1365" s="16">
        <v>44329</v>
      </c>
      <c r="S1365" s="17" t="s">
        <v>569</v>
      </c>
      <c r="T1365" s="20">
        <f>HYPERLINK("https://vnm.spiral.com.vn//uploaded/20210513/0f0f1b50-450c-4d7e-89df-fbb2a4816b52.JPEG","13:56:34")</f>
      </c>
      <c r="U1365" s="18"/>
      <c r="V1365" s="18" t="s">
        <v>35</v>
      </c>
      <c r="W1365" s="15" t="s">
        <v>8517</v>
      </c>
      <c r="X1365" s="15" t="s">
        <v>35</v>
      </c>
      <c r="Y1365" s="15" t="s">
        <v>35</v>
      </c>
      <c r="Z1365" s="19">
        <v>0</v>
      </c>
      <c r="AA1365" s="15">
        <v>0</v>
      </c>
      <c r="AB1365" s="15" t="s">
        <v>35</v>
      </c>
    </row>
    <row r="1366">
      <c r="A1366" s="15">
        <v>1362</v>
      </c>
      <c r="B1366" s="15" t="s">
        <v>343</v>
      </c>
      <c r="C1366" s="15" t="s">
        <v>2135</v>
      </c>
      <c r="D1366" s="15" t="s">
        <v>35</v>
      </c>
      <c r="E1366" s="15" t="s">
        <v>35</v>
      </c>
      <c r="F1366" s="15" t="s">
        <v>35</v>
      </c>
      <c r="G1366" s="15" t="s">
        <v>36</v>
      </c>
      <c r="H1366" s="15" t="s">
        <v>8518</v>
      </c>
      <c r="I1366" s="15" t="s">
        <v>8519</v>
      </c>
      <c r="J1366" s="15" t="s">
        <v>8520</v>
      </c>
      <c r="K1366" s="15" t="s">
        <v>40</v>
      </c>
      <c r="L1366" s="15" t="s">
        <v>41</v>
      </c>
      <c r="M1366" s="15" t="s">
        <v>595</v>
      </c>
      <c r="N1366" s="15" t="s">
        <v>596</v>
      </c>
      <c r="O1366" s="15" t="s">
        <v>44</v>
      </c>
      <c r="P1366" s="15" t="s">
        <v>8521</v>
      </c>
      <c r="Q1366" s="15" t="s">
        <v>8522</v>
      </c>
      <c r="R1366" s="16">
        <v>44329</v>
      </c>
      <c r="S1366" s="17" t="s">
        <v>4912</v>
      </c>
      <c r="T1366" s="20">
        <f>HYPERLINK("https://vnm.spiral.com.vn//uploaded/20210513/D1FE9B9B-54A9-40DE-BB46-FA9B0CF42F7F.jpg","13:56:29")</f>
      </c>
      <c r="U1366" s="18"/>
      <c r="V1366" s="18" t="s">
        <v>35</v>
      </c>
      <c r="W1366" s="15" t="s">
        <v>8523</v>
      </c>
      <c r="X1366" s="15" t="s">
        <v>35</v>
      </c>
      <c r="Y1366" s="15" t="s">
        <v>35</v>
      </c>
      <c r="Z1366" s="19">
        <v>0</v>
      </c>
      <c r="AA1366" s="15">
        <v>0</v>
      </c>
      <c r="AB1366" s="15" t="s">
        <v>35</v>
      </c>
    </row>
    <row r="1367">
      <c r="A1367" s="15">
        <v>1363</v>
      </c>
      <c r="B1367" s="15" t="s">
        <v>343</v>
      </c>
      <c r="C1367" s="15" t="s">
        <v>344</v>
      </c>
      <c r="D1367" s="15" t="s">
        <v>35</v>
      </c>
      <c r="E1367" s="15" t="s">
        <v>35</v>
      </c>
      <c r="F1367" s="15" t="s">
        <v>35</v>
      </c>
      <c r="G1367" s="15" t="s">
        <v>36</v>
      </c>
      <c r="H1367" s="15" t="s">
        <v>8524</v>
      </c>
      <c r="I1367" s="15" t="s">
        <v>8525</v>
      </c>
      <c r="J1367" s="15" t="s">
        <v>8526</v>
      </c>
      <c r="K1367" s="15" t="s">
        <v>40</v>
      </c>
      <c r="L1367" s="15" t="s">
        <v>41</v>
      </c>
      <c r="M1367" s="15" t="s">
        <v>409</v>
      </c>
      <c r="N1367" s="15" t="s">
        <v>410</v>
      </c>
      <c r="O1367" s="15" t="s">
        <v>44</v>
      </c>
      <c r="P1367" s="15" t="s">
        <v>8527</v>
      </c>
      <c r="Q1367" s="15" t="s">
        <v>1155</v>
      </c>
      <c r="R1367" s="16">
        <v>44329</v>
      </c>
      <c r="S1367" s="17" t="s">
        <v>569</v>
      </c>
      <c r="T1367" s="20">
        <f>HYPERLINK("https://vnm.spiral.com.vn//uploaded/20210513/9B3036D6-CA1F-4944-B67B-ADE895594715.jpg","13:56:27")</f>
      </c>
      <c r="U1367" s="18"/>
      <c r="V1367" s="18" t="s">
        <v>35</v>
      </c>
      <c r="W1367" s="15" t="s">
        <v>8528</v>
      </c>
      <c r="X1367" s="15" t="s">
        <v>35</v>
      </c>
      <c r="Y1367" s="15" t="s">
        <v>35</v>
      </c>
      <c r="Z1367" s="19">
        <v>0</v>
      </c>
      <c r="AA1367" s="15">
        <v>0</v>
      </c>
      <c r="AB1367" s="15" t="s">
        <v>35</v>
      </c>
    </row>
    <row r="1368">
      <c r="A1368" s="15">
        <v>1364</v>
      </c>
      <c r="B1368" s="15" t="s">
        <v>61</v>
      </c>
      <c r="C1368" s="15" t="s">
        <v>442</v>
      </c>
      <c r="D1368" s="15" t="s">
        <v>35</v>
      </c>
      <c r="E1368" s="15" t="s">
        <v>35</v>
      </c>
      <c r="F1368" s="15" t="s">
        <v>35</v>
      </c>
      <c r="G1368" s="15" t="s">
        <v>36</v>
      </c>
      <c r="H1368" s="15" t="s">
        <v>8529</v>
      </c>
      <c r="I1368" s="15" t="s">
        <v>8530</v>
      </c>
      <c r="J1368" s="15" t="s">
        <v>8531</v>
      </c>
      <c r="K1368" s="15" t="s">
        <v>40</v>
      </c>
      <c r="L1368" s="15" t="s">
        <v>41</v>
      </c>
      <c r="M1368" s="15" t="s">
        <v>205</v>
      </c>
      <c r="N1368" s="15" t="s">
        <v>206</v>
      </c>
      <c r="O1368" s="15" t="s">
        <v>44</v>
      </c>
      <c r="P1368" s="15" t="s">
        <v>8532</v>
      </c>
      <c r="Q1368" s="15" t="s">
        <v>8533</v>
      </c>
      <c r="R1368" s="16">
        <v>44329</v>
      </c>
      <c r="S1368" s="17" t="s">
        <v>8049</v>
      </c>
      <c r="T1368" s="20">
        <f>HYPERLINK("https://vnm.spiral.com.vn//uploaded/20210513/3de8dfb8-4596-4466-b56c-9e9629171b7c.JPEG","13:56:11")</f>
      </c>
      <c r="U1368" s="18"/>
      <c r="V1368" s="18" t="s">
        <v>35</v>
      </c>
      <c r="W1368" s="15" t="s">
        <v>8534</v>
      </c>
      <c r="X1368" s="15" t="s">
        <v>35</v>
      </c>
      <c r="Y1368" s="15" t="s">
        <v>35</v>
      </c>
      <c r="Z1368" s="19">
        <v>0</v>
      </c>
      <c r="AA1368" s="15">
        <v>0</v>
      </c>
      <c r="AB1368" s="15" t="s">
        <v>35</v>
      </c>
    </row>
    <row r="1369">
      <c r="A1369" s="15">
        <v>1365</v>
      </c>
      <c r="B1369" s="15" t="s">
        <v>246</v>
      </c>
      <c r="C1369" s="15" t="s">
        <v>782</v>
      </c>
      <c r="D1369" s="15" t="s">
        <v>432</v>
      </c>
      <c r="E1369" s="15" t="s">
        <v>116</v>
      </c>
      <c r="F1369" s="15" t="s">
        <v>35</v>
      </c>
      <c r="G1369" s="15" t="s">
        <v>74</v>
      </c>
      <c r="H1369" s="15" t="s">
        <v>8535</v>
      </c>
      <c r="I1369" s="15" t="s">
        <v>8536</v>
      </c>
      <c r="J1369" s="15" t="s">
        <v>8537</v>
      </c>
      <c r="K1369" s="15" t="s">
        <v>263</v>
      </c>
      <c r="L1369" s="15" t="s">
        <v>264</v>
      </c>
      <c r="M1369" s="15" t="s">
        <v>280</v>
      </c>
      <c r="N1369" s="15" t="s">
        <v>281</v>
      </c>
      <c r="O1369" s="15" t="s">
        <v>156</v>
      </c>
      <c r="P1369" s="15" t="s">
        <v>5056</v>
      </c>
      <c r="Q1369" s="15" t="s">
        <v>5057</v>
      </c>
      <c r="R1369" s="16">
        <v>44329</v>
      </c>
      <c r="S1369" s="17" t="s">
        <v>5058</v>
      </c>
      <c r="T1369" s="20">
        <f>HYPERLINK("https://vnm.spiral.com.vn//uploaded/20210513/C7E1890F-37AE-44AE-959B-771BF640F926.jpg","13:22:25")</f>
      </c>
      <c r="U1369" s="20">
        <f>HYPERLINK("https://vnm.spiral.com.vn//uploaded/20210513/EF547F4E-3A58-4BF7-8F3C-47F1E7E163AB.jpg","13:56:07")</f>
      </c>
      <c r="V1369" s="18">
        <v>0.02340277777777778</v>
      </c>
      <c r="W1369" s="15" t="s">
        <v>8538</v>
      </c>
      <c r="X1369" s="15" t="s">
        <v>8539</v>
      </c>
      <c r="Y1369" s="15" t="s">
        <v>35</v>
      </c>
      <c r="Z1369" s="19">
        <v>0</v>
      </c>
      <c r="AA1369" s="15">
        <v>0</v>
      </c>
      <c r="AB1369" s="15" t="s">
        <v>35</v>
      </c>
    </row>
    <row r="1370">
      <c r="A1370" s="15">
        <v>1366</v>
      </c>
      <c r="B1370" s="15" t="s">
        <v>61</v>
      </c>
      <c r="C1370" s="15" t="s">
        <v>442</v>
      </c>
      <c r="D1370" s="15" t="s">
        <v>135</v>
      </c>
      <c r="E1370" s="15" t="s">
        <v>116</v>
      </c>
      <c r="F1370" s="15" t="s">
        <v>35</v>
      </c>
      <c r="G1370" s="15" t="s">
        <v>74</v>
      </c>
      <c r="H1370" s="15" t="s">
        <v>8540</v>
      </c>
      <c r="I1370" s="15" t="s">
        <v>8541</v>
      </c>
      <c r="J1370" s="15" t="s">
        <v>8542</v>
      </c>
      <c r="K1370" s="15" t="s">
        <v>152</v>
      </c>
      <c r="L1370" s="15" t="s">
        <v>153</v>
      </c>
      <c r="M1370" s="15" t="s">
        <v>232</v>
      </c>
      <c r="N1370" s="15" t="s">
        <v>233</v>
      </c>
      <c r="O1370" s="15" t="s">
        <v>82</v>
      </c>
      <c r="P1370" s="15" t="s">
        <v>446</v>
      </c>
      <c r="Q1370" s="15" t="s">
        <v>447</v>
      </c>
      <c r="R1370" s="16">
        <v>44329</v>
      </c>
      <c r="S1370" s="17" t="s">
        <v>70</v>
      </c>
      <c r="T1370" s="20">
        <f>HYPERLINK("https://vnm.spiral.com.vn//uploaded/20210513/ed265ab0-0bb3-47a6-9bc5-6cda90a550d1.JPEG","13:37:06")</f>
      </c>
      <c r="U1370" s="20">
        <f>HYPERLINK("https://vnm.spiral.com.vn//uploaded/20210513/0be18861-da19-450c-88dc-165454eb089c.JPEG","13:56:02")</f>
      </c>
      <c r="V1370" s="18">
        <v>0.013148148148148148</v>
      </c>
      <c r="W1370" s="15" t="s">
        <v>8543</v>
      </c>
      <c r="X1370" s="15" t="s">
        <v>8544</v>
      </c>
      <c r="Y1370" s="15" t="s">
        <v>35</v>
      </c>
      <c r="Z1370" s="19">
        <v>0</v>
      </c>
      <c r="AA1370" s="15">
        <v>0</v>
      </c>
      <c r="AB1370" s="15" t="s">
        <v>35</v>
      </c>
    </row>
    <row r="1371">
      <c r="A1371" s="15">
        <v>1367</v>
      </c>
      <c r="B1371" s="15" t="s">
        <v>103</v>
      </c>
      <c r="C1371" s="15" t="s">
        <v>2116</v>
      </c>
      <c r="D1371" s="15" t="s">
        <v>135</v>
      </c>
      <c r="E1371" s="15" t="s">
        <v>116</v>
      </c>
      <c r="F1371" s="15" t="s">
        <v>35</v>
      </c>
      <c r="G1371" s="15" t="s">
        <v>74</v>
      </c>
      <c r="H1371" s="15" t="s">
        <v>8545</v>
      </c>
      <c r="I1371" s="15" t="s">
        <v>8546</v>
      </c>
      <c r="J1371" s="15" t="s">
        <v>8547</v>
      </c>
      <c r="K1371" s="15" t="s">
        <v>178</v>
      </c>
      <c r="L1371" s="15" t="s">
        <v>179</v>
      </c>
      <c r="M1371" s="15" t="s">
        <v>2120</v>
      </c>
      <c r="N1371" s="15" t="s">
        <v>2121</v>
      </c>
      <c r="O1371" s="15" t="s">
        <v>82</v>
      </c>
      <c r="P1371" s="15" t="s">
        <v>2186</v>
      </c>
      <c r="Q1371" s="15" t="s">
        <v>2187</v>
      </c>
      <c r="R1371" s="16">
        <v>44329</v>
      </c>
      <c r="S1371" s="17" t="s">
        <v>70</v>
      </c>
      <c r="T1371" s="20">
        <f>HYPERLINK("https://vnm.spiral.com.vn//uploaded/20210513/f7395514-2282-47bb-a996-cd00807ca0a3.JPEG","11:33:19")</f>
      </c>
      <c r="U1371" s="20">
        <f>HYPERLINK("https://vnm.spiral.com.vn//uploaded/20210513/1db68d84-3588-4002-b415-8aa93cd6e671.JPEG","13:55:34")</f>
      </c>
      <c r="V1371" s="18">
        <v>0.09878472222222222</v>
      </c>
      <c r="W1371" s="15" t="s">
        <v>8548</v>
      </c>
      <c r="X1371" s="15" t="s">
        <v>8549</v>
      </c>
      <c r="Y1371" s="15" t="s">
        <v>35</v>
      </c>
      <c r="Z1371" s="19">
        <v>0</v>
      </c>
      <c r="AA1371" s="15">
        <v>0</v>
      </c>
      <c r="AB1371" s="15" t="s">
        <v>35</v>
      </c>
    </row>
    <row r="1372">
      <c r="A1372" s="15">
        <v>1368</v>
      </c>
      <c r="B1372" s="15" t="s">
        <v>343</v>
      </c>
      <c r="C1372" s="15" t="s">
        <v>344</v>
      </c>
      <c r="D1372" s="15" t="s">
        <v>432</v>
      </c>
      <c r="E1372" s="15" t="s">
        <v>116</v>
      </c>
      <c r="F1372" s="15" t="s">
        <v>35</v>
      </c>
      <c r="G1372" s="15" t="s">
        <v>74</v>
      </c>
      <c r="H1372" s="15" t="s">
        <v>8550</v>
      </c>
      <c r="I1372" s="15" t="s">
        <v>8551</v>
      </c>
      <c r="J1372" s="15" t="s">
        <v>8552</v>
      </c>
      <c r="K1372" s="15" t="s">
        <v>1168</v>
      </c>
      <c r="L1372" s="15" t="s">
        <v>1169</v>
      </c>
      <c r="M1372" s="15" t="s">
        <v>1170</v>
      </c>
      <c r="N1372" s="15" t="s">
        <v>1171</v>
      </c>
      <c r="O1372" s="15" t="s">
        <v>82</v>
      </c>
      <c r="P1372" s="15" t="s">
        <v>1726</v>
      </c>
      <c r="Q1372" s="15" t="s">
        <v>1727</v>
      </c>
      <c r="R1372" s="16">
        <v>44329</v>
      </c>
      <c r="S1372" s="17" t="s">
        <v>70</v>
      </c>
      <c r="T1372" s="20">
        <f>HYPERLINK("https://vnm.spiral.com.vn//uploaded/20210513/262f8a79-70eb-4b49-93a4-24d189a4917b.JPEG","12:12:02")</f>
      </c>
      <c r="U1372" s="20">
        <f>HYPERLINK("https://vnm.spiral.com.vn//uploaded/20210513/ad267a91-b5aa-421d-8abf-9503ed796b35.JPEG","13:55:31")</f>
      </c>
      <c r="V1372" s="18">
        <v>0.07186342592592593</v>
      </c>
      <c r="W1372" s="15" t="s">
        <v>8553</v>
      </c>
      <c r="X1372" s="15" t="s">
        <v>8554</v>
      </c>
      <c r="Y1372" s="15" t="s">
        <v>35</v>
      </c>
      <c r="Z1372" s="19">
        <v>0</v>
      </c>
      <c r="AA1372" s="15">
        <v>0</v>
      </c>
      <c r="AB1372" s="15" t="s">
        <v>35</v>
      </c>
    </row>
    <row r="1373">
      <c r="A1373" s="15">
        <v>1369</v>
      </c>
      <c r="B1373" s="15" t="s">
        <v>87</v>
      </c>
      <c r="C1373" s="15" t="s">
        <v>88</v>
      </c>
      <c r="D1373" s="15" t="s">
        <v>432</v>
      </c>
      <c r="E1373" s="15" t="s">
        <v>116</v>
      </c>
      <c r="F1373" s="15" t="s">
        <v>35</v>
      </c>
      <c r="G1373" s="15" t="s">
        <v>74</v>
      </c>
      <c r="H1373" s="15" t="s">
        <v>8555</v>
      </c>
      <c r="I1373" s="15" t="s">
        <v>8556</v>
      </c>
      <c r="J1373" s="15" t="s">
        <v>8557</v>
      </c>
      <c r="K1373" s="15" t="s">
        <v>625</v>
      </c>
      <c r="L1373" s="15" t="s">
        <v>626</v>
      </c>
      <c r="M1373" s="15" t="s">
        <v>627</v>
      </c>
      <c r="N1373" s="15" t="s">
        <v>628</v>
      </c>
      <c r="O1373" s="15" t="s">
        <v>82</v>
      </c>
      <c r="P1373" s="15" t="s">
        <v>2569</v>
      </c>
      <c r="Q1373" s="15" t="s">
        <v>2570</v>
      </c>
      <c r="R1373" s="16">
        <v>44329</v>
      </c>
      <c r="S1373" s="17" t="s">
        <v>70</v>
      </c>
      <c r="T1373" s="20">
        <f>HYPERLINK("https://vnm.spiral.com.vn//uploaded/20210513/23D53424-84E0-4FAF-A076-A7520BAF0489.jpg","13:02:02")</f>
      </c>
      <c r="U1373" s="20">
        <f>HYPERLINK("https://vnm.spiral.com.vn//uploaded/20210513/5CFE8F12-9EAE-456F-A030-96E83EF11746.jpg","13:55:26")</f>
      </c>
      <c r="V1373" s="18">
        <v>0.037083333333333336</v>
      </c>
      <c r="W1373" s="15" t="s">
        <v>8558</v>
      </c>
      <c r="X1373" s="15" t="s">
        <v>8559</v>
      </c>
      <c r="Y1373" s="15" t="s">
        <v>35</v>
      </c>
      <c r="Z1373" s="19">
        <v>0</v>
      </c>
      <c r="AA1373" s="15">
        <v>0</v>
      </c>
      <c r="AB1373" s="15" t="s">
        <v>35</v>
      </c>
    </row>
    <row r="1374">
      <c r="A1374" s="15">
        <v>1370</v>
      </c>
      <c r="B1374" s="15" t="s">
        <v>87</v>
      </c>
      <c r="C1374" s="15" t="s">
        <v>88</v>
      </c>
      <c r="D1374" s="15" t="s">
        <v>304</v>
      </c>
      <c r="E1374" s="15" t="s">
        <v>305</v>
      </c>
      <c r="F1374" s="15" t="s">
        <v>35</v>
      </c>
      <c r="G1374" s="15" t="s">
        <v>74</v>
      </c>
      <c r="H1374" s="15" t="s">
        <v>2254</v>
      </c>
      <c r="I1374" s="15" t="s">
        <v>2255</v>
      </c>
      <c r="J1374" s="15" t="s">
        <v>2256</v>
      </c>
      <c r="K1374" s="15" t="s">
        <v>748</v>
      </c>
      <c r="L1374" s="15" t="s">
        <v>749</v>
      </c>
      <c r="M1374" s="15" t="s">
        <v>2257</v>
      </c>
      <c r="N1374" s="15" t="s">
        <v>2258</v>
      </c>
      <c r="O1374" s="15" t="s">
        <v>156</v>
      </c>
      <c r="P1374" s="15" t="s">
        <v>8560</v>
      </c>
      <c r="Q1374" s="15" t="s">
        <v>8561</v>
      </c>
      <c r="R1374" s="16">
        <v>44329</v>
      </c>
      <c r="S1374" s="17" t="s">
        <v>7638</v>
      </c>
      <c r="T1374" s="20">
        <f>HYPERLINK("https://vnm.spiral.com.vn//uploaded/20210513/B453EAFC-1DC2-4C6F-8518-9224CE91E493.jpg","13:55:26")</f>
      </c>
      <c r="U1374" s="18"/>
      <c r="V1374" s="18" t="s">
        <v>35</v>
      </c>
      <c r="W1374" s="15" t="s">
        <v>8562</v>
      </c>
      <c r="X1374" s="15" t="s">
        <v>35</v>
      </c>
      <c r="Y1374" s="15" t="s">
        <v>35</v>
      </c>
      <c r="Z1374" s="19">
        <v>0</v>
      </c>
      <c r="AA1374" s="15">
        <v>0</v>
      </c>
      <c r="AB1374" s="15" t="s">
        <v>35</v>
      </c>
    </row>
    <row r="1375">
      <c r="A1375" s="15">
        <v>1371</v>
      </c>
      <c r="B1375" s="15" t="s">
        <v>103</v>
      </c>
      <c r="C1375" s="15" t="s">
        <v>1078</v>
      </c>
      <c r="D1375" s="15" t="s">
        <v>35</v>
      </c>
      <c r="E1375" s="15" t="s">
        <v>35</v>
      </c>
      <c r="F1375" s="15" t="s">
        <v>35</v>
      </c>
      <c r="G1375" s="15" t="s">
        <v>36</v>
      </c>
      <c r="H1375" s="15" t="s">
        <v>8563</v>
      </c>
      <c r="I1375" s="15" t="s">
        <v>8564</v>
      </c>
      <c r="J1375" s="15" t="s">
        <v>8565</v>
      </c>
      <c r="K1375" s="15" t="s">
        <v>40</v>
      </c>
      <c r="L1375" s="15" t="s">
        <v>41</v>
      </c>
      <c r="M1375" s="15" t="s">
        <v>565</v>
      </c>
      <c r="N1375" s="15" t="s">
        <v>566</v>
      </c>
      <c r="O1375" s="15" t="s">
        <v>44</v>
      </c>
      <c r="P1375" s="15" t="s">
        <v>8566</v>
      </c>
      <c r="Q1375" s="15" t="s">
        <v>8567</v>
      </c>
      <c r="R1375" s="16">
        <v>44329</v>
      </c>
      <c r="S1375" s="17" t="s">
        <v>7905</v>
      </c>
      <c r="T1375" s="20">
        <f>HYPERLINK("https://vnm.spiral.com.vn//uploaded/20210513/d3be50bf-d7b7-4b87-a33f-f61dc991fc4a.JPEG","13:54:41")</f>
      </c>
      <c r="U1375" s="18"/>
      <c r="V1375" s="18" t="s">
        <v>35</v>
      </c>
      <c r="W1375" s="15" t="s">
        <v>8568</v>
      </c>
      <c r="X1375" s="15" t="s">
        <v>35</v>
      </c>
      <c r="Y1375" s="15" t="s">
        <v>35</v>
      </c>
      <c r="Z1375" s="19">
        <v>0</v>
      </c>
      <c r="AA1375" s="15">
        <v>0</v>
      </c>
      <c r="AB1375" s="15" t="s">
        <v>35</v>
      </c>
    </row>
    <row r="1376">
      <c r="A1376" s="15">
        <v>1372</v>
      </c>
      <c r="B1376" s="15" t="s">
        <v>246</v>
      </c>
      <c r="C1376" s="15" t="s">
        <v>259</v>
      </c>
      <c r="D1376" s="15" t="s">
        <v>357</v>
      </c>
      <c r="E1376" s="15" t="s">
        <v>90</v>
      </c>
      <c r="F1376" s="15" t="s">
        <v>35</v>
      </c>
      <c r="G1376" s="15" t="s">
        <v>74</v>
      </c>
      <c r="H1376" s="15" t="s">
        <v>8569</v>
      </c>
      <c r="I1376" s="15" t="s">
        <v>8570</v>
      </c>
      <c r="J1376" s="15" t="s">
        <v>8571</v>
      </c>
      <c r="K1376" s="15" t="s">
        <v>263</v>
      </c>
      <c r="L1376" s="15" t="s">
        <v>264</v>
      </c>
      <c r="M1376" s="15" t="s">
        <v>1510</v>
      </c>
      <c r="N1376" s="15" t="s">
        <v>1511</v>
      </c>
      <c r="O1376" s="15" t="s">
        <v>156</v>
      </c>
      <c r="P1376" s="15" t="s">
        <v>8572</v>
      </c>
      <c r="Q1376" s="15" t="s">
        <v>8573</v>
      </c>
      <c r="R1376" s="16">
        <v>44329</v>
      </c>
      <c r="S1376" s="17" t="s">
        <v>569</v>
      </c>
      <c r="T1376" s="20">
        <f>HYPERLINK("https://vnm.spiral.com.vn//uploaded/20210513/927cfe9f-2630-455c-aca2-31eb975b9e24.JPEG","13:54:20")</f>
      </c>
      <c r="U1376" s="18"/>
      <c r="V1376" s="18" t="s">
        <v>35</v>
      </c>
      <c r="W1376" s="15" t="s">
        <v>8574</v>
      </c>
      <c r="X1376" s="15" t="s">
        <v>35</v>
      </c>
      <c r="Y1376" s="15" t="s">
        <v>35</v>
      </c>
      <c r="Z1376" s="19">
        <v>0</v>
      </c>
      <c r="AA1376" s="15">
        <v>0</v>
      </c>
      <c r="AB1376" s="15" t="s">
        <v>35</v>
      </c>
    </row>
    <row r="1377">
      <c r="A1377" s="15">
        <v>1373</v>
      </c>
      <c r="B1377" s="15" t="s">
        <v>87</v>
      </c>
      <c r="C1377" s="15" t="s">
        <v>88</v>
      </c>
      <c r="D1377" s="15" t="s">
        <v>35</v>
      </c>
      <c r="E1377" s="15" t="s">
        <v>35</v>
      </c>
      <c r="F1377" s="15" t="s">
        <v>1091</v>
      </c>
      <c r="G1377" s="15" t="s">
        <v>36</v>
      </c>
      <c r="H1377" s="15" t="s">
        <v>8575</v>
      </c>
      <c r="I1377" s="15" t="s">
        <v>8576</v>
      </c>
      <c r="J1377" s="15" t="s">
        <v>8577</v>
      </c>
      <c r="K1377" s="15" t="s">
        <v>40</v>
      </c>
      <c r="L1377" s="15" t="s">
        <v>41</v>
      </c>
      <c r="M1377" s="15" t="s">
        <v>810</v>
      </c>
      <c r="N1377" s="15" t="s">
        <v>811</v>
      </c>
      <c r="O1377" s="15" t="s">
        <v>44</v>
      </c>
      <c r="P1377" s="15" t="s">
        <v>8578</v>
      </c>
      <c r="Q1377" s="15" t="s">
        <v>8579</v>
      </c>
      <c r="R1377" s="16">
        <v>44329</v>
      </c>
      <c r="S1377" s="17" t="s">
        <v>1835</v>
      </c>
      <c r="T1377" s="20">
        <f>HYPERLINK("https://vnm.spiral.com.vn//uploaded/20210513/42f3381f-dcfd-4b3e-9ab0-2015cd115ab3.JPEG","13:54:13")</f>
      </c>
      <c r="U1377" s="18"/>
      <c r="V1377" s="18" t="s">
        <v>35</v>
      </c>
      <c r="W1377" s="15" t="s">
        <v>8580</v>
      </c>
      <c r="X1377" s="15" t="s">
        <v>35</v>
      </c>
      <c r="Y1377" s="15" t="s">
        <v>35</v>
      </c>
      <c r="Z1377" s="19">
        <v>0</v>
      </c>
      <c r="AA1377" s="15">
        <v>0</v>
      </c>
      <c r="AB1377" s="15" t="s">
        <v>35</v>
      </c>
    </row>
    <row r="1378">
      <c r="A1378" s="15">
        <v>1374</v>
      </c>
      <c r="B1378" s="15" t="s">
        <v>49</v>
      </c>
      <c r="C1378" s="15" t="s">
        <v>756</v>
      </c>
      <c r="D1378" s="15" t="s">
        <v>89</v>
      </c>
      <c r="E1378" s="15" t="s">
        <v>90</v>
      </c>
      <c r="F1378" s="15" t="s">
        <v>35</v>
      </c>
      <c r="G1378" s="15" t="s">
        <v>74</v>
      </c>
      <c r="H1378" s="15" t="s">
        <v>8581</v>
      </c>
      <c r="I1378" s="15" t="s">
        <v>8582</v>
      </c>
      <c r="J1378" s="15" t="s">
        <v>8583</v>
      </c>
      <c r="K1378" s="15" t="s">
        <v>168</v>
      </c>
      <c r="L1378" s="15" t="s">
        <v>169</v>
      </c>
      <c r="M1378" s="15" t="s">
        <v>2640</v>
      </c>
      <c r="N1378" s="15" t="s">
        <v>2641</v>
      </c>
      <c r="O1378" s="15" t="s">
        <v>156</v>
      </c>
      <c r="P1378" s="15" t="s">
        <v>8584</v>
      </c>
      <c r="Q1378" s="15" t="s">
        <v>8585</v>
      </c>
      <c r="R1378" s="16">
        <v>44329</v>
      </c>
      <c r="S1378" s="17" t="s">
        <v>35</v>
      </c>
      <c r="T1378" s="20">
        <f>HYPERLINK("https://vnm.spiral.com.vn//uploaded/20210513/01881a22-dfc3-4ab4-a7db-7f03c0e25948.JPEG","13:54:07")</f>
      </c>
      <c r="U1378" s="18"/>
      <c r="V1378" s="18" t="s">
        <v>35</v>
      </c>
      <c r="W1378" s="15" t="s">
        <v>8586</v>
      </c>
      <c r="X1378" s="15" t="s">
        <v>35</v>
      </c>
      <c r="Y1378" s="15" t="s">
        <v>35</v>
      </c>
      <c r="Z1378" s="19">
        <v>0</v>
      </c>
      <c r="AA1378" s="15">
        <v>0</v>
      </c>
      <c r="AB1378" s="15" t="s">
        <v>35</v>
      </c>
    </row>
    <row r="1379">
      <c r="A1379" s="15">
        <v>1375</v>
      </c>
      <c r="B1379" s="15" t="s">
        <v>87</v>
      </c>
      <c r="C1379" s="15" t="s">
        <v>88</v>
      </c>
      <c r="D1379" s="15" t="s">
        <v>432</v>
      </c>
      <c r="E1379" s="15" t="s">
        <v>116</v>
      </c>
      <c r="F1379" s="15" t="s">
        <v>35</v>
      </c>
      <c r="G1379" s="15" t="s">
        <v>74</v>
      </c>
      <c r="H1379" s="15" t="s">
        <v>8555</v>
      </c>
      <c r="I1379" s="15" t="s">
        <v>8556</v>
      </c>
      <c r="J1379" s="15" t="s">
        <v>8557</v>
      </c>
      <c r="K1379" s="15" t="s">
        <v>94</v>
      </c>
      <c r="L1379" s="15" t="s">
        <v>95</v>
      </c>
      <c r="M1379" s="15" t="s">
        <v>625</v>
      </c>
      <c r="N1379" s="15" t="s">
        <v>626</v>
      </c>
      <c r="O1379" s="15" t="s">
        <v>98</v>
      </c>
      <c r="P1379" s="15" t="s">
        <v>627</v>
      </c>
      <c r="Q1379" s="15" t="s">
        <v>628</v>
      </c>
      <c r="R1379" s="16">
        <v>44329</v>
      </c>
      <c r="S1379" s="17" t="s">
        <v>70</v>
      </c>
      <c r="T1379" s="20">
        <f>HYPERLINK("https://vnm.spiral.com.vn//uploaded/20210513/446d0758-3af1-4a02-ae0e-80a26608fc9a.JPEG","13:02:20")</f>
      </c>
      <c r="U1379" s="20">
        <f>HYPERLINK("https://vnm.spiral.com.vn//uploaded/20210513/5f224d19-7241-40c4-bcab-00daaedb1851.JPEG","13:53:55")</f>
      </c>
      <c r="V1379" s="18">
        <v>0.03582175925925926</v>
      </c>
      <c r="W1379" s="15" t="s">
        <v>8587</v>
      </c>
      <c r="X1379" s="15" t="s">
        <v>8588</v>
      </c>
      <c r="Y1379" s="15" t="s">
        <v>35</v>
      </c>
      <c r="Z1379" s="19">
        <v>0</v>
      </c>
      <c r="AA1379" s="15">
        <v>0</v>
      </c>
      <c r="AB1379" s="15" t="s">
        <v>35</v>
      </c>
    </row>
    <row r="1380">
      <c r="A1380" s="15">
        <v>1376</v>
      </c>
      <c r="B1380" s="15" t="s">
        <v>103</v>
      </c>
      <c r="C1380" s="15" t="s">
        <v>1078</v>
      </c>
      <c r="D1380" s="15" t="s">
        <v>35</v>
      </c>
      <c r="E1380" s="15" t="s">
        <v>35</v>
      </c>
      <c r="F1380" s="15" t="s">
        <v>35</v>
      </c>
      <c r="G1380" s="15" t="s">
        <v>36</v>
      </c>
      <c r="H1380" s="15" t="s">
        <v>8589</v>
      </c>
      <c r="I1380" s="15" t="s">
        <v>8590</v>
      </c>
      <c r="J1380" s="15" t="s">
        <v>8591</v>
      </c>
      <c r="K1380" s="15" t="s">
        <v>40</v>
      </c>
      <c r="L1380" s="15" t="s">
        <v>41</v>
      </c>
      <c r="M1380" s="15" t="s">
        <v>565</v>
      </c>
      <c r="N1380" s="15" t="s">
        <v>566</v>
      </c>
      <c r="O1380" s="15" t="s">
        <v>44</v>
      </c>
      <c r="P1380" s="15" t="s">
        <v>8592</v>
      </c>
      <c r="Q1380" s="15" t="s">
        <v>8593</v>
      </c>
      <c r="R1380" s="16">
        <v>44329</v>
      </c>
      <c r="S1380" s="17" t="s">
        <v>569</v>
      </c>
      <c r="T1380" s="20">
        <f>HYPERLINK("https://vnm.spiral.com.vn//uploaded/20210513/6b0d2918-76e4-4a02-80b8-72ae42bc4308.JPEG","13:53:40")</f>
      </c>
      <c r="U1380" s="18"/>
      <c r="V1380" s="18" t="s">
        <v>35</v>
      </c>
      <c r="W1380" s="15" t="s">
        <v>8594</v>
      </c>
      <c r="X1380" s="15" t="s">
        <v>35</v>
      </c>
      <c r="Y1380" s="15" t="s">
        <v>35</v>
      </c>
      <c r="Z1380" s="19">
        <v>0</v>
      </c>
      <c r="AA1380" s="15">
        <v>0</v>
      </c>
      <c r="AB1380" s="15" t="s">
        <v>35</v>
      </c>
    </row>
    <row r="1381">
      <c r="A1381" s="15">
        <v>1377</v>
      </c>
      <c r="B1381" s="15" t="s">
        <v>87</v>
      </c>
      <c r="C1381" s="15" t="s">
        <v>88</v>
      </c>
      <c r="D1381" s="15" t="s">
        <v>610</v>
      </c>
      <c r="E1381" s="15" t="s">
        <v>90</v>
      </c>
      <c r="F1381" s="15" t="s">
        <v>35</v>
      </c>
      <c r="G1381" s="15" t="s">
        <v>74</v>
      </c>
      <c r="H1381" s="15" t="s">
        <v>8595</v>
      </c>
      <c r="I1381" s="15" t="s">
        <v>8596</v>
      </c>
      <c r="J1381" s="15" t="s">
        <v>8597</v>
      </c>
      <c r="K1381" s="15" t="s">
        <v>94</v>
      </c>
      <c r="L1381" s="15" t="s">
        <v>95</v>
      </c>
      <c r="M1381" s="15" t="s">
        <v>614</v>
      </c>
      <c r="N1381" s="15" t="s">
        <v>615</v>
      </c>
      <c r="O1381" s="15" t="s">
        <v>98</v>
      </c>
      <c r="P1381" s="15" t="s">
        <v>616</v>
      </c>
      <c r="Q1381" s="15" t="s">
        <v>617</v>
      </c>
      <c r="R1381" s="16">
        <v>44329</v>
      </c>
      <c r="S1381" s="17" t="s">
        <v>70</v>
      </c>
      <c r="T1381" s="20">
        <f>HYPERLINK("https://vnm.spiral.com.vn//uploaded/20210513/C75AD8FA-4A3A-4731-8B1E-22995195F35E.jpg","13:33:09")</f>
      </c>
      <c r="U1381" s="20">
        <f>HYPERLINK("https://vnm.spiral.com.vn//uploaded/20210513/DD0BAF2D-0586-4694-B9F3-9095C765C501.jpg","13:53:30")</f>
      </c>
      <c r="V1381" s="18">
        <v>0.014131944444444445</v>
      </c>
      <c r="W1381" s="15" t="s">
        <v>8598</v>
      </c>
      <c r="X1381" s="15" t="s">
        <v>8599</v>
      </c>
      <c r="Y1381" s="15" t="s">
        <v>35</v>
      </c>
      <c r="Z1381" s="19">
        <v>0</v>
      </c>
      <c r="AA1381" s="15">
        <v>0</v>
      </c>
      <c r="AB1381" s="15" t="s">
        <v>35</v>
      </c>
    </row>
    <row r="1382">
      <c r="A1382" s="15">
        <v>1378</v>
      </c>
      <c r="B1382" s="15" t="s">
        <v>87</v>
      </c>
      <c r="C1382" s="15" t="s">
        <v>88</v>
      </c>
      <c r="D1382" s="15" t="s">
        <v>610</v>
      </c>
      <c r="E1382" s="15" t="s">
        <v>90</v>
      </c>
      <c r="F1382" s="15" t="s">
        <v>35</v>
      </c>
      <c r="G1382" s="15" t="s">
        <v>74</v>
      </c>
      <c r="H1382" s="15" t="s">
        <v>8600</v>
      </c>
      <c r="I1382" s="15" t="s">
        <v>8601</v>
      </c>
      <c r="J1382" s="15" t="s">
        <v>8602</v>
      </c>
      <c r="K1382" s="15" t="s">
        <v>94</v>
      </c>
      <c r="L1382" s="15" t="s">
        <v>95</v>
      </c>
      <c r="M1382" s="15" t="s">
        <v>614</v>
      </c>
      <c r="N1382" s="15" t="s">
        <v>615</v>
      </c>
      <c r="O1382" s="15" t="s">
        <v>82</v>
      </c>
      <c r="P1382" s="15" t="s">
        <v>2583</v>
      </c>
      <c r="Q1382" s="15" t="s">
        <v>2584</v>
      </c>
      <c r="R1382" s="16">
        <v>44329</v>
      </c>
      <c r="S1382" s="17" t="s">
        <v>70</v>
      </c>
      <c r="T1382" s="20">
        <f>HYPERLINK("https://vnm.spiral.com.vn//uploaded/20210513/79162936-86a0-4a8a-bd19-3615717cd4c7.JPEG","13:03:10")</f>
      </c>
      <c r="U1382" s="20">
        <f>HYPERLINK("https://vnm.spiral.com.vn//uploaded/20210513/069e2111-880a-4cec-b269-a04f7ec07fd1.JPEG","13:53:12")</f>
      </c>
      <c r="V1382" s="18">
        <v>0.03474537037037037</v>
      </c>
      <c r="W1382" s="15" t="s">
        <v>8603</v>
      </c>
      <c r="X1382" s="15" t="s">
        <v>8604</v>
      </c>
      <c r="Y1382" s="15" t="s">
        <v>35</v>
      </c>
      <c r="Z1382" s="19">
        <v>0</v>
      </c>
      <c r="AA1382" s="15">
        <v>0</v>
      </c>
      <c r="AB1382" s="15" t="s">
        <v>35</v>
      </c>
    </row>
    <row r="1383">
      <c r="A1383" s="15">
        <v>1379</v>
      </c>
      <c r="B1383" s="15" t="s">
        <v>61</v>
      </c>
      <c r="C1383" s="15" t="s">
        <v>303</v>
      </c>
      <c r="D1383" s="15" t="s">
        <v>35</v>
      </c>
      <c r="E1383" s="15" t="s">
        <v>35</v>
      </c>
      <c r="F1383" s="15" t="s">
        <v>1947</v>
      </c>
      <c r="G1383" s="15" t="s">
        <v>36</v>
      </c>
      <c r="H1383" s="15" t="s">
        <v>8605</v>
      </c>
      <c r="I1383" s="15" t="s">
        <v>8606</v>
      </c>
      <c r="J1383" s="15" t="s">
        <v>8607</v>
      </c>
      <c r="K1383" s="15" t="s">
        <v>40</v>
      </c>
      <c r="L1383" s="15" t="s">
        <v>41</v>
      </c>
      <c r="M1383" s="15" t="s">
        <v>205</v>
      </c>
      <c r="N1383" s="15" t="s">
        <v>206</v>
      </c>
      <c r="O1383" s="15" t="s">
        <v>44</v>
      </c>
      <c r="P1383" s="15" t="s">
        <v>8608</v>
      </c>
      <c r="Q1383" s="15" t="s">
        <v>8609</v>
      </c>
      <c r="R1383" s="16">
        <v>44329</v>
      </c>
      <c r="S1383" s="17" t="s">
        <v>569</v>
      </c>
      <c r="T1383" s="20">
        <f>HYPERLINK("https://vnm.spiral.com.vn//uploaded/20210513/295ee1a6-7d62-414c-8fc7-900d7c7d2397.JPEG","13:52:43")</f>
      </c>
      <c r="U1383" s="18"/>
      <c r="V1383" s="18" t="s">
        <v>35</v>
      </c>
      <c r="W1383" s="15" t="s">
        <v>8610</v>
      </c>
      <c r="X1383" s="15" t="s">
        <v>35</v>
      </c>
      <c r="Y1383" s="15" t="s">
        <v>35</v>
      </c>
      <c r="Z1383" s="19">
        <v>0</v>
      </c>
      <c r="AA1383" s="15">
        <v>0</v>
      </c>
      <c r="AB1383" s="15" t="s">
        <v>35</v>
      </c>
    </row>
    <row r="1384">
      <c r="A1384" s="15">
        <v>1380</v>
      </c>
      <c r="B1384" s="15" t="s">
        <v>87</v>
      </c>
      <c r="C1384" s="15" t="s">
        <v>88</v>
      </c>
      <c r="D1384" s="15" t="s">
        <v>135</v>
      </c>
      <c r="E1384" s="15" t="s">
        <v>116</v>
      </c>
      <c r="F1384" s="15" t="s">
        <v>35</v>
      </c>
      <c r="G1384" s="15" t="s">
        <v>74</v>
      </c>
      <c r="H1384" s="15" t="s">
        <v>8611</v>
      </c>
      <c r="I1384" s="15" t="s">
        <v>8612</v>
      </c>
      <c r="J1384" s="15" t="s">
        <v>8613</v>
      </c>
      <c r="K1384" s="15" t="s">
        <v>390</v>
      </c>
      <c r="L1384" s="15" t="s">
        <v>391</v>
      </c>
      <c r="M1384" s="15" t="s">
        <v>392</v>
      </c>
      <c r="N1384" s="15" t="s">
        <v>393</v>
      </c>
      <c r="O1384" s="15" t="s">
        <v>82</v>
      </c>
      <c r="P1384" s="15" t="s">
        <v>1980</v>
      </c>
      <c r="Q1384" s="15" t="s">
        <v>1981</v>
      </c>
      <c r="R1384" s="16">
        <v>44329</v>
      </c>
      <c r="S1384" s="17" t="s">
        <v>70</v>
      </c>
      <c r="T1384" s="20">
        <f>HYPERLINK("https://vnm.spiral.com.vn//uploaded/20210513/720023ca-b439-400c-a813-538a55a56a5b.JPEG","13:04:59")</f>
      </c>
      <c r="U1384" s="20">
        <f>HYPERLINK("https://vnm.spiral.com.vn//uploaded/20210513/7778e58e-9286-48ea-8918-e3cfface3ac4.JPEG","13:52:33")</f>
      </c>
      <c r="V1384" s="18">
        <v>0.033032407407407406</v>
      </c>
      <c r="W1384" s="15" t="s">
        <v>8614</v>
      </c>
      <c r="X1384" s="15" t="s">
        <v>8615</v>
      </c>
      <c r="Y1384" s="15" t="s">
        <v>35</v>
      </c>
      <c r="Z1384" s="19">
        <v>0</v>
      </c>
      <c r="AA1384" s="15">
        <v>0</v>
      </c>
      <c r="AB1384" s="15" t="s">
        <v>35</v>
      </c>
    </row>
    <row r="1385">
      <c r="A1385" s="15">
        <v>1381</v>
      </c>
      <c r="B1385" s="15" t="s">
        <v>87</v>
      </c>
      <c r="C1385" s="15" t="s">
        <v>88</v>
      </c>
      <c r="D1385" s="15" t="s">
        <v>357</v>
      </c>
      <c r="E1385" s="15" t="s">
        <v>90</v>
      </c>
      <c r="F1385" s="15" t="s">
        <v>35</v>
      </c>
      <c r="G1385" s="15" t="s">
        <v>74</v>
      </c>
      <c r="H1385" s="15" t="s">
        <v>8616</v>
      </c>
      <c r="I1385" s="15" t="s">
        <v>8617</v>
      </c>
      <c r="J1385" s="15" t="s">
        <v>8618</v>
      </c>
      <c r="K1385" s="15" t="s">
        <v>1570</v>
      </c>
      <c r="L1385" s="15" t="s">
        <v>1571</v>
      </c>
      <c r="M1385" s="15" t="s">
        <v>2024</v>
      </c>
      <c r="N1385" s="15" t="s">
        <v>2025</v>
      </c>
      <c r="O1385" s="15" t="s">
        <v>82</v>
      </c>
      <c r="P1385" s="15" t="s">
        <v>2521</v>
      </c>
      <c r="Q1385" s="15" t="s">
        <v>2522</v>
      </c>
      <c r="R1385" s="16">
        <v>44329</v>
      </c>
      <c r="S1385" s="17" t="s">
        <v>70</v>
      </c>
      <c r="T1385" s="20">
        <f>HYPERLINK("https://vnm.spiral.com.vn//uploaded/20210513/634a9573-18fd-483e-84be-b7f5569e939c.JPEG","13:33:56")</f>
      </c>
      <c r="U1385" s="20">
        <f>HYPERLINK("https://vnm.spiral.com.vn//uploaded/20210513/fc2d07e9-72d5-4a84-a12b-1295adfb67bf.JPEG","13:52:29")</f>
      </c>
      <c r="V1385" s="18">
        <v>0.012881944444444444</v>
      </c>
      <c r="W1385" s="15" t="s">
        <v>8619</v>
      </c>
      <c r="X1385" s="15" t="s">
        <v>8620</v>
      </c>
      <c r="Y1385" s="15" t="s">
        <v>35</v>
      </c>
      <c r="Z1385" s="19">
        <v>0</v>
      </c>
      <c r="AA1385" s="15">
        <v>0</v>
      </c>
      <c r="AB1385" s="15" t="s">
        <v>35</v>
      </c>
    </row>
    <row r="1386">
      <c r="A1386" s="15">
        <v>1382</v>
      </c>
      <c r="B1386" s="15" t="s">
        <v>61</v>
      </c>
      <c r="C1386" s="15" t="s">
        <v>1106</v>
      </c>
      <c r="D1386" s="15" t="s">
        <v>35</v>
      </c>
      <c r="E1386" s="15" t="s">
        <v>35</v>
      </c>
      <c r="F1386" s="15" t="s">
        <v>35</v>
      </c>
      <c r="G1386" s="15" t="s">
        <v>36</v>
      </c>
      <c r="H1386" s="15" t="s">
        <v>8621</v>
      </c>
      <c r="I1386" s="15" t="s">
        <v>3955</v>
      </c>
      <c r="J1386" s="15" t="s">
        <v>8622</v>
      </c>
      <c r="K1386" s="15" t="s">
        <v>40</v>
      </c>
      <c r="L1386" s="15" t="s">
        <v>41</v>
      </c>
      <c r="M1386" s="15" t="s">
        <v>66</v>
      </c>
      <c r="N1386" s="15" t="s">
        <v>67</v>
      </c>
      <c r="O1386" s="15" t="s">
        <v>44</v>
      </c>
      <c r="P1386" s="15" t="s">
        <v>8623</v>
      </c>
      <c r="Q1386" s="15" t="s">
        <v>8624</v>
      </c>
      <c r="R1386" s="16">
        <v>44329</v>
      </c>
      <c r="S1386" s="17" t="s">
        <v>686</v>
      </c>
      <c r="T1386" s="20">
        <f>HYPERLINK("https://vnm.spiral.com.vn//uploaded/20210513/4F7E683E-98F5-402F-99CE-1520207635C4.jpg","13:52:29")</f>
      </c>
      <c r="U1386" s="18"/>
      <c r="V1386" s="18" t="s">
        <v>35</v>
      </c>
      <c r="W1386" s="15" t="s">
        <v>8625</v>
      </c>
      <c r="X1386" s="15" t="s">
        <v>35</v>
      </c>
      <c r="Y1386" s="15" t="s">
        <v>35</v>
      </c>
      <c r="Z1386" s="19">
        <v>0</v>
      </c>
      <c r="AA1386" s="15">
        <v>0</v>
      </c>
      <c r="AB1386" s="15" t="s">
        <v>35</v>
      </c>
    </row>
    <row r="1387">
      <c r="A1387" s="15">
        <v>1383</v>
      </c>
      <c r="B1387" s="15" t="s">
        <v>61</v>
      </c>
      <c r="C1387" s="15" t="s">
        <v>147</v>
      </c>
      <c r="D1387" s="15" t="s">
        <v>35</v>
      </c>
      <c r="E1387" s="15" t="s">
        <v>35</v>
      </c>
      <c r="F1387" s="15" t="s">
        <v>35</v>
      </c>
      <c r="G1387" s="15" t="s">
        <v>36</v>
      </c>
      <c r="H1387" s="15" t="s">
        <v>8626</v>
      </c>
      <c r="I1387" s="15" t="s">
        <v>8627</v>
      </c>
      <c r="J1387" s="15" t="s">
        <v>8628</v>
      </c>
      <c r="K1387" s="15" t="s">
        <v>40</v>
      </c>
      <c r="L1387" s="15" t="s">
        <v>41</v>
      </c>
      <c r="M1387" s="15" t="s">
        <v>66</v>
      </c>
      <c r="N1387" s="15" t="s">
        <v>67</v>
      </c>
      <c r="O1387" s="15" t="s">
        <v>44</v>
      </c>
      <c r="P1387" s="15" t="s">
        <v>8629</v>
      </c>
      <c r="Q1387" s="15" t="s">
        <v>8630</v>
      </c>
      <c r="R1387" s="16">
        <v>44329</v>
      </c>
      <c r="S1387" s="17" t="s">
        <v>569</v>
      </c>
      <c r="T1387" s="20">
        <f>HYPERLINK("https://vnm.spiral.com.vn//uploaded/20210513/814B6408-C990-40FE-8DFD-2B548441A637.jpg","13:51:53")</f>
      </c>
      <c r="U1387" s="18"/>
      <c r="V1387" s="18" t="s">
        <v>35</v>
      </c>
      <c r="W1387" s="15" t="s">
        <v>8631</v>
      </c>
      <c r="X1387" s="15" t="s">
        <v>35</v>
      </c>
      <c r="Y1387" s="15" t="s">
        <v>35</v>
      </c>
      <c r="Z1387" s="19">
        <v>0</v>
      </c>
      <c r="AA1387" s="15">
        <v>0</v>
      </c>
      <c r="AB1387" s="15" t="s">
        <v>35</v>
      </c>
    </row>
    <row r="1388">
      <c r="A1388" s="15">
        <v>1384</v>
      </c>
      <c r="B1388" s="15" t="s">
        <v>103</v>
      </c>
      <c r="C1388" s="15" t="s">
        <v>1078</v>
      </c>
      <c r="D1388" s="15" t="s">
        <v>35</v>
      </c>
      <c r="E1388" s="15" t="s">
        <v>35</v>
      </c>
      <c r="F1388" s="15" t="s">
        <v>35</v>
      </c>
      <c r="G1388" s="15" t="s">
        <v>36</v>
      </c>
      <c r="H1388" s="15" t="s">
        <v>8632</v>
      </c>
      <c r="I1388" s="15" t="s">
        <v>8633</v>
      </c>
      <c r="J1388" s="15" t="s">
        <v>8565</v>
      </c>
      <c r="K1388" s="15" t="s">
        <v>40</v>
      </c>
      <c r="L1388" s="15" t="s">
        <v>41</v>
      </c>
      <c r="M1388" s="15" t="s">
        <v>565</v>
      </c>
      <c r="N1388" s="15" t="s">
        <v>566</v>
      </c>
      <c r="O1388" s="15" t="s">
        <v>44</v>
      </c>
      <c r="P1388" s="15" t="s">
        <v>8634</v>
      </c>
      <c r="Q1388" s="15" t="s">
        <v>8635</v>
      </c>
      <c r="R1388" s="16">
        <v>44329</v>
      </c>
      <c r="S1388" s="17" t="s">
        <v>8636</v>
      </c>
      <c r="T1388" s="20">
        <f>HYPERLINK("https://vnm.spiral.com.vn//uploaded/20210513/6f4f9b22-c270-476b-a26b-cd047cc74427.JPEG","13:51:21")</f>
      </c>
      <c r="U1388" s="18"/>
      <c r="V1388" s="18" t="s">
        <v>35</v>
      </c>
      <c r="W1388" s="15" t="s">
        <v>8637</v>
      </c>
      <c r="X1388" s="15" t="s">
        <v>35</v>
      </c>
      <c r="Y1388" s="15" t="s">
        <v>35</v>
      </c>
      <c r="Z1388" s="19">
        <v>0</v>
      </c>
      <c r="AA1388" s="15">
        <v>0</v>
      </c>
      <c r="AB1388" s="15" t="s">
        <v>35</v>
      </c>
    </row>
    <row r="1389">
      <c r="A1389" s="15">
        <v>1385</v>
      </c>
      <c r="B1389" s="15" t="s">
        <v>87</v>
      </c>
      <c r="C1389" s="15" t="s">
        <v>88</v>
      </c>
      <c r="D1389" s="15" t="s">
        <v>304</v>
      </c>
      <c r="E1389" s="15" t="s">
        <v>305</v>
      </c>
      <c r="F1389" s="15" t="s">
        <v>35</v>
      </c>
      <c r="G1389" s="15" t="s">
        <v>74</v>
      </c>
      <c r="H1389" s="15" t="s">
        <v>1614</v>
      </c>
      <c r="I1389" s="15" t="s">
        <v>1615</v>
      </c>
      <c r="J1389" s="15" t="s">
        <v>1616</v>
      </c>
      <c r="K1389" s="15" t="s">
        <v>748</v>
      </c>
      <c r="L1389" s="15" t="s">
        <v>749</v>
      </c>
      <c r="M1389" s="15" t="s">
        <v>1617</v>
      </c>
      <c r="N1389" s="15" t="s">
        <v>1618</v>
      </c>
      <c r="O1389" s="15" t="s">
        <v>156</v>
      </c>
      <c r="P1389" s="15" t="s">
        <v>8638</v>
      </c>
      <c r="Q1389" s="15" t="s">
        <v>8639</v>
      </c>
      <c r="R1389" s="16">
        <v>44329</v>
      </c>
      <c r="S1389" s="17" t="s">
        <v>7638</v>
      </c>
      <c r="T1389" s="20">
        <f>HYPERLINK("https://vnm.spiral.com.vn//uploaded/20210513/7861fe37-2410-4180-99c7-c2f2b2cc7022.JPEG","13:50:21")</f>
      </c>
      <c r="U1389" s="18"/>
      <c r="V1389" s="18" t="s">
        <v>35</v>
      </c>
      <c r="W1389" s="15" t="s">
        <v>8640</v>
      </c>
      <c r="X1389" s="15" t="s">
        <v>35</v>
      </c>
      <c r="Y1389" s="15" t="s">
        <v>35</v>
      </c>
      <c r="Z1389" s="19">
        <v>0</v>
      </c>
      <c r="AA1389" s="15">
        <v>0</v>
      </c>
      <c r="AB1389" s="15" t="s">
        <v>35</v>
      </c>
    </row>
    <row r="1390">
      <c r="A1390" s="15">
        <v>1386</v>
      </c>
      <c r="B1390" s="15" t="s">
        <v>87</v>
      </c>
      <c r="C1390" s="15" t="s">
        <v>88</v>
      </c>
      <c r="D1390" s="15" t="s">
        <v>432</v>
      </c>
      <c r="E1390" s="15" t="s">
        <v>116</v>
      </c>
      <c r="F1390" s="15" t="s">
        <v>35</v>
      </c>
      <c r="G1390" s="15" t="s">
        <v>74</v>
      </c>
      <c r="H1390" s="15" t="s">
        <v>8641</v>
      </c>
      <c r="I1390" s="15" t="s">
        <v>8642</v>
      </c>
      <c r="J1390" s="15" t="s">
        <v>8643</v>
      </c>
      <c r="K1390" s="15" t="s">
        <v>625</v>
      </c>
      <c r="L1390" s="15" t="s">
        <v>626</v>
      </c>
      <c r="M1390" s="15" t="s">
        <v>627</v>
      </c>
      <c r="N1390" s="15" t="s">
        <v>628</v>
      </c>
      <c r="O1390" s="15" t="s">
        <v>82</v>
      </c>
      <c r="P1390" s="15" t="s">
        <v>1804</v>
      </c>
      <c r="Q1390" s="15" t="s">
        <v>1805</v>
      </c>
      <c r="R1390" s="16">
        <v>44329</v>
      </c>
      <c r="S1390" s="17" t="s">
        <v>70</v>
      </c>
      <c r="T1390" s="20">
        <f>HYPERLINK("https://vnm.spiral.com.vn//uploaded/20210513/5f7a08a8-cd08-435d-aaf9-7ddb7410e586.JPEG","13:28:35")</f>
      </c>
      <c r="U1390" s="20">
        <f>HYPERLINK("https://vnm.spiral.com.vn//uploaded/20210513/8b2fe1df-7f6e-4453-8424-2bef876acc0c.JPEG","13:50:11")</f>
      </c>
      <c r="V1390" s="18">
        <v>0.015</v>
      </c>
      <c r="W1390" s="15" t="s">
        <v>8644</v>
      </c>
      <c r="X1390" s="15" t="s">
        <v>8645</v>
      </c>
      <c r="Y1390" s="15" t="s">
        <v>35</v>
      </c>
      <c r="Z1390" s="19">
        <v>0</v>
      </c>
      <c r="AA1390" s="15">
        <v>0</v>
      </c>
      <c r="AB1390" s="15" t="s">
        <v>35</v>
      </c>
    </row>
    <row r="1391">
      <c r="A1391" s="15">
        <v>1387</v>
      </c>
      <c r="B1391" s="15" t="s">
        <v>343</v>
      </c>
      <c r="C1391" s="15" t="s">
        <v>2069</v>
      </c>
      <c r="D1391" s="15" t="s">
        <v>35</v>
      </c>
      <c r="E1391" s="15" t="s">
        <v>35</v>
      </c>
      <c r="F1391" s="15" t="s">
        <v>35</v>
      </c>
      <c r="G1391" s="15" t="s">
        <v>36</v>
      </c>
      <c r="H1391" s="15" t="s">
        <v>8646</v>
      </c>
      <c r="I1391" s="15" t="s">
        <v>8647</v>
      </c>
      <c r="J1391" s="15" t="s">
        <v>8648</v>
      </c>
      <c r="K1391" s="15" t="s">
        <v>40</v>
      </c>
      <c r="L1391" s="15" t="s">
        <v>41</v>
      </c>
      <c r="M1391" s="15" t="s">
        <v>595</v>
      </c>
      <c r="N1391" s="15" t="s">
        <v>596</v>
      </c>
      <c r="O1391" s="15" t="s">
        <v>44</v>
      </c>
      <c r="P1391" s="15" t="s">
        <v>8649</v>
      </c>
      <c r="Q1391" s="15" t="s">
        <v>8650</v>
      </c>
      <c r="R1391" s="16">
        <v>44329</v>
      </c>
      <c r="S1391" s="17" t="s">
        <v>569</v>
      </c>
      <c r="T1391" s="20">
        <f>HYPERLINK("https://vnm.spiral.com.vn//uploaded/20210513/AD957DA2-CA08-4AA5-82A1-8ABDBFAE5151.jpg","13:50:06")</f>
      </c>
      <c r="U1391" s="18"/>
      <c r="V1391" s="18" t="s">
        <v>35</v>
      </c>
      <c r="W1391" s="15" t="s">
        <v>8651</v>
      </c>
      <c r="X1391" s="15" t="s">
        <v>35</v>
      </c>
      <c r="Y1391" s="15" t="s">
        <v>35</v>
      </c>
      <c r="Z1391" s="19">
        <v>0</v>
      </c>
      <c r="AA1391" s="15">
        <v>0</v>
      </c>
      <c r="AB1391" s="15" t="s">
        <v>35</v>
      </c>
    </row>
    <row r="1392">
      <c r="A1392" s="15">
        <v>1388</v>
      </c>
      <c r="B1392" s="15" t="s">
        <v>87</v>
      </c>
      <c r="C1392" s="15" t="s">
        <v>88</v>
      </c>
      <c r="D1392" s="15" t="s">
        <v>35</v>
      </c>
      <c r="E1392" s="15" t="s">
        <v>35</v>
      </c>
      <c r="F1392" s="15" t="s">
        <v>1191</v>
      </c>
      <c r="G1392" s="15" t="s">
        <v>36</v>
      </c>
      <c r="H1392" s="15" t="s">
        <v>8652</v>
      </c>
      <c r="I1392" s="15" t="s">
        <v>8653</v>
      </c>
      <c r="J1392" s="15" t="s">
        <v>8654</v>
      </c>
      <c r="K1392" s="15" t="s">
        <v>40</v>
      </c>
      <c r="L1392" s="15" t="s">
        <v>41</v>
      </c>
      <c r="M1392" s="15" t="s">
        <v>1195</v>
      </c>
      <c r="N1392" s="15" t="s">
        <v>1196</v>
      </c>
      <c r="O1392" s="15" t="s">
        <v>44</v>
      </c>
      <c r="P1392" s="15" t="s">
        <v>8655</v>
      </c>
      <c r="Q1392" s="15" t="s">
        <v>8656</v>
      </c>
      <c r="R1392" s="16">
        <v>44329</v>
      </c>
      <c r="S1392" s="17" t="s">
        <v>7638</v>
      </c>
      <c r="T1392" s="20">
        <f>HYPERLINK("https://vnm.spiral.com.vn//uploaded/20210513/80325385-9F97-4AB4-80B7-C756BCE527EC.jpg","13:50:04")</f>
      </c>
      <c r="U1392" s="18"/>
      <c r="V1392" s="18" t="s">
        <v>35</v>
      </c>
      <c r="W1392" s="15" t="s">
        <v>8657</v>
      </c>
      <c r="X1392" s="15" t="s">
        <v>35</v>
      </c>
      <c r="Y1392" s="15" t="s">
        <v>35</v>
      </c>
      <c r="Z1392" s="19">
        <v>0</v>
      </c>
      <c r="AA1392" s="15">
        <v>0</v>
      </c>
      <c r="AB1392" s="15" t="s">
        <v>35</v>
      </c>
    </row>
    <row r="1393">
      <c r="A1393" s="15">
        <v>1389</v>
      </c>
      <c r="B1393" s="15" t="s">
        <v>61</v>
      </c>
      <c r="C1393" s="15" t="s">
        <v>320</v>
      </c>
      <c r="D1393" s="15" t="s">
        <v>432</v>
      </c>
      <c r="E1393" s="15" t="s">
        <v>116</v>
      </c>
      <c r="F1393" s="15" t="s">
        <v>35</v>
      </c>
      <c r="G1393" s="15" t="s">
        <v>74</v>
      </c>
      <c r="H1393" s="15" t="s">
        <v>8658</v>
      </c>
      <c r="I1393" s="15" t="s">
        <v>8659</v>
      </c>
      <c r="J1393" s="15" t="s">
        <v>8660</v>
      </c>
      <c r="K1393" s="15" t="s">
        <v>154</v>
      </c>
      <c r="L1393" s="15" t="s">
        <v>155</v>
      </c>
      <c r="M1393" s="15" t="s">
        <v>2458</v>
      </c>
      <c r="N1393" s="15" t="s">
        <v>2459</v>
      </c>
      <c r="O1393" s="15" t="s">
        <v>156</v>
      </c>
      <c r="P1393" s="15" t="s">
        <v>2803</v>
      </c>
      <c r="Q1393" s="15" t="s">
        <v>2804</v>
      </c>
      <c r="R1393" s="16">
        <v>44329</v>
      </c>
      <c r="S1393" s="17" t="s">
        <v>70</v>
      </c>
      <c r="T1393" s="20">
        <f>HYPERLINK("https://vnm.spiral.com.vn//uploaded/20210513/f22e34cc-0627-4629-84f4-c82791089a9f.JPEG","08:54:00")</f>
      </c>
      <c r="U1393" s="20">
        <f>HYPERLINK("https://vnm.spiral.com.vn//uploaded/20210513/dddc5c0f-5f1b-4ddd-b521-913c1421ba40.JPEG","13:49:58")</f>
      </c>
      <c r="V1393" s="18">
        <v>0.2055324074074074</v>
      </c>
      <c r="W1393" s="15" t="s">
        <v>8661</v>
      </c>
      <c r="X1393" s="15" t="s">
        <v>8662</v>
      </c>
      <c r="Y1393" s="15" t="s">
        <v>35</v>
      </c>
      <c r="Z1393" s="19">
        <v>0</v>
      </c>
      <c r="AA1393" s="15">
        <v>0</v>
      </c>
      <c r="AB1393" s="15" t="s">
        <v>35</v>
      </c>
    </row>
    <row r="1394">
      <c r="A1394" s="15">
        <v>1390</v>
      </c>
      <c r="B1394" s="15" t="s">
        <v>103</v>
      </c>
      <c r="C1394" s="15" t="s">
        <v>186</v>
      </c>
      <c r="D1394" s="15" t="s">
        <v>35</v>
      </c>
      <c r="E1394" s="15" t="s">
        <v>35</v>
      </c>
      <c r="F1394" s="15" t="s">
        <v>35</v>
      </c>
      <c r="G1394" s="15" t="s">
        <v>36</v>
      </c>
      <c r="H1394" s="15" t="s">
        <v>8663</v>
      </c>
      <c r="I1394" s="15" t="s">
        <v>8664</v>
      </c>
      <c r="J1394" s="15" t="s">
        <v>8665</v>
      </c>
      <c r="K1394" s="15" t="s">
        <v>40</v>
      </c>
      <c r="L1394" s="15" t="s">
        <v>41</v>
      </c>
      <c r="M1394" s="15" t="s">
        <v>565</v>
      </c>
      <c r="N1394" s="15" t="s">
        <v>566</v>
      </c>
      <c r="O1394" s="15" t="s">
        <v>44</v>
      </c>
      <c r="P1394" s="15" t="s">
        <v>8666</v>
      </c>
      <c r="Q1394" s="15" t="s">
        <v>8667</v>
      </c>
      <c r="R1394" s="16">
        <v>44329</v>
      </c>
      <c r="S1394" s="17" t="s">
        <v>8289</v>
      </c>
      <c r="T1394" s="20">
        <f>HYPERLINK("https://vnm.spiral.com.vn//uploaded/20210513/642b3ca9-78e0-488d-9a77-a8d6442ab1eb.JPEG","13:48:56")</f>
      </c>
      <c r="U1394" s="18"/>
      <c r="V1394" s="18" t="s">
        <v>35</v>
      </c>
      <c r="W1394" s="15" t="s">
        <v>8668</v>
      </c>
      <c r="X1394" s="15" t="s">
        <v>35</v>
      </c>
      <c r="Y1394" s="15" t="s">
        <v>35</v>
      </c>
      <c r="Z1394" s="19">
        <v>0</v>
      </c>
      <c r="AA1394" s="15">
        <v>0</v>
      </c>
      <c r="AB1394" s="15" t="s">
        <v>35</v>
      </c>
    </row>
    <row r="1395">
      <c r="A1395" s="15">
        <v>1391</v>
      </c>
      <c r="B1395" s="15" t="s">
        <v>343</v>
      </c>
      <c r="C1395" s="15" t="s">
        <v>344</v>
      </c>
      <c r="D1395" s="15" t="s">
        <v>432</v>
      </c>
      <c r="E1395" s="15" t="s">
        <v>116</v>
      </c>
      <c r="F1395" s="15" t="s">
        <v>35</v>
      </c>
      <c r="G1395" s="15" t="s">
        <v>74</v>
      </c>
      <c r="H1395" s="15" t="s">
        <v>8669</v>
      </c>
      <c r="I1395" s="15" t="s">
        <v>8670</v>
      </c>
      <c r="J1395" s="15" t="s">
        <v>8671</v>
      </c>
      <c r="K1395" s="15" t="s">
        <v>1168</v>
      </c>
      <c r="L1395" s="15" t="s">
        <v>1169</v>
      </c>
      <c r="M1395" s="15" t="s">
        <v>1170</v>
      </c>
      <c r="N1395" s="15" t="s">
        <v>1171</v>
      </c>
      <c r="O1395" s="15" t="s">
        <v>82</v>
      </c>
      <c r="P1395" s="15" t="s">
        <v>1172</v>
      </c>
      <c r="Q1395" s="15" t="s">
        <v>1173</v>
      </c>
      <c r="R1395" s="16">
        <v>44329</v>
      </c>
      <c r="S1395" s="17" t="s">
        <v>70</v>
      </c>
      <c r="T1395" s="20">
        <f>HYPERLINK("https://vnm.spiral.com.vn//uploaded/20210513/f2175df6-f72c-449c-bc3f-53fc8eeed95f.JPEG","13:04:48")</f>
      </c>
      <c r="U1395" s="20">
        <f>HYPERLINK("https://vnm.spiral.com.vn//uploaded/20210513/8a3f33fe-d011-44e3-a647-49eca77749ae.JPEG","13:48:24")</f>
      </c>
      <c r="V1395" s="18">
        <v>0.03027777777777778</v>
      </c>
      <c r="W1395" s="15" t="s">
        <v>8672</v>
      </c>
      <c r="X1395" s="15" t="s">
        <v>8673</v>
      </c>
      <c r="Y1395" s="15" t="s">
        <v>35</v>
      </c>
      <c r="Z1395" s="19">
        <v>0</v>
      </c>
      <c r="AA1395" s="15">
        <v>0</v>
      </c>
      <c r="AB1395" s="15" t="s">
        <v>35</v>
      </c>
    </row>
    <row r="1396">
      <c r="A1396" s="15">
        <v>1392</v>
      </c>
      <c r="B1396" s="15" t="s">
        <v>87</v>
      </c>
      <c r="C1396" s="15" t="s">
        <v>88</v>
      </c>
      <c r="D1396" s="15" t="s">
        <v>89</v>
      </c>
      <c r="E1396" s="15" t="s">
        <v>90</v>
      </c>
      <c r="F1396" s="15" t="s">
        <v>35</v>
      </c>
      <c r="G1396" s="15" t="s">
        <v>74</v>
      </c>
      <c r="H1396" s="15" t="s">
        <v>8674</v>
      </c>
      <c r="I1396" s="15" t="s">
        <v>8675</v>
      </c>
      <c r="J1396" s="15" t="s">
        <v>8676</v>
      </c>
      <c r="K1396" s="15" t="s">
        <v>94</v>
      </c>
      <c r="L1396" s="15" t="s">
        <v>95</v>
      </c>
      <c r="M1396" s="15" t="s">
        <v>96</v>
      </c>
      <c r="N1396" s="15" t="s">
        <v>97</v>
      </c>
      <c r="O1396" s="15" t="s">
        <v>98</v>
      </c>
      <c r="P1396" s="15" t="s">
        <v>706</v>
      </c>
      <c r="Q1396" s="15" t="s">
        <v>707</v>
      </c>
      <c r="R1396" s="16">
        <v>44329</v>
      </c>
      <c r="S1396" s="17" t="s">
        <v>70</v>
      </c>
      <c r="T1396" s="20">
        <f>HYPERLINK("https://vnm.spiral.com.vn//uploaded/20210513/3ccfb953-a281-4620-9f9e-b2d0ce3ffb2d.JPEG","13:48:23")</f>
      </c>
      <c r="U1396" s="18"/>
      <c r="V1396" s="18" t="s">
        <v>35</v>
      </c>
      <c r="W1396" s="15" t="s">
        <v>8677</v>
      </c>
      <c r="X1396" s="15" t="s">
        <v>35</v>
      </c>
      <c r="Y1396" s="15" t="s">
        <v>35</v>
      </c>
      <c r="Z1396" s="19">
        <v>0</v>
      </c>
      <c r="AA1396" s="15">
        <v>0</v>
      </c>
      <c r="AB1396" s="15" t="s">
        <v>35</v>
      </c>
    </row>
    <row r="1397">
      <c r="A1397" s="15">
        <v>1393</v>
      </c>
      <c r="B1397" s="15" t="s">
        <v>87</v>
      </c>
      <c r="C1397" s="15" t="s">
        <v>88</v>
      </c>
      <c r="D1397" s="15" t="s">
        <v>610</v>
      </c>
      <c r="E1397" s="15" t="s">
        <v>90</v>
      </c>
      <c r="F1397" s="15" t="s">
        <v>35</v>
      </c>
      <c r="G1397" s="15" t="s">
        <v>74</v>
      </c>
      <c r="H1397" s="15" t="s">
        <v>8678</v>
      </c>
      <c r="I1397" s="15" t="s">
        <v>8679</v>
      </c>
      <c r="J1397" s="15" t="s">
        <v>8680</v>
      </c>
      <c r="K1397" s="15" t="s">
        <v>94</v>
      </c>
      <c r="L1397" s="15" t="s">
        <v>95</v>
      </c>
      <c r="M1397" s="15" t="s">
        <v>614</v>
      </c>
      <c r="N1397" s="15" t="s">
        <v>615</v>
      </c>
      <c r="O1397" s="15" t="s">
        <v>82</v>
      </c>
      <c r="P1397" s="15" t="s">
        <v>1341</v>
      </c>
      <c r="Q1397" s="15" t="s">
        <v>1342</v>
      </c>
      <c r="R1397" s="16">
        <v>44329</v>
      </c>
      <c r="S1397" s="17" t="s">
        <v>70</v>
      </c>
      <c r="T1397" s="20">
        <f>HYPERLINK("https://vnm.spiral.com.vn//uploaded/20210513/F2583885-DE21-4099-88FF-7A0D00C40EE8.jpg","13:00:14")</f>
      </c>
      <c r="U1397" s="20">
        <f>HYPERLINK("https://vnm.spiral.com.vn//uploaded/20210513/A8507830-981A-40CF-A862-7E8B395195ED.jpg","13:47:10")</f>
      </c>
      <c r="V1397" s="18">
        <v>0.03259259259259259</v>
      </c>
      <c r="W1397" s="15" t="s">
        <v>8681</v>
      </c>
      <c r="X1397" s="15" t="s">
        <v>7927</v>
      </c>
      <c r="Y1397" s="15" t="s">
        <v>35</v>
      </c>
      <c r="Z1397" s="19">
        <v>0</v>
      </c>
      <c r="AA1397" s="15">
        <v>0</v>
      </c>
      <c r="AB1397" s="15" t="s">
        <v>35</v>
      </c>
    </row>
    <row r="1398">
      <c r="A1398" s="15">
        <v>1394</v>
      </c>
      <c r="B1398" s="15" t="s">
        <v>87</v>
      </c>
      <c r="C1398" s="15" t="s">
        <v>88</v>
      </c>
      <c r="D1398" s="15" t="s">
        <v>35</v>
      </c>
      <c r="E1398" s="15" t="s">
        <v>35</v>
      </c>
      <c r="F1398" s="15" t="s">
        <v>2773</v>
      </c>
      <c r="G1398" s="15" t="s">
        <v>36</v>
      </c>
      <c r="H1398" s="15" t="s">
        <v>8682</v>
      </c>
      <c r="I1398" s="15" t="s">
        <v>8683</v>
      </c>
      <c r="J1398" s="15" t="s">
        <v>8684</v>
      </c>
      <c r="K1398" s="15" t="s">
        <v>40</v>
      </c>
      <c r="L1398" s="15" t="s">
        <v>41</v>
      </c>
      <c r="M1398" s="15" t="s">
        <v>810</v>
      </c>
      <c r="N1398" s="15" t="s">
        <v>811</v>
      </c>
      <c r="O1398" s="15" t="s">
        <v>44</v>
      </c>
      <c r="P1398" s="15" t="s">
        <v>8685</v>
      </c>
      <c r="Q1398" s="15" t="s">
        <v>8686</v>
      </c>
      <c r="R1398" s="16">
        <v>44329</v>
      </c>
      <c r="S1398" s="17" t="s">
        <v>8687</v>
      </c>
      <c r="T1398" s="20">
        <f>HYPERLINK("https://vnm.spiral.com.vn//uploaded/20210513/55179a9d-bb11-4181-bc41-2865806e7a95.JPEG","13:46:45")</f>
      </c>
      <c r="U1398" s="18"/>
      <c r="V1398" s="18" t="s">
        <v>35</v>
      </c>
      <c r="W1398" s="15" t="s">
        <v>8688</v>
      </c>
      <c r="X1398" s="15" t="s">
        <v>35</v>
      </c>
      <c r="Y1398" s="15" t="s">
        <v>35</v>
      </c>
      <c r="Z1398" s="19">
        <v>0</v>
      </c>
      <c r="AA1398" s="15">
        <v>0</v>
      </c>
      <c r="AB1398" s="15" t="s">
        <v>35</v>
      </c>
    </row>
    <row r="1399">
      <c r="A1399" s="15">
        <v>1395</v>
      </c>
      <c r="B1399" s="15" t="s">
        <v>343</v>
      </c>
      <c r="C1399" s="15" t="s">
        <v>2135</v>
      </c>
      <c r="D1399" s="15" t="s">
        <v>432</v>
      </c>
      <c r="E1399" s="15" t="s">
        <v>116</v>
      </c>
      <c r="F1399" s="15" t="s">
        <v>35</v>
      </c>
      <c r="G1399" s="15" t="s">
        <v>74</v>
      </c>
      <c r="H1399" s="15" t="s">
        <v>8689</v>
      </c>
      <c r="I1399" s="15" t="s">
        <v>8690</v>
      </c>
      <c r="J1399" s="15" t="s">
        <v>8691</v>
      </c>
      <c r="K1399" s="15" t="s">
        <v>1168</v>
      </c>
      <c r="L1399" s="15" t="s">
        <v>1169</v>
      </c>
      <c r="M1399" s="15" t="s">
        <v>1170</v>
      </c>
      <c r="N1399" s="15" t="s">
        <v>1171</v>
      </c>
      <c r="O1399" s="15" t="s">
        <v>82</v>
      </c>
      <c r="P1399" s="15" t="s">
        <v>2139</v>
      </c>
      <c r="Q1399" s="15" t="s">
        <v>2140</v>
      </c>
      <c r="R1399" s="16">
        <v>44329</v>
      </c>
      <c r="S1399" s="17" t="s">
        <v>70</v>
      </c>
      <c r="T1399" s="20">
        <f>HYPERLINK("https://vnm.spiral.com.vn//uploaded/20210513/92C613E8-4D36-4F1C-B4E5-B6407CC58838.jpg","10:54:06")</f>
      </c>
      <c r="U1399" s="20">
        <f>HYPERLINK("https://vnm.spiral.com.vn//uploaded/20210513/D4E22CB5-F25D-4D91-8FEC-D734466BE7D0.jpg","13:46:38")</f>
      </c>
      <c r="V1399" s="18">
        <v>0.11981481481481482</v>
      </c>
      <c r="W1399" s="15" t="s">
        <v>8692</v>
      </c>
      <c r="X1399" s="15" t="s">
        <v>8693</v>
      </c>
      <c r="Y1399" s="15" t="s">
        <v>35</v>
      </c>
      <c r="Z1399" s="19">
        <v>0</v>
      </c>
      <c r="AA1399" s="15">
        <v>0</v>
      </c>
      <c r="AB1399" s="15" t="s">
        <v>35</v>
      </c>
    </row>
    <row r="1400">
      <c r="A1400" s="15">
        <v>1396</v>
      </c>
      <c r="B1400" s="15" t="s">
        <v>246</v>
      </c>
      <c r="C1400" s="15" t="s">
        <v>276</v>
      </c>
      <c r="D1400" s="15" t="s">
        <v>89</v>
      </c>
      <c r="E1400" s="15" t="s">
        <v>90</v>
      </c>
      <c r="F1400" s="15" t="s">
        <v>35</v>
      </c>
      <c r="G1400" s="15" t="s">
        <v>74</v>
      </c>
      <c r="H1400" s="15" t="s">
        <v>277</v>
      </c>
      <c r="I1400" s="15" t="s">
        <v>278</v>
      </c>
      <c r="J1400" s="15" t="s">
        <v>279</v>
      </c>
      <c r="K1400" s="15" t="s">
        <v>263</v>
      </c>
      <c r="L1400" s="15" t="s">
        <v>264</v>
      </c>
      <c r="M1400" s="15" t="s">
        <v>280</v>
      </c>
      <c r="N1400" s="15" t="s">
        <v>281</v>
      </c>
      <c r="O1400" s="15" t="s">
        <v>156</v>
      </c>
      <c r="P1400" s="15" t="s">
        <v>8694</v>
      </c>
      <c r="Q1400" s="15" t="s">
        <v>283</v>
      </c>
      <c r="R1400" s="16">
        <v>44329</v>
      </c>
      <c r="S1400" s="17" t="s">
        <v>7638</v>
      </c>
      <c r="T1400" s="20">
        <f>HYPERLINK("https://vnm.spiral.com.vn//uploaded/20210513/A2276164-0BD4-4B32-819B-72096C080D7B.jpg","13:45:52")</f>
      </c>
      <c r="U1400" s="18"/>
      <c r="V1400" s="18" t="s">
        <v>35</v>
      </c>
      <c r="W1400" s="15" t="s">
        <v>8695</v>
      </c>
      <c r="X1400" s="15" t="s">
        <v>35</v>
      </c>
      <c r="Y1400" s="15" t="s">
        <v>35</v>
      </c>
      <c r="Z1400" s="19">
        <v>0</v>
      </c>
      <c r="AA1400" s="15">
        <v>0</v>
      </c>
      <c r="AB1400" s="15" t="s">
        <v>35</v>
      </c>
    </row>
    <row r="1401">
      <c r="A1401" s="15">
        <v>1397</v>
      </c>
      <c r="B1401" s="15" t="s">
        <v>33</v>
      </c>
      <c r="C1401" s="15" t="s">
        <v>2999</v>
      </c>
      <c r="D1401" s="15" t="s">
        <v>35</v>
      </c>
      <c r="E1401" s="15" t="s">
        <v>35</v>
      </c>
      <c r="F1401" s="15" t="s">
        <v>35</v>
      </c>
      <c r="G1401" s="15" t="s">
        <v>74</v>
      </c>
      <c r="H1401" s="15" t="s">
        <v>8696</v>
      </c>
      <c r="I1401" s="15" t="s">
        <v>8697</v>
      </c>
      <c r="J1401" s="15" t="s">
        <v>8698</v>
      </c>
      <c r="K1401" s="15" t="s">
        <v>540</v>
      </c>
      <c r="L1401" s="15" t="s">
        <v>541</v>
      </c>
      <c r="M1401" s="15" t="s">
        <v>2887</v>
      </c>
      <c r="N1401" s="15" t="s">
        <v>2888</v>
      </c>
      <c r="O1401" s="15" t="s">
        <v>156</v>
      </c>
      <c r="P1401" s="15" t="s">
        <v>8699</v>
      </c>
      <c r="Q1401" s="15" t="s">
        <v>8700</v>
      </c>
      <c r="R1401" s="16">
        <v>44329</v>
      </c>
      <c r="S1401" s="17" t="s">
        <v>8701</v>
      </c>
      <c r="T1401" s="20">
        <f>HYPERLINK("https://vnm.spiral.com.vn//uploaded/20210513/7F898706-EF66-43BE-95C4-92689F9EB1A1.jpg","13:44:08")</f>
      </c>
      <c r="U1401" s="18"/>
      <c r="V1401" s="18" t="s">
        <v>35</v>
      </c>
      <c r="W1401" s="15" t="s">
        <v>8702</v>
      </c>
      <c r="X1401" s="15" t="s">
        <v>35</v>
      </c>
      <c r="Y1401" s="15" t="s">
        <v>35</v>
      </c>
      <c r="Z1401" s="19">
        <v>0</v>
      </c>
      <c r="AA1401" s="15">
        <v>0</v>
      </c>
      <c r="AB1401" s="15" t="s">
        <v>35</v>
      </c>
    </row>
    <row r="1402">
      <c r="A1402" s="15">
        <v>1398</v>
      </c>
      <c r="B1402" s="15" t="s">
        <v>49</v>
      </c>
      <c r="C1402" s="15" t="s">
        <v>1389</v>
      </c>
      <c r="D1402" s="15" t="s">
        <v>35</v>
      </c>
      <c r="E1402" s="15" t="s">
        <v>35</v>
      </c>
      <c r="F1402" s="15" t="s">
        <v>4452</v>
      </c>
      <c r="G1402" s="15" t="s">
        <v>36</v>
      </c>
      <c r="H1402" s="15" t="s">
        <v>8703</v>
      </c>
      <c r="I1402" s="15" t="s">
        <v>8704</v>
      </c>
      <c r="J1402" s="15" t="s">
        <v>8705</v>
      </c>
      <c r="K1402" s="15" t="s">
        <v>40</v>
      </c>
      <c r="L1402" s="15" t="s">
        <v>41</v>
      </c>
      <c r="M1402" s="15" t="s">
        <v>55</v>
      </c>
      <c r="N1402" s="15" t="s">
        <v>56</v>
      </c>
      <c r="O1402" s="15" t="s">
        <v>44</v>
      </c>
      <c r="P1402" s="15" t="s">
        <v>8706</v>
      </c>
      <c r="Q1402" s="15" t="s">
        <v>8707</v>
      </c>
      <c r="R1402" s="16">
        <v>44329</v>
      </c>
      <c r="S1402" s="17" t="s">
        <v>569</v>
      </c>
      <c r="T1402" s="20">
        <f>HYPERLINK("https://vnm.spiral.com.vn//uploaded/20210513/b9442f9d-40c1-4320-b55c-b2c8b8e2822c.JPEG","13:44:00")</f>
      </c>
      <c r="U1402" s="18"/>
      <c r="V1402" s="18" t="s">
        <v>35</v>
      </c>
      <c r="W1402" s="15" t="s">
        <v>8708</v>
      </c>
      <c r="X1402" s="15" t="s">
        <v>35</v>
      </c>
      <c r="Y1402" s="15" t="s">
        <v>35</v>
      </c>
      <c r="Z1402" s="19">
        <v>0</v>
      </c>
      <c r="AA1402" s="15">
        <v>0</v>
      </c>
      <c r="AB1402" s="15" t="s">
        <v>35</v>
      </c>
    </row>
    <row r="1403">
      <c r="A1403" s="15">
        <v>1399</v>
      </c>
      <c r="B1403" s="15" t="s">
        <v>343</v>
      </c>
      <c r="C1403" s="15" t="s">
        <v>344</v>
      </c>
      <c r="D1403" s="15" t="s">
        <v>35</v>
      </c>
      <c r="E1403" s="15" t="s">
        <v>35</v>
      </c>
      <c r="F1403" s="15" t="s">
        <v>35</v>
      </c>
      <c r="G1403" s="15" t="s">
        <v>74</v>
      </c>
      <c r="H1403" s="15" t="s">
        <v>8709</v>
      </c>
      <c r="I1403" s="15" t="s">
        <v>8710</v>
      </c>
      <c r="J1403" s="15" t="s">
        <v>8711</v>
      </c>
      <c r="K1403" s="15" t="s">
        <v>584</v>
      </c>
      <c r="L1403" s="15" t="s">
        <v>585</v>
      </c>
      <c r="M1403" s="15" t="s">
        <v>827</v>
      </c>
      <c r="N1403" s="15" t="s">
        <v>828</v>
      </c>
      <c r="O1403" s="15" t="s">
        <v>82</v>
      </c>
      <c r="P1403" s="15" t="s">
        <v>2319</v>
      </c>
      <c r="Q1403" s="15" t="s">
        <v>2320</v>
      </c>
      <c r="R1403" s="16">
        <v>44329</v>
      </c>
      <c r="S1403" s="17" t="s">
        <v>70</v>
      </c>
      <c r="T1403" s="20">
        <f>HYPERLINK("https://vnm.spiral.com.vn//uploaded/20210513/F5D48CFF-5F79-43EC-9F13-68D0C8EC30FE.jpg","13:05:58")</f>
      </c>
      <c r="U1403" s="20">
        <f>HYPERLINK("https://vnm.spiral.com.vn//uploaded/20210513/5DBB2467-C17E-4A18-AF0A-EA17D33CF3E9.jpg","13:42:43")</f>
      </c>
      <c r="V1403" s="18">
        <v>0.025520833333333333</v>
      </c>
      <c r="W1403" s="15" t="s">
        <v>8712</v>
      </c>
      <c r="X1403" s="15" t="s">
        <v>8713</v>
      </c>
      <c r="Y1403" s="15" t="s">
        <v>35</v>
      </c>
      <c r="Z1403" s="19">
        <v>0</v>
      </c>
      <c r="AA1403" s="15">
        <v>0</v>
      </c>
      <c r="AB1403" s="15" t="s">
        <v>35</v>
      </c>
    </row>
    <row r="1404">
      <c r="A1404" s="15">
        <v>1400</v>
      </c>
      <c r="B1404" s="15" t="s">
        <v>61</v>
      </c>
      <c r="C1404" s="15" t="s">
        <v>303</v>
      </c>
      <c r="D1404" s="15" t="s">
        <v>432</v>
      </c>
      <c r="E1404" s="15" t="s">
        <v>116</v>
      </c>
      <c r="F1404" s="15" t="s">
        <v>35</v>
      </c>
      <c r="G1404" s="15" t="s">
        <v>74</v>
      </c>
      <c r="H1404" s="15" t="s">
        <v>8714</v>
      </c>
      <c r="I1404" s="15" t="s">
        <v>8715</v>
      </c>
      <c r="J1404" s="15" t="s">
        <v>8716</v>
      </c>
      <c r="K1404" s="15" t="s">
        <v>152</v>
      </c>
      <c r="L1404" s="15" t="s">
        <v>153</v>
      </c>
      <c r="M1404" s="15" t="s">
        <v>309</v>
      </c>
      <c r="N1404" s="15" t="s">
        <v>310</v>
      </c>
      <c r="O1404" s="15" t="s">
        <v>98</v>
      </c>
      <c r="P1404" s="15" t="s">
        <v>311</v>
      </c>
      <c r="Q1404" s="15" t="s">
        <v>312</v>
      </c>
      <c r="R1404" s="16">
        <v>44329</v>
      </c>
      <c r="S1404" s="17" t="s">
        <v>35</v>
      </c>
      <c r="T1404" s="20">
        <f>HYPERLINK("https://vnm.spiral.com.vn//uploaded/20210513/6DAC7B57-442A-4B07-991D-AB25A7E32B53.jpg","10:27:48")</f>
      </c>
      <c r="U1404" s="20">
        <f>HYPERLINK("https://vnm.spiral.com.vn//uploaded/20210513/80EBEF09-EAEF-460F-BF07-E2B6D8B0F18D.jpg","13:41:37")</f>
      </c>
      <c r="V1404" s="18">
        <v>0.1345949074074074</v>
      </c>
      <c r="W1404" s="15" t="s">
        <v>8717</v>
      </c>
      <c r="X1404" s="15" t="s">
        <v>8718</v>
      </c>
      <c r="Y1404" s="15" t="s">
        <v>35</v>
      </c>
      <c r="Z1404" s="19">
        <v>0</v>
      </c>
      <c r="AA1404" s="15">
        <v>0</v>
      </c>
      <c r="AB1404" s="15" t="s">
        <v>35</v>
      </c>
    </row>
    <row r="1405">
      <c r="A1405" s="15">
        <v>1401</v>
      </c>
      <c r="B1405" s="15" t="s">
        <v>87</v>
      </c>
      <c r="C1405" s="15" t="s">
        <v>88</v>
      </c>
      <c r="D1405" s="15" t="s">
        <v>135</v>
      </c>
      <c r="E1405" s="15" t="s">
        <v>116</v>
      </c>
      <c r="F1405" s="15" t="s">
        <v>35</v>
      </c>
      <c r="G1405" s="15" t="s">
        <v>74</v>
      </c>
      <c r="H1405" s="15" t="s">
        <v>8719</v>
      </c>
      <c r="I1405" s="15" t="s">
        <v>8720</v>
      </c>
      <c r="J1405" s="15" t="s">
        <v>8721</v>
      </c>
      <c r="K1405" s="15" t="s">
        <v>139</v>
      </c>
      <c r="L1405" s="15" t="s">
        <v>140</v>
      </c>
      <c r="M1405" s="15" t="s">
        <v>141</v>
      </c>
      <c r="N1405" s="15" t="s">
        <v>142</v>
      </c>
      <c r="O1405" s="15" t="s">
        <v>82</v>
      </c>
      <c r="P1405" s="15" t="s">
        <v>1741</v>
      </c>
      <c r="Q1405" s="15" t="s">
        <v>1742</v>
      </c>
      <c r="R1405" s="16">
        <v>44329</v>
      </c>
      <c r="S1405" s="17" t="s">
        <v>70</v>
      </c>
      <c r="T1405" s="20">
        <f>HYPERLINK("https://vnm.spiral.com.vn//uploaded/20210513/A5EEBD3A-3617-4576-9DE4-4C3559A119C1.jpg","12:41:47")</f>
      </c>
      <c r="U1405" s="20">
        <f>HYPERLINK("https://vnm.spiral.com.vn//uploaded/20210513/7CEA2189-6B91-4D11-AE45-A28699D3934B.jpg","13:41:27")</f>
      </c>
      <c r="V1405" s="18">
        <v>0.041435185185185186</v>
      </c>
      <c r="W1405" s="15" t="s">
        <v>8722</v>
      </c>
      <c r="X1405" s="15" t="s">
        <v>8723</v>
      </c>
      <c r="Y1405" s="15" t="s">
        <v>35</v>
      </c>
      <c r="Z1405" s="19">
        <v>0</v>
      </c>
      <c r="AA1405" s="15">
        <v>0</v>
      </c>
      <c r="AB1405" s="15" t="s">
        <v>35</v>
      </c>
    </row>
    <row r="1406">
      <c r="A1406" s="15">
        <v>1402</v>
      </c>
      <c r="B1406" s="15" t="s">
        <v>343</v>
      </c>
      <c r="C1406" s="15" t="s">
        <v>344</v>
      </c>
      <c r="D1406" s="15" t="s">
        <v>35</v>
      </c>
      <c r="E1406" s="15" t="s">
        <v>35</v>
      </c>
      <c r="F1406" s="15" t="s">
        <v>35</v>
      </c>
      <c r="G1406" s="15" t="s">
        <v>74</v>
      </c>
      <c r="H1406" s="15" t="s">
        <v>8724</v>
      </c>
      <c r="I1406" s="15" t="s">
        <v>8725</v>
      </c>
      <c r="J1406" s="15" t="s">
        <v>8726</v>
      </c>
      <c r="K1406" s="15" t="s">
        <v>584</v>
      </c>
      <c r="L1406" s="15" t="s">
        <v>585</v>
      </c>
      <c r="M1406" s="15" t="s">
        <v>827</v>
      </c>
      <c r="N1406" s="15" t="s">
        <v>828</v>
      </c>
      <c r="O1406" s="15" t="s">
        <v>82</v>
      </c>
      <c r="P1406" s="15" t="s">
        <v>7778</v>
      </c>
      <c r="Q1406" s="15" t="s">
        <v>7779</v>
      </c>
      <c r="R1406" s="16">
        <v>44329</v>
      </c>
      <c r="S1406" s="17" t="s">
        <v>70</v>
      </c>
      <c r="T1406" s="20">
        <f>HYPERLINK("https://vnm.spiral.com.vn//uploaded/20210513/c93ff762-ad1e-4333-88a2-f9874f1d7388.JPEG","13:25:33")</f>
      </c>
      <c r="U1406" s="20">
        <f>HYPERLINK("https://vnm.spiral.com.vn//uploaded/20210513/f2da702c-7896-4414-8210-3936dcd67fdd.JPEG","13:40:59")</f>
      </c>
      <c r="V1406" s="18">
        <v>0.010717592592592593</v>
      </c>
      <c r="W1406" s="15" t="s">
        <v>8727</v>
      </c>
      <c r="X1406" s="15" t="s">
        <v>8727</v>
      </c>
      <c r="Y1406" s="15" t="s">
        <v>35</v>
      </c>
      <c r="Z1406" s="19">
        <v>0</v>
      </c>
      <c r="AA1406" s="15">
        <v>0</v>
      </c>
      <c r="AB1406" s="15" t="s">
        <v>35</v>
      </c>
    </row>
    <row r="1407">
      <c r="A1407" s="15">
        <v>1403</v>
      </c>
      <c r="B1407" s="15" t="s">
        <v>61</v>
      </c>
      <c r="C1407" s="15" t="s">
        <v>1730</v>
      </c>
      <c r="D1407" s="15" t="s">
        <v>35</v>
      </c>
      <c r="E1407" s="15" t="s">
        <v>35</v>
      </c>
      <c r="F1407" s="15" t="s">
        <v>35</v>
      </c>
      <c r="G1407" s="15" t="s">
        <v>36</v>
      </c>
      <c r="H1407" s="15" t="s">
        <v>8728</v>
      </c>
      <c r="I1407" s="15" t="s">
        <v>8729</v>
      </c>
      <c r="J1407" s="15" t="s">
        <v>8730</v>
      </c>
      <c r="K1407" s="15" t="s">
        <v>40</v>
      </c>
      <c r="L1407" s="15" t="s">
        <v>41</v>
      </c>
      <c r="M1407" s="15" t="s">
        <v>205</v>
      </c>
      <c r="N1407" s="15" t="s">
        <v>206</v>
      </c>
      <c r="O1407" s="15" t="s">
        <v>44</v>
      </c>
      <c r="P1407" s="15" t="s">
        <v>8731</v>
      </c>
      <c r="Q1407" s="15" t="s">
        <v>559</v>
      </c>
      <c r="R1407" s="16">
        <v>44329</v>
      </c>
      <c r="S1407" s="17" t="s">
        <v>8732</v>
      </c>
      <c r="T1407" s="20">
        <f>HYPERLINK("https://vnm.spiral.com.vn//uploaded/20210513/243CADFC-D632-4F61-9927-39FF0F168FB3.jpg","13:40:33")</f>
      </c>
      <c r="U1407" s="18"/>
      <c r="V1407" s="18" t="s">
        <v>35</v>
      </c>
      <c r="W1407" s="15" t="s">
        <v>8733</v>
      </c>
      <c r="X1407" s="15" t="s">
        <v>35</v>
      </c>
      <c r="Y1407" s="15" t="s">
        <v>35</v>
      </c>
      <c r="Z1407" s="19">
        <v>0</v>
      </c>
      <c r="AA1407" s="15">
        <v>0</v>
      </c>
      <c r="AB1407" s="15" t="s">
        <v>35</v>
      </c>
    </row>
    <row r="1408">
      <c r="A1408" s="15">
        <v>1404</v>
      </c>
      <c r="B1408" s="15" t="s">
        <v>49</v>
      </c>
      <c r="C1408" s="15" t="s">
        <v>162</v>
      </c>
      <c r="D1408" s="15" t="s">
        <v>35</v>
      </c>
      <c r="E1408" s="15" t="s">
        <v>35</v>
      </c>
      <c r="F1408" s="15" t="s">
        <v>833</v>
      </c>
      <c r="G1408" s="15" t="s">
        <v>36</v>
      </c>
      <c r="H1408" s="15" t="s">
        <v>8734</v>
      </c>
      <c r="I1408" s="15" t="s">
        <v>8735</v>
      </c>
      <c r="J1408" s="15" t="s">
        <v>8736</v>
      </c>
      <c r="K1408" s="15" t="s">
        <v>40</v>
      </c>
      <c r="L1408" s="15" t="s">
        <v>41</v>
      </c>
      <c r="M1408" s="15" t="s">
        <v>55</v>
      </c>
      <c r="N1408" s="15" t="s">
        <v>56</v>
      </c>
      <c r="O1408" s="15" t="s">
        <v>44</v>
      </c>
      <c r="P1408" s="15" t="s">
        <v>8737</v>
      </c>
      <c r="Q1408" s="15" t="s">
        <v>8738</v>
      </c>
      <c r="R1408" s="16">
        <v>44329</v>
      </c>
      <c r="S1408" s="17" t="s">
        <v>8636</v>
      </c>
      <c r="T1408" s="20">
        <f>HYPERLINK("https://vnm.spiral.com.vn//uploaded/20210513/731ff393-6172-43ef-bdec-46657d345ee7.JPEG","13:40:26")</f>
      </c>
      <c r="U1408" s="18"/>
      <c r="V1408" s="18" t="s">
        <v>35</v>
      </c>
      <c r="W1408" s="15" t="s">
        <v>8739</v>
      </c>
      <c r="X1408" s="15" t="s">
        <v>35</v>
      </c>
      <c r="Y1408" s="15" t="s">
        <v>35</v>
      </c>
      <c r="Z1408" s="19">
        <v>0</v>
      </c>
      <c r="AA1408" s="15">
        <v>0</v>
      </c>
      <c r="AB1408" s="15" t="s">
        <v>35</v>
      </c>
    </row>
    <row r="1409">
      <c r="A1409" s="15">
        <v>1405</v>
      </c>
      <c r="B1409" s="15" t="s">
        <v>61</v>
      </c>
      <c r="C1409" s="15" t="s">
        <v>62</v>
      </c>
      <c r="D1409" s="15" t="s">
        <v>135</v>
      </c>
      <c r="E1409" s="15" t="s">
        <v>116</v>
      </c>
      <c r="F1409" s="15" t="s">
        <v>35</v>
      </c>
      <c r="G1409" s="15" t="s">
        <v>74</v>
      </c>
      <c r="H1409" s="15" t="s">
        <v>8740</v>
      </c>
      <c r="I1409" s="15" t="s">
        <v>8741</v>
      </c>
      <c r="J1409" s="15" t="s">
        <v>8742</v>
      </c>
      <c r="K1409" s="15" t="s">
        <v>1586</v>
      </c>
      <c r="L1409" s="15" t="s">
        <v>1587</v>
      </c>
      <c r="M1409" s="15" t="s">
        <v>1588</v>
      </c>
      <c r="N1409" s="15" t="s">
        <v>1589</v>
      </c>
      <c r="O1409" s="15" t="s">
        <v>82</v>
      </c>
      <c r="P1409" s="15" t="s">
        <v>8743</v>
      </c>
      <c r="Q1409" s="15" t="s">
        <v>8744</v>
      </c>
      <c r="R1409" s="16">
        <v>44329</v>
      </c>
      <c r="S1409" s="17" t="s">
        <v>70</v>
      </c>
      <c r="T1409" s="20">
        <f>HYPERLINK("https://vnm.spiral.com.vn//uploaded/20210513/3316B277-BCDD-4CD3-A46C-F9C74C0D001E.jpg","12:31:12")</f>
      </c>
      <c r="U1409" s="20">
        <f>HYPERLINK("https://vnm.spiral.com.vn//uploaded/20210513/3E39C333-EA36-4AC7-B2EC-E24E873A80AA.jpg","13:38:38")</f>
      </c>
      <c r="V1409" s="18">
        <v>0.046828703703703706</v>
      </c>
      <c r="W1409" s="15" t="s">
        <v>8745</v>
      </c>
      <c r="X1409" s="15" t="s">
        <v>8746</v>
      </c>
      <c r="Y1409" s="15" t="s">
        <v>35</v>
      </c>
      <c r="Z1409" s="19">
        <v>0</v>
      </c>
      <c r="AA1409" s="15">
        <v>0</v>
      </c>
      <c r="AB1409" s="15" t="s">
        <v>35</v>
      </c>
    </row>
    <row r="1410">
      <c r="A1410" s="15">
        <v>1406</v>
      </c>
      <c r="B1410" s="15" t="s">
        <v>61</v>
      </c>
      <c r="C1410" s="15" t="s">
        <v>303</v>
      </c>
      <c r="D1410" s="15" t="s">
        <v>357</v>
      </c>
      <c r="E1410" s="15" t="s">
        <v>90</v>
      </c>
      <c r="F1410" s="15" t="s">
        <v>35</v>
      </c>
      <c r="G1410" s="15" t="s">
        <v>74</v>
      </c>
      <c r="H1410" s="15" t="s">
        <v>8747</v>
      </c>
      <c r="I1410" s="15" t="s">
        <v>8748</v>
      </c>
      <c r="J1410" s="15" t="s">
        <v>8749</v>
      </c>
      <c r="K1410" s="15" t="s">
        <v>309</v>
      </c>
      <c r="L1410" s="15" t="s">
        <v>310</v>
      </c>
      <c r="M1410" s="15" t="s">
        <v>311</v>
      </c>
      <c r="N1410" s="15" t="s">
        <v>312</v>
      </c>
      <c r="O1410" s="15" t="s">
        <v>82</v>
      </c>
      <c r="P1410" s="15" t="s">
        <v>8750</v>
      </c>
      <c r="Q1410" s="15" t="s">
        <v>8751</v>
      </c>
      <c r="R1410" s="16">
        <v>44329</v>
      </c>
      <c r="S1410" s="17" t="s">
        <v>70</v>
      </c>
      <c r="T1410" s="20">
        <f>HYPERLINK("https://vnm.spiral.com.vn//uploaded/20210513/7C95D881-9F65-46F9-AEC0-8C988177AE80.jpg","13:38:26")</f>
      </c>
      <c r="U1410" s="18"/>
      <c r="V1410" s="18" t="s">
        <v>35</v>
      </c>
      <c r="W1410" s="15" t="s">
        <v>8752</v>
      </c>
      <c r="X1410" s="15" t="s">
        <v>35</v>
      </c>
      <c r="Y1410" s="15" t="s">
        <v>35</v>
      </c>
      <c r="Z1410" s="19">
        <v>0</v>
      </c>
      <c r="AA1410" s="15">
        <v>0</v>
      </c>
      <c r="AB1410" s="15" t="s">
        <v>35</v>
      </c>
    </row>
    <row r="1411">
      <c r="A1411" s="15">
        <v>1407</v>
      </c>
      <c r="B1411" s="15" t="s">
        <v>87</v>
      </c>
      <c r="C1411" s="15" t="s">
        <v>88</v>
      </c>
      <c r="D1411" s="15" t="s">
        <v>135</v>
      </c>
      <c r="E1411" s="15" t="s">
        <v>116</v>
      </c>
      <c r="F1411" s="15" t="s">
        <v>35</v>
      </c>
      <c r="G1411" s="15" t="s">
        <v>74</v>
      </c>
      <c r="H1411" s="15" t="s">
        <v>8753</v>
      </c>
      <c r="I1411" s="15" t="s">
        <v>8754</v>
      </c>
      <c r="J1411" s="15" t="s">
        <v>8755</v>
      </c>
      <c r="K1411" s="15" t="s">
        <v>390</v>
      </c>
      <c r="L1411" s="15" t="s">
        <v>391</v>
      </c>
      <c r="M1411" s="15" t="s">
        <v>392</v>
      </c>
      <c r="N1411" s="15" t="s">
        <v>393</v>
      </c>
      <c r="O1411" s="15" t="s">
        <v>82</v>
      </c>
      <c r="P1411" s="15" t="s">
        <v>5125</v>
      </c>
      <c r="Q1411" s="15" t="s">
        <v>5126</v>
      </c>
      <c r="R1411" s="16">
        <v>44329</v>
      </c>
      <c r="S1411" s="17" t="s">
        <v>70</v>
      </c>
      <c r="T1411" s="20">
        <f>HYPERLINK("https://vnm.spiral.com.vn//uploaded/20210513/dcb0b8c0-dbad-421b-adbd-a71f9391dc76.JPEG","12:49:23")</f>
      </c>
      <c r="U1411" s="20">
        <f>HYPERLINK("https://vnm.spiral.com.vn//uploaded/20210513/70f1d0a1-5c1f-4936-9f2d-a4251adabe6c.JPEG","13:38:16")</f>
      </c>
      <c r="V1411" s="18">
        <v>0.03394675925925926</v>
      </c>
      <c r="W1411" s="15" t="s">
        <v>8756</v>
      </c>
      <c r="X1411" s="15" t="s">
        <v>8757</v>
      </c>
      <c r="Y1411" s="15" t="s">
        <v>35</v>
      </c>
      <c r="Z1411" s="19">
        <v>0</v>
      </c>
      <c r="AA1411" s="15">
        <v>0</v>
      </c>
      <c r="AB1411" s="15" t="s">
        <v>35</v>
      </c>
    </row>
    <row r="1412">
      <c r="A1412" s="15">
        <v>1408</v>
      </c>
      <c r="B1412" s="15" t="s">
        <v>87</v>
      </c>
      <c r="C1412" s="15" t="s">
        <v>88</v>
      </c>
      <c r="D1412" s="15" t="s">
        <v>432</v>
      </c>
      <c r="E1412" s="15" t="s">
        <v>116</v>
      </c>
      <c r="F1412" s="15" t="s">
        <v>35</v>
      </c>
      <c r="G1412" s="15" t="s">
        <v>74</v>
      </c>
      <c r="H1412" s="15" t="s">
        <v>8758</v>
      </c>
      <c r="I1412" s="15" t="s">
        <v>8759</v>
      </c>
      <c r="J1412" s="15" t="s">
        <v>8760</v>
      </c>
      <c r="K1412" s="15" t="s">
        <v>625</v>
      </c>
      <c r="L1412" s="15" t="s">
        <v>626</v>
      </c>
      <c r="M1412" s="15" t="s">
        <v>1022</v>
      </c>
      <c r="N1412" s="15" t="s">
        <v>1023</v>
      </c>
      <c r="O1412" s="15" t="s">
        <v>82</v>
      </c>
      <c r="P1412" s="15" t="s">
        <v>1024</v>
      </c>
      <c r="Q1412" s="15" t="s">
        <v>1025</v>
      </c>
      <c r="R1412" s="16">
        <v>44329</v>
      </c>
      <c r="S1412" s="17" t="s">
        <v>70</v>
      </c>
      <c r="T1412" s="20">
        <f>HYPERLINK("https://vnm.spiral.com.vn//uploaded/20210513/EAC9CFB1-E1F0-4014-8181-868402FC9DE3.jpg","12:07:31")</f>
      </c>
      <c r="U1412" s="20">
        <f>HYPERLINK("https://vnm.spiral.com.vn//uploaded/20210513/7579ADD1-0B21-48C7-9902-33DF11531C11.jpg","13:36:36")</f>
      </c>
      <c r="V1412" s="18">
        <v>0.061863425925925926</v>
      </c>
      <c r="W1412" s="15" t="s">
        <v>8761</v>
      </c>
      <c r="X1412" s="15" t="s">
        <v>8762</v>
      </c>
      <c r="Y1412" s="15" t="s">
        <v>35</v>
      </c>
      <c r="Z1412" s="19">
        <v>0</v>
      </c>
      <c r="AA1412" s="15">
        <v>0</v>
      </c>
      <c r="AB1412" s="15" t="s">
        <v>35</v>
      </c>
    </row>
    <row r="1413">
      <c r="A1413" s="15">
        <v>1409</v>
      </c>
      <c r="B1413" s="15" t="s">
        <v>246</v>
      </c>
      <c r="C1413" s="15" t="s">
        <v>864</v>
      </c>
      <c r="D1413" s="15" t="s">
        <v>35</v>
      </c>
      <c r="E1413" s="15" t="s">
        <v>35</v>
      </c>
      <c r="F1413" s="15" t="s">
        <v>1676</v>
      </c>
      <c r="G1413" s="15" t="s">
        <v>36</v>
      </c>
      <c r="H1413" s="15" t="s">
        <v>8763</v>
      </c>
      <c r="I1413" s="15" t="s">
        <v>2408</v>
      </c>
      <c r="J1413" s="15" t="s">
        <v>8764</v>
      </c>
      <c r="K1413" s="15" t="s">
        <v>40</v>
      </c>
      <c r="L1413" s="15" t="s">
        <v>41</v>
      </c>
      <c r="M1413" s="15" t="s">
        <v>252</v>
      </c>
      <c r="N1413" s="15" t="s">
        <v>253</v>
      </c>
      <c r="O1413" s="15" t="s">
        <v>44</v>
      </c>
      <c r="P1413" s="15" t="s">
        <v>8765</v>
      </c>
      <c r="Q1413" s="15" t="s">
        <v>3425</v>
      </c>
      <c r="R1413" s="16">
        <v>44329</v>
      </c>
      <c r="S1413" s="17" t="s">
        <v>569</v>
      </c>
      <c r="T1413" s="20">
        <f>HYPERLINK("https://vnm.spiral.com.vn//uploaded/20210513/f73c0889-5d83-4a12-864c-9e4758b0a384.JPEG","13:36:19")</f>
      </c>
      <c r="U1413" s="18"/>
      <c r="V1413" s="18" t="s">
        <v>35</v>
      </c>
      <c r="W1413" s="15" t="s">
        <v>8766</v>
      </c>
      <c r="X1413" s="15" t="s">
        <v>35</v>
      </c>
      <c r="Y1413" s="15" t="s">
        <v>35</v>
      </c>
      <c r="Z1413" s="19">
        <v>0</v>
      </c>
      <c r="AA1413" s="15">
        <v>0</v>
      </c>
      <c r="AB1413" s="15" t="s">
        <v>35</v>
      </c>
    </row>
    <row r="1414">
      <c r="A1414" s="15">
        <v>1410</v>
      </c>
      <c r="B1414" s="15" t="s">
        <v>87</v>
      </c>
      <c r="C1414" s="15" t="s">
        <v>88</v>
      </c>
      <c r="D1414" s="15" t="s">
        <v>135</v>
      </c>
      <c r="E1414" s="15" t="s">
        <v>116</v>
      </c>
      <c r="F1414" s="15" t="s">
        <v>35</v>
      </c>
      <c r="G1414" s="15" t="s">
        <v>74</v>
      </c>
      <c r="H1414" s="15" t="s">
        <v>8767</v>
      </c>
      <c r="I1414" s="15" t="s">
        <v>8768</v>
      </c>
      <c r="J1414" s="15" t="s">
        <v>8769</v>
      </c>
      <c r="K1414" s="15" t="s">
        <v>139</v>
      </c>
      <c r="L1414" s="15" t="s">
        <v>140</v>
      </c>
      <c r="M1414" s="15" t="s">
        <v>141</v>
      </c>
      <c r="N1414" s="15" t="s">
        <v>142</v>
      </c>
      <c r="O1414" s="15" t="s">
        <v>82</v>
      </c>
      <c r="P1414" s="15" t="s">
        <v>143</v>
      </c>
      <c r="Q1414" s="15" t="s">
        <v>144</v>
      </c>
      <c r="R1414" s="16">
        <v>44329</v>
      </c>
      <c r="S1414" s="17" t="s">
        <v>70</v>
      </c>
      <c r="T1414" s="20">
        <f>HYPERLINK("https://vnm.spiral.com.vn//uploaded/20210513/33aea74c-ff16-42bd-b1e0-ae3c5c243dd2.JPEG","11:45:10")</f>
      </c>
      <c r="U1414" s="20">
        <f>HYPERLINK("https://vnm.spiral.com.vn//uploaded/20210513/f9c84d97-1332-47ab-a146-5e73f5595858.JPEG","13:36:17")</f>
      </c>
      <c r="V1414" s="18">
        <v>0.07716435185185185</v>
      </c>
      <c r="W1414" s="15" t="s">
        <v>8770</v>
      </c>
      <c r="X1414" s="15" t="s">
        <v>8771</v>
      </c>
      <c r="Y1414" s="15" t="s">
        <v>35</v>
      </c>
      <c r="Z1414" s="19">
        <v>0</v>
      </c>
      <c r="AA1414" s="15">
        <v>0</v>
      </c>
      <c r="AB1414" s="15" t="s">
        <v>35</v>
      </c>
    </row>
    <row r="1415">
      <c r="A1415" s="15">
        <v>1411</v>
      </c>
      <c r="B1415" s="15" t="s">
        <v>87</v>
      </c>
      <c r="C1415" s="15" t="s">
        <v>88</v>
      </c>
      <c r="D1415" s="15" t="s">
        <v>135</v>
      </c>
      <c r="E1415" s="15" t="s">
        <v>116</v>
      </c>
      <c r="F1415" s="15" t="s">
        <v>35</v>
      </c>
      <c r="G1415" s="15" t="s">
        <v>74</v>
      </c>
      <c r="H1415" s="15" t="s">
        <v>8772</v>
      </c>
      <c r="I1415" s="15" t="s">
        <v>8773</v>
      </c>
      <c r="J1415" s="15" t="s">
        <v>8774</v>
      </c>
      <c r="K1415" s="15" t="s">
        <v>390</v>
      </c>
      <c r="L1415" s="15" t="s">
        <v>391</v>
      </c>
      <c r="M1415" s="15" t="s">
        <v>392</v>
      </c>
      <c r="N1415" s="15" t="s">
        <v>393</v>
      </c>
      <c r="O1415" s="15" t="s">
        <v>82</v>
      </c>
      <c r="P1415" s="15" t="s">
        <v>1497</v>
      </c>
      <c r="Q1415" s="15" t="s">
        <v>1498</v>
      </c>
      <c r="R1415" s="16">
        <v>44329</v>
      </c>
      <c r="S1415" s="17" t="s">
        <v>70</v>
      </c>
      <c r="T1415" s="20">
        <f>HYPERLINK("https://vnm.spiral.com.vn//uploaded/20210513/02fba452-3d5a-4150-b629-7ba3609d6485.JPEG","13:07:15")</f>
      </c>
      <c r="U1415" s="20">
        <f>HYPERLINK("https://vnm.spiral.com.vn//uploaded/20210513/c9451412-29f8-474c-839c-904e813e1204.JPEG","13:35:51")</f>
      </c>
      <c r="V1415" s="18">
        <v>0.01986111111111111</v>
      </c>
      <c r="W1415" s="15" t="s">
        <v>8775</v>
      </c>
      <c r="X1415" s="15" t="s">
        <v>8776</v>
      </c>
      <c r="Y1415" s="15" t="s">
        <v>35</v>
      </c>
      <c r="Z1415" s="19">
        <v>0</v>
      </c>
      <c r="AA1415" s="15">
        <v>0</v>
      </c>
      <c r="AB1415" s="15" t="s">
        <v>35</v>
      </c>
    </row>
    <row r="1416">
      <c r="A1416" s="15">
        <v>1412</v>
      </c>
      <c r="B1416" s="15" t="s">
        <v>343</v>
      </c>
      <c r="C1416" s="15" t="s">
        <v>3117</v>
      </c>
      <c r="D1416" s="15" t="s">
        <v>35</v>
      </c>
      <c r="E1416" s="15" t="s">
        <v>35</v>
      </c>
      <c r="F1416" s="15" t="s">
        <v>35</v>
      </c>
      <c r="G1416" s="15" t="s">
        <v>36</v>
      </c>
      <c r="H1416" s="15" t="s">
        <v>8777</v>
      </c>
      <c r="I1416" s="15" t="s">
        <v>8778</v>
      </c>
      <c r="J1416" s="15" t="s">
        <v>8779</v>
      </c>
      <c r="K1416" s="15" t="s">
        <v>40</v>
      </c>
      <c r="L1416" s="15" t="s">
        <v>41</v>
      </c>
      <c r="M1416" s="15" t="s">
        <v>595</v>
      </c>
      <c r="N1416" s="15" t="s">
        <v>596</v>
      </c>
      <c r="O1416" s="15" t="s">
        <v>44</v>
      </c>
      <c r="P1416" s="15" t="s">
        <v>8780</v>
      </c>
      <c r="Q1416" s="15" t="s">
        <v>8781</v>
      </c>
      <c r="R1416" s="16">
        <v>44329</v>
      </c>
      <c r="S1416" s="17" t="s">
        <v>5058</v>
      </c>
      <c r="T1416" s="20">
        <f>HYPERLINK("https://vnm.spiral.com.vn//uploaded/20210513/A7AC1FA2-777E-4FDD-BB0D-0349EE81FC67.jpg","13:33:57")</f>
      </c>
      <c r="U1416" s="18"/>
      <c r="V1416" s="18" t="s">
        <v>35</v>
      </c>
      <c r="W1416" s="15" t="s">
        <v>8782</v>
      </c>
      <c r="X1416" s="15" t="s">
        <v>35</v>
      </c>
      <c r="Y1416" s="15" t="s">
        <v>35</v>
      </c>
      <c r="Z1416" s="19">
        <v>0</v>
      </c>
      <c r="AA1416" s="15">
        <v>0</v>
      </c>
      <c r="AB1416" s="15" t="s">
        <v>35</v>
      </c>
    </row>
    <row r="1417">
      <c r="A1417" s="15">
        <v>1413</v>
      </c>
      <c r="B1417" s="15" t="s">
        <v>61</v>
      </c>
      <c r="C1417" s="15" t="s">
        <v>1730</v>
      </c>
      <c r="D1417" s="15" t="s">
        <v>35</v>
      </c>
      <c r="E1417" s="15" t="s">
        <v>35</v>
      </c>
      <c r="F1417" s="15" t="s">
        <v>35</v>
      </c>
      <c r="G1417" s="15" t="s">
        <v>36</v>
      </c>
      <c r="H1417" s="15" t="s">
        <v>8728</v>
      </c>
      <c r="I1417" s="15" t="s">
        <v>8729</v>
      </c>
      <c r="J1417" s="15" t="s">
        <v>8730</v>
      </c>
      <c r="K1417" s="15" t="s">
        <v>40</v>
      </c>
      <c r="L1417" s="15" t="s">
        <v>41</v>
      </c>
      <c r="M1417" s="15" t="s">
        <v>205</v>
      </c>
      <c r="N1417" s="15" t="s">
        <v>206</v>
      </c>
      <c r="O1417" s="15" t="s">
        <v>44</v>
      </c>
      <c r="P1417" s="15" t="s">
        <v>8731</v>
      </c>
      <c r="Q1417" s="15" t="s">
        <v>559</v>
      </c>
      <c r="R1417" s="16">
        <v>44329</v>
      </c>
      <c r="S1417" s="17" t="s">
        <v>8783</v>
      </c>
      <c r="T1417" s="20">
        <f>HYPERLINK("https://vnm.spiral.com.vn//uploaded/20210513/4F76C666-41B2-4E8F-9FB6-36F32D699E21.jpg","08:42:41")</f>
      </c>
      <c r="U1417" s="20">
        <f>HYPERLINK("https://vnm.spiral.com.vn//uploaded/20210513/788FF30C-5F4F-4719-9CDB-15A0C34BB76E.jpg","13:33:54")</f>
      </c>
      <c r="V1417" s="18">
        <v>0.2022337962962963</v>
      </c>
      <c r="W1417" s="15" t="s">
        <v>8784</v>
      </c>
      <c r="X1417" s="15" t="s">
        <v>8785</v>
      </c>
      <c r="Y1417" s="15" t="s">
        <v>35</v>
      </c>
      <c r="Z1417" s="19">
        <v>0</v>
      </c>
      <c r="AA1417" s="15">
        <v>0</v>
      </c>
      <c r="AB1417" s="15" t="s">
        <v>35</v>
      </c>
    </row>
    <row r="1418">
      <c r="A1418" s="15">
        <v>1414</v>
      </c>
      <c r="B1418" s="15" t="s">
        <v>87</v>
      </c>
      <c r="C1418" s="15" t="s">
        <v>88</v>
      </c>
      <c r="D1418" s="15" t="s">
        <v>89</v>
      </c>
      <c r="E1418" s="15" t="s">
        <v>90</v>
      </c>
      <c r="F1418" s="15" t="s">
        <v>35</v>
      </c>
      <c r="G1418" s="15" t="s">
        <v>74</v>
      </c>
      <c r="H1418" s="15" t="s">
        <v>8786</v>
      </c>
      <c r="I1418" s="15" t="s">
        <v>8787</v>
      </c>
      <c r="J1418" s="15" t="s">
        <v>8788</v>
      </c>
      <c r="K1418" s="15" t="s">
        <v>94</v>
      </c>
      <c r="L1418" s="15" t="s">
        <v>95</v>
      </c>
      <c r="M1418" s="15" t="s">
        <v>96</v>
      </c>
      <c r="N1418" s="15" t="s">
        <v>97</v>
      </c>
      <c r="O1418" s="15" t="s">
        <v>98</v>
      </c>
      <c r="P1418" s="15" t="s">
        <v>706</v>
      </c>
      <c r="Q1418" s="15" t="s">
        <v>707</v>
      </c>
      <c r="R1418" s="16">
        <v>44329</v>
      </c>
      <c r="S1418" s="17" t="s">
        <v>70</v>
      </c>
      <c r="T1418" s="20">
        <f>HYPERLINK("https://vnm.spiral.com.vn//uploaded/20210513/a4a06399-548e-4cec-a905-f3dfc9de6336.JPEG","08:02:46")</f>
      </c>
      <c r="U1418" s="20">
        <f>HYPERLINK("https://vnm.spiral.com.vn//uploaded/20210513/b085ef5a-6700-41be-bf35-bf99da1f1efa.JPEG","13:33:41")</f>
      </c>
      <c r="V1418" s="18">
        <v>0.22980324074074074</v>
      </c>
      <c r="W1418" s="15" t="s">
        <v>8789</v>
      </c>
      <c r="X1418" s="15" t="s">
        <v>8790</v>
      </c>
      <c r="Y1418" s="15" t="s">
        <v>35</v>
      </c>
      <c r="Z1418" s="19">
        <v>0</v>
      </c>
      <c r="AA1418" s="15">
        <v>0</v>
      </c>
      <c r="AB1418" s="15" t="s">
        <v>35</v>
      </c>
    </row>
    <row r="1419">
      <c r="A1419" s="15">
        <v>1415</v>
      </c>
      <c r="B1419" s="15" t="s">
        <v>246</v>
      </c>
      <c r="C1419" s="15" t="s">
        <v>5532</v>
      </c>
      <c r="D1419" s="15" t="s">
        <v>35</v>
      </c>
      <c r="E1419" s="15" t="s">
        <v>35</v>
      </c>
      <c r="F1419" s="15" t="s">
        <v>8791</v>
      </c>
      <c r="G1419" s="15" t="s">
        <v>36</v>
      </c>
      <c r="H1419" s="15" t="s">
        <v>8792</v>
      </c>
      <c r="I1419" s="15" t="s">
        <v>8793</v>
      </c>
      <c r="J1419" s="15" t="s">
        <v>8794</v>
      </c>
      <c r="K1419" s="15" t="s">
        <v>40</v>
      </c>
      <c r="L1419" s="15" t="s">
        <v>41</v>
      </c>
      <c r="M1419" s="15" t="s">
        <v>252</v>
      </c>
      <c r="N1419" s="15" t="s">
        <v>253</v>
      </c>
      <c r="O1419" s="15" t="s">
        <v>44</v>
      </c>
      <c r="P1419" s="15" t="s">
        <v>8795</v>
      </c>
      <c r="Q1419" s="15" t="s">
        <v>8796</v>
      </c>
      <c r="R1419" s="16">
        <v>44329</v>
      </c>
      <c r="S1419" s="17" t="s">
        <v>5058</v>
      </c>
      <c r="T1419" s="20">
        <f>HYPERLINK("https://vnm.spiral.com.vn//uploaded/20210513/c35770fa-4338-44a6-8454-5d6be6f25845.JPEG","13:33:32")</f>
      </c>
      <c r="U1419" s="18"/>
      <c r="V1419" s="18" t="s">
        <v>35</v>
      </c>
      <c r="W1419" s="15" t="s">
        <v>8797</v>
      </c>
      <c r="X1419" s="15" t="s">
        <v>35</v>
      </c>
      <c r="Y1419" s="15" t="s">
        <v>35</v>
      </c>
      <c r="Z1419" s="19">
        <v>0</v>
      </c>
      <c r="AA1419" s="15">
        <v>0</v>
      </c>
      <c r="AB1419" s="15" t="s">
        <v>35</v>
      </c>
    </row>
    <row r="1420">
      <c r="A1420" s="15">
        <v>1416</v>
      </c>
      <c r="B1420" s="15" t="s">
        <v>343</v>
      </c>
      <c r="C1420" s="15" t="s">
        <v>344</v>
      </c>
      <c r="D1420" s="15" t="s">
        <v>35</v>
      </c>
      <c r="E1420" s="15" t="s">
        <v>35</v>
      </c>
      <c r="F1420" s="15" t="s">
        <v>35</v>
      </c>
      <c r="G1420" s="15" t="s">
        <v>74</v>
      </c>
      <c r="H1420" s="15" t="s">
        <v>894</v>
      </c>
      <c r="I1420" s="15" t="s">
        <v>895</v>
      </c>
      <c r="J1420" s="15" t="s">
        <v>896</v>
      </c>
      <c r="K1420" s="15" t="s">
        <v>897</v>
      </c>
      <c r="L1420" s="15" t="s">
        <v>898</v>
      </c>
      <c r="M1420" s="15" t="s">
        <v>899</v>
      </c>
      <c r="N1420" s="15" t="s">
        <v>900</v>
      </c>
      <c r="O1420" s="15" t="s">
        <v>156</v>
      </c>
      <c r="P1420" s="15" t="s">
        <v>8798</v>
      </c>
      <c r="Q1420" s="15" t="s">
        <v>8799</v>
      </c>
      <c r="R1420" s="16">
        <v>44329</v>
      </c>
      <c r="S1420" s="17" t="s">
        <v>8687</v>
      </c>
      <c r="T1420" s="20">
        <f>HYPERLINK("https://vnm.spiral.com.vn//uploaded/20210513/e77fb9ff-474b-4e08-83f0-b5ff9e1e89db.JPEG","13:31:08")</f>
      </c>
      <c r="U1420" s="18"/>
      <c r="V1420" s="18" t="s">
        <v>35</v>
      </c>
      <c r="W1420" s="15" t="s">
        <v>8800</v>
      </c>
      <c r="X1420" s="15" t="s">
        <v>35</v>
      </c>
      <c r="Y1420" s="15" t="s">
        <v>35</v>
      </c>
      <c r="Z1420" s="19">
        <v>0</v>
      </c>
      <c r="AA1420" s="15">
        <v>0</v>
      </c>
      <c r="AB1420" s="15" t="s">
        <v>35</v>
      </c>
    </row>
    <row r="1421">
      <c r="A1421" s="15">
        <v>1417</v>
      </c>
      <c r="B1421" s="15" t="s">
        <v>343</v>
      </c>
      <c r="C1421" s="15" t="s">
        <v>344</v>
      </c>
      <c r="D1421" s="15" t="s">
        <v>536</v>
      </c>
      <c r="E1421" s="15" t="s">
        <v>116</v>
      </c>
      <c r="F1421" s="15" t="s">
        <v>35</v>
      </c>
      <c r="G1421" s="15" t="s">
        <v>74</v>
      </c>
      <c r="H1421" s="15" t="s">
        <v>8801</v>
      </c>
      <c r="I1421" s="15" t="s">
        <v>8802</v>
      </c>
      <c r="J1421" s="15" t="s">
        <v>8803</v>
      </c>
      <c r="K1421" s="15" t="s">
        <v>997</v>
      </c>
      <c r="L1421" s="15" t="s">
        <v>998</v>
      </c>
      <c r="M1421" s="15" t="s">
        <v>1325</v>
      </c>
      <c r="N1421" s="15" t="s">
        <v>1326</v>
      </c>
      <c r="O1421" s="15" t="s">
        <v>82</v>
      </c>
      <c r="P1421" s="15" t="s">
        <v>2576</v>
      </c>
      <c r="Q1421" s="15" t="s">
        <v>2577</v>
      </c>
      <c r="R1421" s="16">
        <v>44329</v>
      </c>
      <c r="S1421" s="17" t="s">
        <v>70</v>
      </c>
      <c r="T1421" s="20">
        <f>HYPERLINK("https://vnm.spiral.com.vn//uploaded/20210513/c1c1d47b-b47f-474d-a268-452100bdfacd.JPEG","11:54:56")</f>
      </c>
      <c r="U1421" s="20">
        <f>HYPERLINK("https://vnm.spiral.com.vn//uploaded/20210513/5890a14c-8354-47e4-8538-2547e706ec8e.JPEG","13:30:48")</f>
      </c>
      <c r="V1421" s="18">
        <v>0.06657407407407408</v>
      </c>
      <c r="W1421" s="15" t="s">
        <v>8804</v>
      </c>
      <c r="X1421" s="15" t="s">
        <v>8805</v>
      </c>
      <c r="Y1421" s="15" t="s">
        <v>35</v>
      </c>
      <c r="Z1421" s="19">
        <v>0</v>
      </c>
      <c r="AA1421" s="15">
        <v>0</v>
      </c>
      <c r="AB1421" s="15" t="s">
        <v>35</v>
      </c>
    </row>
    <row r="1422">
      <c r="A1422" s="15">
        <v>1418</v>
      </c>
      <c r="B1422" s="15" t="s">
        <v>343</v>
      </c>
      <c r="C1422" s="15" t="s">
        <v>344</v>
      </c>
      <c r="D1422" s="15" t="s">
        <v>1897</v>
      </c>
      <c r="E1422" s="15" t="s">
        <v>90</v>
      </c>
      <c r="F1422" s="15" t="s">
        <v>35</v>
      </c>
      <c r="G1422" s="15" t="s">
        <v>74</v>
      </c>
      <c r="H1422" s="15" t="s">
        <v>3110</v>
      </c>
      <c r="I1422" s="15" t="s">
        <v>3111</v>
      </c>
      <c r="J1422" s="15" t="s">
        <v>3112</v>
      </c>
      <c r="K1422" s="15" t="s">
        <v>349</v>
      </c>
      <c r="L1422" s="15" t="s">
        <v>350</v>
      </c>
      <c r="M1422" s="15" t="s">
        <v>1524</v>
      </c>
      <c r="N1422" s="15" t="s">
        <v>429</v>
      </c>
      <c r="O1422" s="15" t="s">
        <v>156</v>
      </c>
      <c r="P1422" s="15" t="s">
        <v>8806</v>
      </c>
      <c r="Q1422" s="15" t="s">
        <v>8807</v>
      </c>
      <c r="R1422" s="16">
        <v>44329</v>
      </c>
      <c r="S1422" s="17" t="s">
        <v>8687</v>
      </c>
      <c r="T1422" s="20">
        <f>HYPERLINK("https://vnm.spiral.com.vn//uploaded/20210513/dd183485-5748-446f-a6e9-7c91f560ad13.JPEG","13:30:21")</f>
      </c>
      <c r="U1422" s="18"/>
      <c r="V1422" s="18" t="s">
        <v>35</v>
      </c>
      <c r="W1422" s="15" t="s">
        <v>8808</v>
      </c>
      <c r="X1422" s="15" t="s">
        <v>35</v>
      </c>
      <c r="Y1422" s="15" t="s">
        <v>35</v>
      </c>
      <c r="Z1422" s="19">
        <v>0</v>
      </c>
      <c r="AA1422" s="15">
        <v>0</v>
      </c>
      <c r="AB1422" s="15" t="s">
        <v>35</v>
      </c>
    </row>
    <row r="1423">
      <c r="A1423" s="15">
        <v>1419</v>
      </c>
      <c r="B1423" s="15" t="s">
        <v>87</v>
      </c>
      <c r="C1423" s="15" t="s">
        <v>88</v>
      </c>
      <c r="D1423" s="15" t="s">
        <v>35</v>
      </c>
      <c r="E1423" s="15" t="s">
        <v>35</v>
      </c>
      <c r="F1423" s="15" t="s">
        <v>35</v>
      </c>
      <c r="G1423" s="15" t="s">
        <v>74</v>
      </c>
      <c r="H1423" s="15" t="s">
        <v>8809</v>
      </c>
      <c r="I1423" s="15" t="s">
        <v>8810</v>
      </c>
      <c r="J1423" s="15" t="s">
        <v>8811</v>
      </c>
      <c r="K1423" s="15" t="s">
        <v>888</v>
      </c>
      <c r="L1423" s="15" t="s">
        <v>889</v>
      </c>
      <c r="M1423" s="15" t="s">
        <v>890</v>
      </c>
      <c r="N1423" s="15" t="s">
        <v>891</v>
      </c>
      <c r="O1423" s="15" t="s">
        <v>82</v>
      </c>
      <c r="P1423" s="15" t="s">
        <v>2094</v>
      </c>
      <c r="Q1423" s="15" t="s">
        <v>2095</v>
      </c>
      <c r="R1423" s="16">
        <v>44329</v>
      </c>
      <c r="S1423" s="17" t="s">
        <v>70</v>
      </c>
      <c r="T1423" s="20">
        <f>HYPERLINK("https://vnm.spiral.com.vn//uploaded/20210513/9E15EA4F-C0D0-4114-B29C-A0939226BF62.jpg","13:05:48")</f>
      </c>
      <c r="U1423" s="20">
        <f>HYPERLINK("https://vnm.spiral.com.vn//uploaded/20210513/C541654B-F615-49FE-8CE0-1BC47801AF63.jpg","13:30:06")</f>
      </c>
      <c r="V1423" s="18">
        <v>0.016875</v>
      </c>
      <c r="W1423" s="15" t="s">
        <v>8812</v>
      </c>
      <c r="X1423" s="15" t="s">
        <v>8813</v>
      </c>
      <c r="Y1423" s="15" t="s">
        <v>35</v>
      </c>
      <c r="Z1423" s="19">
        <v>0</v>
      </c>
      <c r="AA1423" s="15">
        <v>0</v>
      </c>
      <c r="AB1423" s="15" t="s">
        <v>35</v>
      </c>
    </row>
    <row r="1424">
      <c r="A1424" s="15">
        <v>1420</v>
      </c>
      <c r="B1424" s="15" t="s">
        <v>103</v>
      </c>
      <c r="C1424" s="15" t="s">
        <v>1078</v>
      </c>
      <c r="D1424" s="15" t="s">
        <v>89</v>
      </c>
      <c r="E1424" s="15" t="s">
        <v>90</v>
      </c>
      <c r="F1424" s="15" t="s">
        <v>35</v>
      </c>
      <c r="G1424" s="15" t="s">
        <v>74</v>
      </c>
      <c r="H1424" s="15" t="s">
        <v>1787</v>
      </c>
      <c r="I1424" s="15" t="s">
        <v>1788</v>
      </c>
      <c r="J1424" s="15" t="s">
        <v>1789</v>
      </c>
      <c r="K1424" s="15" t="s">
        <v>436</v>
      </c>
      <c r="L1424" s="15" t="s">
        <v>437</v>
      </c>
      <c r="M1424" s="15" t="s">
        <v>1429</v>
      </c>
      <c r="N1424" s="15" t="s">
        <v>1430</v>
      </c>
      <c r="O1424" s="15" t="s">
        <v>156</v>
      </c>
      <c r="P1424" s="15" t="s">
        <v>8814</v>
      </c>
      <c r="Q1424" s="15" t="s">
        <v>8815</v>
      </c>
      <c r="R1424" s="16">
        <v>44329</v>
      </c>
      <c r="S1424" s="17" t="s">
        <v>8687</v>
      </c>
      <c r="T1424" s="20">
        <f>HYPERLINK("https://vnm.spiral.com.vn//uploaded/20210513/2be2407f-cc3c-4899-9972-6524d7bd6595.JPEG","13:29:39")</f>
      </c>
      <c r="U1424" s="18"/>
      <c r="V1424" s="18" t="s">
        <v>35</v>
      </c>
      <c r="W1424" s="15" t="s">
        <v>8816</v>
      </c>
      <c r="X1424" s="15" t="s">
        <v>35</v>
      </c>
      <c r="Y1424" s="15" t="s">
        <v>35</v>
      </c>
      <c r="Z1424" s="19">
        <v>0</v>
      </c>
      <c r="AA1424" s="15">
        <v>0</v>
      </c>
      <c r="AB1424" s="15" t="s">
        <v>35</v>
      </c>
    </row>
    <row r="1425">
      <c r="A1425" s="15">
        <v>1421</v>
      </c>
      <c r="B1425" s="15" t="s">
        <v>246</v>
      </c>
      <c r="C1425" s="15" t="s">
        <v>259</v>
      </c>
      <c r="D1425" s="15" t="s">
        <v>148</v>
      </c>
      <c r="E1425" s="15" t="s">
        <v>90</v>
      </c>
      <c r="F1425" s="15" t="s">
        <v>35</v>
      </c>
      <c r="G1425" s="15" t="s">
        <v>74</v>
      </c>
      <c r="H1425" s="15" t="s">
        <v>1507</v>
      </c>
      <c r="I1425" s="15" t="s">
        <v>1508</v>
      </c>
      <c r="J1425" s="15" t="s">
        <v>1509</v>
      </c>
      <c r="K1425" s="15" t="s">
        <v>263</v>
      </c>
      <c r="L1425" s="15" t="s">
        <v>264</v>
      </c>
      <c r="M1425" s="15" t="s">
        <v>1510</v>
      </c>
      <c r="N1425" s="15" t="s">
        <v>1511</v>
      </c>
      <c r="O1425" s="15" t="s">
        <v>156</v>
      </c>
      <c r="P1425" s="15" t="s">
        <v>8817</v>
      </c>
      <c r="Q1425" s="15" t="s">
        <v>7647</v>
      </c>
      <c r="R1425" s="16">
        <v>44329</v>
      </c>
      <c r="S1425" s="17" t="s">
        <v>5058</v>
      </c>
      <c r="T1425" s="20">
        <f>HYPERLINK("https://vnm.spiral.com.vn//uploaded/20210513/AA86AE75-5B25-4093-AC70-6ABC5F1CC102.jpg","13:28:54")</f>
      </c>
      <c r="U1425" s="18"/>
      <c r="V1425" s="18" t="s">
        <v>35</v>
      </c>
      <c r="W1425" s="15" t="s">
        <v>8818</v>
      </c>
      <c r="X1425" s="15" t="s">
        <v>35</v>
      </c>
      <c r="Y1425" s="15" t="s">
        <v>35</v>
      </c>
      <c r="Z1425" s="19">
        <v>0</v>
      </c>
      <c r="AA1425" s="15">
        <v>0</v>
      </c>
      <c r="AB1425" s="15" t="s">
        <v>35</v>
      </c>
    </row>
    <row r="1426">
      <c r="A1426" s="15">
        <v>1422</v>
      </c>
      <c r="B1426" s="15" t="s">
        <v>49</v>
      </c>
      <c r="C1426" s="15" t="s">
        <v>162</v>
      </c>
      <c r="D1426" s="15" t="s">
        <v>35</v>
      </c>
      <c r="E1426" s="15" t="s">
        <v>35</v>
      </c>
      <c r="F1426" s="15" t="s">
        <v>1221</v>
      </c>
      <c r="G1426" s="15" t="s">
        <v>36</v>
      </c>
      <c r="H1426" s="15" t="s">
        <v>8819</v>
      </c>
      <c r="I1426" s="15" t="s">
        <v>4338</v>
      </c>
      <c r="J1426" s="15" t="s">
        <v>8820</v>
      </c>
      <c r="K1426" s="15" t="s">
        <v>40</v>
      </c>
      <c r="L1426" s="15" t="s">
        <v>41</v>
      </c>
      <c r="M1426" s="15" t="s">
        <v>55</v>
      </c>
      <c r="N1426" s="15" t="s">
        <v>56</v>
      </c>
      <c r="O1426" s="15" t="s">
        <v>44</v>
      </c>
      <c r="P1426" s="15" t="s">
        <v>8821</v>
      </c>
      <c r="Q1426" s="15" t="s">
        <v>8822</v>
      </c>
      <c r="R1426" s="16">
        <v>44329</v>
      </c>
      <c r="S1426" s="17" t="s">
        <v>8636</v>
      </c>
      <c r="T1426" s="20">
        <f>HYPERLINK("https://vnm.spiral.com.vn//uploaded/20210513/8b9adb77-587b-4495-8c81-590ce7dde54f.JPEG","13:28:31")</f>
      </c>
      <c r="U1426" s="18"/>
      <c r="V1426" s="18" t="s">
        <v>35</v>
      </c>
      <c r="W1426" s="15" t="s">
        <v>8823</v>
      </c>
      <c r="X1426" s="15" t="s">
        <v>35</v>
      </c>
      <c r="Y1426" s="15" t="s">
        <v>35</v>
      </c>
      <c r="Z1426" s="19">
        <v>0</v>
      </c>
      <c r="AA1426" s="15">
        <v>0</v>
      </c>
      <c r="AB1426" s="15" t="s">
        <v>35</v>
      </c>
    </row>
    <row r="1427">
      <c r="A1427" s="15">
        <v>1423</v>
      </c>
      <c r="B1427" s="15" t="s">
        <v>49</v>
      </c>
      <c r="C1427" s="15" t="s">
        <v>50</v>
      </c>
      <c r="D1427" s="15" t="s">
        <v>35</v>
      </c>
      <c r="E1427" s="15" t="s">
        <v>35</v>
      </c>
      <c r="F1427" s="15" t="s">
        <v>35</v>
      </c>
      <c r="G1427" s="15" t="s">
        <v>35</v>
      </c>
      <c r="H1427" s="15" t="s">
        <v>8824</v>
      </c>
      <c r="I1427" s="15" t="s">
        <v>8825</v>
      </c>
      <c r="J1427" s="15" t="s">
        <v>8826</v>
      </c>
      <c r="K1427" s="15" t="s">
        <v>40</v>
      </c>
      <c r="L1427" s="15" t="s">
        <v>41</v>
      </c>
      <c r="M1427" s="15" t="s">
        <v>55</v>
      </c>
      <c r="N1427" s="15" t="s">
        <v>56</v>
      </c>
      <c r="O1427" s="15" t="s">
        <v>44</v>
      </c>
      <c r="P1427" s="15" t="s">
        <v>8827</v>
      </c>
      <c r="Q1427" s="15" t="s">
        <v>8828</v>
      </c>
      <c r="R1427" s="16">
        <v>44329</v>
      </c>
      <c r="S1427" s="17" t="s">
        <v>5058</v>
      </c>
      <c r="T1427" s="20">
        <f>HYPERLINK("https://vnm.spiral.com.vn//uploaded/20210513/a996e6af-5e54-4c1e-a51e-8e86fc720a16.JPEG","13:28:18")</f>
      </c>
      <c r="U1427" s="18"/>
      <c r="V1427" s="18" t="s">
        <v>35</v>
      </c>
      <c r="W1427" s="15" t="s">
        <v>8829</v>
      </c>
      <c r="X1427" s="15" t="s">
        <v>35</v>
      </c>
      <c r="Y1427" s="15" t="s">
        <v>35</v>
      </c>
      <c r="Z1427" s="19">
        <v>0</v>
      </c>
      <c r="AA1427" s="15">
        <v>0</v>
      </c>
      <c r="AB1427" s="15" t="s">
        <v>35</v>
      </c>
    </row>
    <row r="1428">
      <c r="A1428" s="15">
        <v>1424</v>
      </c>
      <c r="B1428" s="15" t="s">
        <v>343</v>
      </c>
      <c r="C1428" s="15" t="s">
        <v>344</v>
      </c>
      <c r="D1428" s="15" t="s">
        <v>35</v>
      </c>
      <c r="E1428" s="15" t="s">
        <v>35</v>
      </c>
      <c r="F1428" s="15" t="s">
        <v>35</v>
      </c>
      <c r="G1428" s="15" t="s">
        <v>74</v>
      </c>
      <c r="H1428" s="15" t="s">
        <v>5295</v>
      </c>
      <c r="I1428" s="15" t="s">
        <v>5296</v>
      </c>
      <c r="J1428" s="15" t="s">
        <v>5297</v>
      </c>
      <c r="K1428" s="15" t="s">
        <v>897</v>
      </c>
      <c r="L1428" s="15" t="s">
        <v>898</v>
      </c>
      <c r="M1428" s="15" t="s">
        <v>4558</v>
      </c>
      <c r="N1428" s="15" t="s">
        <v>4559</v>
      </c>
      <c r="O1428" s="15" t="s">
        <v>156</v>
      </c>
      <c r="P1428" s="15" t="s">
        <v>8830</v>
      </c>
      <c r="Q1428" s="15" t="s">
        <v>8831</v>
      </c>
      <c r="R1428" s="16">
        <v>44329</v>
      </c>
      <c r="S1428" s="17" t="s">
        <v>8687</v>
      </c>
      <c r="T1428" s="20">
        <f>HYPERLINK("https://vnm.spiral.com.vn//uploaded/20210513/09ebd82a-2a3c-463f-9420-a9b8b3674cdd.JPEG","13:27:17")</f>
      </c>
      <c r="U1428" s="18"/>
      <c r="V1428" s="18" t="s">
        <v>35</v>
      </c>
      <c r="W1428" s="15" t="s">
        <v>8832</v>
      </c>
      <c r="X1428" s="15" t="s">
        <v>35</v>
      </c>
      <c r="Y1428" s="15" t="s">
        <v>35</v>
      </c>
      <c r="Z1428" s="19">
        <v>0</v>
      </c>
      <c r="AA1428" s="15">
        <v>0</v>
      </c>
      <c r="AB1428" s="15" t="s">
        <v>35</v>
      </c>
    </row>
    <row r="1429">
      <c r="A1429" s="15">
        <v>1425</v>
      </c>
      <c r="B1429" s="15" t="s">
        <v>49</v>
      </c>
      <c r="C1429" s="15" t="s">
        <v>756</v>
      </c>
      <c r="D1429" s="15" t="s">
        <v>89</v>
      </c>
      <c r="E1429" s="15" t="s">
        <v>90</v>
      </c>
      <c r="F1429" s="15" t="s">
        <v>35</v>
      </c>
      <c r="G1429" s="15" t="s">
        <v>74</v>
      </c>
      <c r="H1429" s="15" t="s">
        <v>2637</v>
      </c>
      <c r="I1429" s="15" t="s">
        <v>2638</v>
      </c>
      <c r="J1429" s="15" t="s">
        <v>2639</v>
      </c>
      <c r="K1429" s="15" t="s">
        <v>168</v>
      </c>
      <c r="L1429" s="15" t="s">
        <v>169</v>
      </c>
      <c r="M1429" s="15" t="s">
        <v>2640</v>
      </c>
      <c r="N1429" s="15" t="s">
        <v>2641</v>
      </c>
      <c r="O1429" s="15" t="s">
        <v>156</v>
      </c>
      <c r="P1429" s="15" t="s">
        <v>8833</v>
      </c>
      <c r="Q1429" s="15" t="s">
        <v>8834</v>
      </c>
      <c r="R1429" s="16">
        <v>44329</v>
      </c>
      <c r="S1429" s="17" t="s">
        <v>8687</v>
      </c>
      <c r="T1429" s="20">
        <f>HYPERLINK("https://vnm.spiral.com.vn//uploaded/20210513/fdb12075-49e6-4ff0-987d-174b10081261.JPEG","13:27:08")</f>
      </c>
      <c r="U1429" s="18"/>
      <c r="V1429" s="18" t="s">
        <v>35</v>
      </c>
      <c r="W1429" s="15" t="s">
        <v>8835</v>
      </c>
      <c r="X1429" s="15" t="s">
        <v>35</v>
      </c>
      <c r="Y1429" s="15" t="s">
        <v>35</v>
      </c>
      <c r="Z1429" s="19">
        <v>0</v>
      </c>
      <c r="AA1429" s="15">
        <v>0</v>
      </c>
      <c r="AB1429" s="15" t="s">
        <v>35</v>
      </c>
    </row>
    <row r="1430">
      <c r="A1430" s="15">
        <v>1426</v>
      </c>
      <c r="B1430" s="15" t="s">
        <v>61</v>
      </c>
      <c r="C1430" s="15" t="s">
        <v>737</v>
      </c>
      <c r="D1430" s="15" t="s">
        <v>89</v>
      </c>
      <c r="E1430" s="15" t="s">
        <v>90</v>
      </c>
      <c r="F1430" s="15" t="s">
        <v>35</v>
      </c>
      <c r="G1430" s="15" t="s">
        <v>74</v>
      </c>
      <c r="H1430" s="15" t="s">
        <v>5487</v>
      </c>
      <c r="I1430" s="15" t="s">
        <v>5488</v>
      </c>
      <c r="J1430" s="15" t="s">
        <v>5489</v>
      </c>
      <c r="K1430" s="15" t="s">
        <v>309</v>
      </c>
      <c r="L1430" s="15" t="s">
        <v>310</v>
      </c>
      <c r="M1430" s="15" t="s">
        <v>778</v>
      </c>
      <c r="N1430" s="15" t="s">
        <v>779</v>
      </c>
      <c r="O1430" s="15" t="s">
        <v>156</v>
      </c>
      <c r="P1430" s="15" t="s">
        <v>8836</v>
      </c>
      <c r="Q1430" s="15" t="s">
        <v>8837</v>
      </c>
      <c r="R1430" s="16">
        <v>44329</v>
      </c>
      <c r="S1430" s="17" t="s">
        <v>8687</v>
      </c>
      <c r="T1430" s="20">
        <f>HYPERLINK("https://vnm.spiral.com.vn//uploaded/20210513/b6d06ae7-f714-4dc6-914f-9f0cd9f118d8.JPEG","13:26:38")</f>
      </c>
      <c r="U1430" s="18"/>
      <c r="V1430" s="18" t="s">
        <v>35</v>
      </c>
      <c r="W1430" s="15" t="s">
        <v>8838</v>
      </c>
      <c r="X1430" s="15" t="s">
        <v>35</v>
      </c>
      <c r="Y1430" s="15" t="s">
        <v>35</v>
      </c>
      <c r="Z1430" s="19">
        <v>0</v>
      </c>
      <c r="AA1430" s="15">
        <v>0</v>
      </c>
      <c r="AB1430" s="15" t="s">
        <v>35</v>
      </c>
    </row>
    <row r="1431">
      <c r="A1431" s="15">
        <v>1427</v>
      </c>
      <c r="B1431" s="15" t="s">
        <v>87</v>
      </c>
      <c r="C1431" s="15" t="s">
        <v>88</v>
      </c>
      <c r="D1431" s="15" t="s">
        <v>1897</v>
      </c>
      <c r="E1431" s="15" t="s">
        <v>90</v>
      </c>
      <c r="F1431" s="15" t="s">
        <v>35</v>
      </c>
      <c r="G1431" s="15" t="s">
        <v>74</v>
      </c>
      <c r="H1431" s="15" t="s">
        <v>4747</v>
      </c>
      <c r="I1431" s="15" t="s">
        <v>4748</v>
      </c>
      <c r="J1431" s="15" t="s">
        <v>4749</v>
      </c>
      <c r="K1431" s="15" t="s">
        <v>1204</v>
      </c>
      <c r="L1431" s="15" t="s">
        <v>1205</v>
      </c>
      <c r="M1431" s="15" t="s">
        <v>3774</v>
      </c>
      <c r="N1431" s="15" t="s">
        <v>3775</v>
      </c>
      <c r="O1431" s="15" t="s">
        <v>156</v>
      </c>
      <c r="P1431" s="15" t="s">
        <v>8839</v>
      </c>
      <c r="Q1431" s="15" t="s">
        <v>4810</v>
      </c>
      <c r="R1431" s="16">
        <v>44329</v>
      </c>
      <c r="S1431" s="17" t="s">
        <v>4131</v>
      </c>
      <c r="T1431" s="20">
        <f>HYPERLINK("https://vnm.spiral.com.vn//uploaded/20210513/3a36ee4c-8671-420f-ab5d-a0c397e83e08.JPEG","13:26:25")</f>
      </c>
      <c r="U1431" s="18"/>
      <c r="V1431" s="18" t="s">
        <v>35</v>
      </c>
      <c r="W1431" s="15" t="s">
        <v>8840</v>
      </c>
      <c r="X1431" s="15" t="s">
        <v>35</v>
      </c>
      <c r="Y1431" s="15" t="s">
        <v>35</v>
      </c>
      <c r="Z1431" s="19">
        <v>0</v>
      </c>
      <c r="AA1431" s="15">
        <v>0</v>
      </c>
      <c r="AB1431" s="15" t="s">
        <v>35</v>
      </c>
    </row>
    <row r="1432">
      <c r="A1432" s="15">
        <v>1428</v>
      </c>
      <c r="B1432" s="15" t="s">
        <v>87</v>
      </c>
      <c r="C1432" s="15" t="s">
        <v>88</v>
      </c>
      <c r="D1432" s="15" t="s">
        <v>35</v>
      </c>
      <c r="E1432" s="15" t="s">
        <v>35</v>
      </c>
      <c r="F1432" s="15" t="s">
        <v>35</v>
      </c>
      <c r="G1432" s="15" t="s">
        <v>74</v>
      </c>
      <c r="H1432" s="15" t="s">
        <v>8841</v>
      </c>
      <c r="I1432" s="15" t="s">
        <v>8842</v>
      </c>
      <c r="J1432" s="15" t="s">
        <v>8843</v>
      </c>
      <c r="K1432" s="15" t="s">
        <v>888</v>
      </c>
      <c r="L1432" s="15" t="s">
        <v>889</v>
      </c>
      <c r="M1432" s="15" t="s">
        <v>924</v>
      </c>
      <c r="N1432" s="15" t="s">
        <v>925</v>
      </c>
      <c r="O1432" s="15" t="s">
        <v>82</v>
      </c>
      <c r="P1432" s="15" t="s">
        <v>1906</v>
      </c>
      <c r="Q1432" s="15" t="s">
        <v>1907</v>
      </c>
      <c r="R1432" s="16">
        <v>44329</v>
      </c>
      <c r="S1432" s="17" t="s">
        <v>70</v>
      </c>
      <c r="T1432" s="20">
        <f>HYPERLINK("https://vnm.spiral.com.vn//uploaded/20210513/8ae5e2c7-b36b-43ec-a271-94ff861d4c6b.JPEG","12:59:49")</f>
      </c>
      <c r="U1432" s="20">
        <f>HYPERLINK("https://vnm.spiral.com.vn//uploaded/20210513/e0e483fd-2722-46b9-8b97-5290aa39baa7.JPEG","13:26:17")</f>
      </c>
      <c r="V1432" s="18">
        <v>0.01837962962962963</v>
      </c>
      <c r="W1432" s="15" t="s">
        <v>8844</v>
      </c>
      <c r="X1432" s="15" t="s">
        <v>8845</v>
      </c>
      <c r="Y1432" s="15" t="s">
        <v>35</v>
      </c>
      <c r="Z1432" s="19">
        <v>0</v>
      </c>
      <c r="AA1432" s="15">
        <v>0</v>
      </c>
      <c r="AB1432" s="15" t="s">
        <v>35</v>
      </c>
    </row>
    <row r="1433">
      <c r="A1433" s="15">
        <v>1429</v>
      </c>
      <c r="B1433" s="15" t="s">
        <v>87</v>
      </c>
      <c r="C1433" s="15" t="s">
        <v>88</v>
      </c>
      <c r="D1433" s="15" t="s">
        <v>135</v>
      </c>
      <c r="E1433" s="15" t="s">
        <v>116</v>
      </c>
      <c r="F1433" s="15" t="s">
        <v>35</v>
      </c>
      <c r="G1433" s="15" t="s">
        <v>74</v>
      </c>
      <c r="H1433" s="15" t="s">
        <v>8846</v>
      </c>
      <c r="I1433" s="15" t="s">
        <v>8847</v>
      </c>
      <c r="J1433" s="15" t="s">
        <v>8848</v>
      </c>
      <c r="K1433" s="15" t="s">
        <v>139</v>
      </c>
      <c r="L1433" s="15" t="s">
        <v>140</v>
      </c>
      <c r="M1433" s="15" t="s">
        <v>530</v>
      </c>
      <c r="N1433" s="15" t="s">
        <v>531</v>
      </c>
      <c r="O1433" s="15" t="s">
        <v>82</v>
      </c>
      <c r="P1433" s="15" t="s">
        <v>2158</v>
      </c>
      <c r="Q1433" s="15" t="s">
        <v>2159</v>
      </c>
      <c r="R1433" s="16">
        <v>44329</v>
      </c>
      <c r="S1433" s="17" t="s">
        <v>70</v>
      </c>
      <c r="T1433" s="20">
        <f>HYPERLINK("https://vnm.spiral.com.vn//uploaded/20210513/4e9fe9ce-7a77-4b6c-800d-21fd2fafb483.JPEG","12:17:39")</f>
      </c>
      <c r="U1433" s="20">
        <f>HYPERLINK("https://vnm.spiral.com.vn//uploaded/20210513/d313a1c1-f4af-471a-9797-efaa6a6be986.JPEG","13:26:15")</f>
      </c>
      <c r="V1433" s="18">
        <v>0.04763888888888889</v>
      </c>
      <c r="W1433" s="15" t="s">
        <v>8849</v>
      </c>
      <c r="X1433" s="15" t="s">
        <v>8850</v>
      </c>
      <c r="Y1433" s="15" t="s">
        <v>35</v>
      </c>
      <c r="Z1433" s="19">
        <v>0</v>
      </c>
      <c r="AA1433" s="15">
        <v>0</v>
      </c>
      <c r="AB1433" s="15" t="s">
        <v>35</v>
      </c>
    </row>
    <row r="1434">
      <c r="A1434" s="15">
        <v>1430</v>
      </c>
      <c r="B1434" s="15" t="s">
        <v>246</v>
      </c>
      <c r="C1434" s="15" t="s">
        <v>2005</v>
      </c>
      <c r="D1434" s="15" t="s">
        <v>35</v>
      </c>
      <c r="E1434" s="15" t="s">
        <v>35</v>
      </c>
      <c r="F1434" s="15" t="s">
        <v>3012</v>
      </c>
      <c r="G1434" s="15" t="s">
        <v>36</v>
      </c>
      <c r="H1434" s="15" t="s">
        <v>8851</v>
      </c>
      <c r="I1434" s="15" t="s">
        <v>8852</v>
      </c>
      <c r="J1434" s="15" t="s">
        <v>8853</v>
      </c>
      <c r="K1434" s="15" t="s">
        <v>40</v>
      </c>
      <c r="L1434" s="15" t="s">
        <v>41</v>
      </c>
      <c r="M1434" s="15" t="s">
        <v>252</v>
      </c>
      <c r="N1434" s="15" t="s">
        <v>253</v>
      </c>
      <c r="O1434" s="15" t="s">
        <v>44</v>
      </c>
      <c r="P1434" s="15" t="s">
        <v>8854</v>
      </c>
      <c r="Q1434" s="15" t="s">
        <v>8855</v>
      </c>
      <c r="R1434" s="16">
        <v>44329</v>
      </c>
      <c r="S1434" s="17" t="s">
        <v>8636</v>
      </c>
      <c r="T1434" s="20">
        <f>HYPERLINK("https://vnm.spiral.com.vn//uploaded/20210513/6F762A10-FE6A-44B7-A2F8-E8E989D192C7.jpg","13:25:08")</f>
      </c>
      <c r="U1434" s="18"/>
      <c r="V1434" s="18" t="s">
        <v>35</v>
      </c>
      <c r="W1434" s="15" t="s">
        <v>8856</v>
      </c>
      <c r="X1434" s="15" t="s">
        <v>35</v>
      </c>
      <c r="Y1434" s="15" t="s">
        <v>35</v>
      </c>
      <c r="Z1434" s="19">
        <v>0</v>
      </c>
      <c r="AA1434" s="15">
        <v>0</v>
      </c>
      <c r="AB1434" s="15" t="s">
        <v>35</v>
      </c>
    </row>
    <row r="1435">
      <c r="A1435" s="15">
        <v>1431</v>
      </c>
      <c r="B1435" s="15" t="s">
        <v>87</v>
      </c>
      <c r="C1435" s="15" t="s">
        <v>88</v>
      </c>
      <c r="D1435" s="15" t="s">
        <v>35</v>
      </c>
      <c r="E1435" s="15" t="s">
        <v>35</v>
      </c>
      <c r="F1435" s="15" t="s">
        <v>2667</v>
      </c>
      <c r="G1435" s="15" t="s">
        <v>36</v>
      </c>
      <c r="H1435" s="15" t="s">
        <v>5338</v>
      </c>
      <c r="I1435" s="15" t="s">
        <v>5339</v>
      </c>
      <c r="J1435" s="15" t="s">
        <v>5340</v>
      </c>
      <c r="K1435" s="15" t="s">
        <v>40</v>
      </c>
      <c r="L1435" s="15" t="s">
        <v>41</v>
      </c>
      <c r="M1435" s="15" t="s">
        <v>1195</v>
      </c>
      <c r="N1435" s="15" t="s">
        <v>1196</v>
      </c>
      <c r="O1435" s="15" t="s">
        <v>44</v>
      </c>
      <c r="P1435" s="15" t="s">
        <v>5341</v>
      </c>
      <c r="Q1435" s="15" t="s">
        <v>5342</v>
      </c>
      <c r="R1435" s="16">
        <v>44329</v>
      </c>
      <c r="S1435" s="17" t="s">
        <v>317</v>
      </c>
      <c r="T1435" s="20">
        <f>HYPERLINK("https://vnm.spiral.com.vn//uploaded/20210513/61127af3-60b7-49bb-90e4-15df94545438.JPEG","07:58:20")</f>
      </c>
      <c r="U1435" s="20">
        <f>HYPERLINK("https://vnm.spiral.com.vn//uploaded/20210513/61568334-b93d-419d-a0d4-2517334c5220.JPEG","13:24:59")</f>
      </c>
      <c r="V1435" s="18">
        <v>0.22684027777777777</v>
      </c>
      <c r="W1435" s="15" t="s">
        <v>8857</v>
      </c>
      <c r="X1435" s="15" t="s">
        <v>8858</v>
      </c>
      <c r="Y1435" s="15" t="s">
        <v>35</v>
      </c>
      <c r="Z1435" s="19">
        <v>0</v>
      </c>
      <c r="AA1435" s="15">
        <v>0</v>
      </c>
      <c r="AB1435" s="15" t="s">
        <v>35</v>
      </c>
    </row>
    <row r="1436">
      <c r="A1436" s="15">
        <v>1432</v>
      </c>
      <c r="B1436" s="15" t="s">
        <v>87</v>
      </c>
      <c r="C1436" s="15" t="s">
        <v>88</v>
      </c>
      <c r="D1436" s="15" t="s">
        <v>35</v>
      </c>
      <c r="E1436" s="15" t="s">
        <v>35</v>
      </c>
      <c r="F1436" s="15" t="s">
        <v>806</v>
      </c>
      <c r="G1436" s="15" t="s">
        <v>36</v>
      </c>
      <c r="H1436" s="15" t="s">
        <v>8859</v>
      </c>
      <c r="I1436" s="15" t="s">
        <v>8860</v>
      </c>
      <c r="J1436" s="15" t="s">
        <v>8861</v>
      </c>
      <c r="K1436" s="15" t="s">
        <v>40</v>
      </c>
      <c r="L1436" s="15" t="s">
        <v>41</v>
      </c>
      <c r="M1436" s="15" t="s">
        <v>810</v>
      </c>
      <c r="N1436" s="15" t="s">
        <v>811</v>
      </c>
      <c r="O1436" s="15" t="s">
        <v>44</v>
      </c>
      <c r="P1436" s="15" t="s">
        <v>8862</v>
      </c>
      <c r="Q1436" s="15" t="s">
        <v>8863</v>
      </c>
      <c r="R1436" s="16">
        <v>44329</v>
      </c>
      <c r="S1436" s="17" t="s">
        <v>8687</v>
      </c>
      <c r="T1436" s="20">
        <f>HYPERLINK("https://vnm.spiral.com.vn//uploaded/20210513/48bc643a-0b34-4803-8d37-8a6b8b99ab1c.JPEG","13:24:49")</f>
      </c>
      <c r="U1436" s="18"/>
      <c r="V1436" s="18" t="s">
        <v>35</v>
      </c>
      <c r="W1436" s="15" t="s">
        <v>8864</v>
      </c>
      <c r="X1436" s="15" t="s">
        <v>35</v>
      </c>
      <c r="Y1436" s="15" t="s">
        <v>35</v>
      </c>
      <c r="Z1436" s="19">
        <v>0</v>
      </c>
      <c r="AA1436" s="15">
        <v>0</v>
      </c>
      <c r="AB1436" s="15" t="s">
        <v>35</v>
      </c>
    </row>
    <row r="1437">
      <c r="A1437" s="15">
        <v>1433</v>
      </c>
      <c r="B1437" s="15" t="s">
        <v>103</v>
      </c>
      <c r="C1437" s="15" t="s">
        <v>186</v>
      </c>
      <c r="D1437" s="15" t="s">
        <v>148</v>
      </c>
      <c r="E1437" s="15" t="s">
        <v>90</v>
      </c>
      <c r="F1437" s="15" t="s">
        <v>35</v>
      </c>
      <c r="G1437" s="15" t="s">
        <v>74</v>
      </c>
      <c r="H1437" s="15" t="s">
        <v>8865</v>
      </c>
      <c r="I1437" s="15" t="s">
        <v>8866</v>
      </c>
      <c r="J1437" s="15" t="s">
        <v>8867</v>
      </c>
      <c r="K1437" s="15" t="s">
        <v>178</v>
      </c>
      <c r="L1437" s="15" t="s">
        <v>179</v>
      </c>
      <c r="M1437" s="15" t="s">
        <v>3247</v>
      </c>
      <c r="N1437" s="15" t="s">
        <v>3248</v>
      </c>
      <c r="O1437" s="15" t="s">
        <v>156</v>
      </c>
      <c r="P1437" s="15" t="s">
        <v>8868</v>
      </c>
      <c r="Q1437" s="15" t="s">
        <v>2869</v>
      </c>
      <c r="R1437" s="16">
        <v>44329</v>
      </c>
      <c r="S1437" s="17" t="s">
        <v>8687</v>
      </c>
      <c r="T1437" s="20">
        <f>HYPERLINK("https://vnm.spiral.com.vn//uploaded/20210513/D746DC32-53B6-4978-87F9-8B7E5DD3C5E9.jpg","13:24:40")</f>
      </c>
      <c r="U1437" s="18"/>
      <c r="V1437" s="18" t="s">
        <v>35</v>
      </c>
      <c r="W1437" s="15" t="s">
        <v>8869</v>
      </c>
      <c r="X1437" s="15" t="s">
        <v>35</v>
      </c>
      <c r="Y1437" s="15" t="s">
        <v>35</v>
      </c>
      <c r="Z1437" s="19">
        <v>0</v>
      </c>
      <c r="AA1437" s="15">
        <v>0</v>
      </c>
      <c r="AB1437" s="15" t="s">
        <v>35</v>
      </c>
    </row>
    <row r="1438">
      <c r="A1438" s="15">
        <v>1434</v>
      </c>
      <c r="B1438" s="15" t="s">
        <v>103</v>
      </c>
      <c r="C1438" s="15" t="s">
        <v>1078</v>
      </c>
      <c r="D1438" s="15" t="s">
        <v>89</v>
      </c>
      <c r="E1438" s="15" t="s">
        <v>90</v>
      </c>
      <c r="F1438" s="15" t="s">
        <v>35</v>
      </c>
      <c r="G1438" s="15" t="s">
        <v>74</v>
      </c>
      <c r="H1438" s="15" t="s">
        <v>1426</v>
      </c>
      <c r="I1438" s="15" t="s">
        <v>1427</v>
      </c>
      <c r="J1438" s="15" t="s">
        <v>1428</v>
      </c>
      <c r="K1438" s="15" t="s">
        <v>436</v>
      </c>
      <c r="L1438" s="15" t="s">
        <v>437</v>
      </c>
      <c r="M1438" s="15" t="s">
        <v>1429</v>
      </c>
      <c r="N1438" s="15" t="s">
        <v>1430</v>
      </c>
      <c r="O1438" s="15" t="s">
        <v>156</v>
      </c>
      <c r="P1438" s="15" t="s">
        <v>8870</v>
      </c>
      <c r="Q1438" s="15" t="s">
        <v>8871</v>
      </c>
      <c r="R1438" s="16">
        <v>44329</v>
      </c>
      <c r="S1438" s="17" t="s">
        <v>8687</v>
      </c>
      <c r="T1438" s="20">
        <f>HYPERLINK("https://vnm.spiral.com.vn//uploaded/20210513/06215DB4-2EA2-4C5F-A73B-7FB40287B316.jpg","13:23:46")</f>
      </c>
      <c r="U1438" s="18"/>
      <c r="V1438" s="18" t="s">
        <v>35</v>
      </c>
      <c r="W1438" s="15" t="s">
        <v>8872</v>
      </c>
      <c r="X1438" s="15" t="s">
        <v>35</v>
      </c>
      <c r="Y1438" s="15" t="s">
        <v>35</v>
      </c>
      <c r="Z1438" s="19">
        <v>0</v>
      </c>
      <c r="AA1438" s="15">
        <v>0</v>
      </c>
      <c r="AB1438" s="15" t="s">
        <v>35</v>
      </c>
    </row>
    <row r="1439">
      <c r="A1439" s="15">
        <v>1435</v>
      </c>
      <c r="B1439" s="15" t="s">
        <v>103</v>
      </c>
      <c r="C1439" s="15" t="s">
        <v>186</v>
      </c>
      <c r="D1439" s="15" t="s">
        <v>432</v>
      </c>
      <c r="E1439" s="15" t="s">
        <v>116</v>
      </c>
      <c r="F1439" s="15" t="s">
        <v>35</v>
      </c>
      <c r="G1439" s="15" t="s">
        <v>74</v>
      </c>
      <c r="H1439" s="15" t="s">
        <v>8873</v>
      </c>
      <c r="I1439" s="15" t="s">
        <v>8874</v>
      </c>
      <c r="J1439" s="15" t="s">
        <v>8875</v>
      </c>
      <c r="K1439" s="15" t="s">
        <v>190</v>
      </c>
      <c r="L1439" s="15" t="s">
        <v>191</v>
      </c>
      <c r="M1439" s="15" t="s">
        <v>436</v>
      </c>
      <c r="N1439" s="15" t="s">
        <v>437</v>
      </c>
      <c r="O1439" s="15" t="s">
        <v>98</v>
      </c>
      <c r="P1439" s="15" t="s">
        <v>438</v>
      </c>
      <c r="Q1439" s="15" t="s">
        <v>439</v>
      </c>
      <c r="R1439" s="16">
        <v>44329</v>
      </c>
      <c r="S1439" s="17" t="s">
        <v>70</v>
      </c>
      <c r="T1439" s="20">
        <f>HYPERLINK("https://vnm.spiral.com.vn//uploaded/20210513/C3C98443-7C03-42BC-86DB-E4E392134BBA.jpg","12:49:14")</f>
      </c>
      <c r="U1439" s="20">
        <f>HYPERLINK("https://vnm.spiral.com.vn//uploaded/20210513/2BECE9E2-307A-4689-BE57-E1FF7554714D.jpg","13:23:44")</f>
      </c>
      <c r="V1439" s="18">
        <v>0.023958333333333335</v>
      </c>
      <c r="W1439" s="15" t="s">
        <v>8876</v>
      </c>
      <c r="X1439" s="15" t="s">
        <v>8877</v>
      </c>
      <c r="Y1439" s="15" t="s">
        <v>35</v>
      </c>
      <c r="Z1439" s="19">
        <v>0</v>
      </c>
      <c r="AA1439" s="15">
        <v>0</v>
      </c>
      <c r="AB1439" s="15" t="s">
        <v>35</v>
      </c>
    </row>
    <row r="1440">
      <c r="A1440" s="15">
        <v>1436</v>
      </c>
      <c r="B1440" s="15" t="s">
        <v>87</v>
      </c>
      <c r="C1440" s="15" t="s">
        <v>88</v>
      </c>
      <c r="D1440" s="15" t="s">
        <v>148</v>
      </c>
      <c r="E1440" s="15" t="s">
        <v>90</v>
      </c>
      <c r="F1440" s="15" t="s">
        <v>35</v>
      </c>
      <c r="G1440" s="15" t="s">
        <v>74</v>
      </c>
      <c r="H1440" s="15" t="s">
        <v>8878</v>
      </c>
      <c r="I1440" s="15" t="s">
        <v>8879</v>
      </c>
      <c r="J1440" s="15" t="s">
        <v>8880</v>
      </c>
      <c r="K1440" s="15" t="s">
        <v>1204</v>
      </c>
      <c r="L1440" s="15" t="s">
        <v>1205</v>
      </c>
      <c r="M1440" s="15" t="s">
        <v>1206</v>
      </c>
      <c r="N1440" s="15" t="s">
        <v>1207</v>
      </c>
      <c r="O1440" s="15" t="s">
        <v>156</v>
      </c>
      <c r="P1440" s="15" t="s">
        <v>8881</v>
      </c>
      <c r="Q1440" s="15" t="s">
        <v>8882</v>
      </c>
      <c r="R1440" s="16">
        <v>44329</v>
      </c>
      <c r="S1440" s="17" t="s">
        <v>8687</v>
      </c>
      <c r="T1440" s="20">
        <f>HYPERLINK("https://vnm.spiral.com.vn//uploaded/20210513/eed8e587-e9b1-4f22-bc4c-6d15175fd7da.JPEG","13:22:33")</f>
      </c>
      <c r="U1440" s="18"/>
      <c r="V1440" s="18" t="s">
        <v>35</v>
      </c>
      <c r="W1440" s="15" t="s">
        <v>8883</v>
      </c>
      <c r="X1440" s="15" t="s">
        <v>35</v>
      </c>
      <c r="Y1440" s="15" t="s">
        <v>35</v>
      </c>
      <c r="Z1440" s="19">
        <v>0</v>
      </c>
      <c r="AA1440" s="15">
        <v>0</v>
      </c>
      <c r="AB1440" s="15" t="s">
        <v>35</v>
      </c>
    </row>
    <row r="1441">
      <c r="A1441" s="15">
        <v>1437</v>
      </c>
      <c r="B1441" s="15" t="s">
        <v>343</v>
      </c>
      <c r="C1441" s="15" t="s">
        <v>344</v>
      </c>
      <c r="D1441" s="15" t="s">
        <v>432</v>
      </c>
      <c r="E1441" s="15" t="s">
        <v>116</v>
      </c>
      <c r="F1441" s="15" t="s">
        <v>35</v>
      </c>
      <c r="G1441" s="15" t="s">
        <v>74</v>
      </c>
      <c r="H1441" s="15" t="s">
        <v>8884</v>
      </c>
      <c r="I1441" s="15" t="s">
        <v>8885</v>
      </c>
      <c r="J1441" s="15" t="s">
        <v>8886</v>
      </c>
      <c r="K1441" s="15" t="s">
        <v>512</v>
      </c>
      <c r="L1441" s="15" t="s">
        <v>513</v>
      </c>
      <c r="M1441" s="15" t="s">
        <v>514</v>
      </c>
      <c r="N1441" s="15" t="s">
        <v>515</v>
      </c>
      <c r="O1441" s="15" t="s">
        <v>82</v>
      </c>
      <c r="P1441" s="15" t="s">
        <v>1371</v>
      </c>
      <c r="Q1441" s="15" t="s">
        <v>1372</v>
      </c>
      <c r="R1441" s="16">
        <v>44329</v>
      </c>
      <c r="S1441" s="17" t="s">
        <v>70</v>
      </c>
      <c r="T1441" s="20">
        <f>HYPERLINK("https://vnm.spiral.com.vn//uploaded/20210513/914949e8-e28a-43c5-923f-3e41ac7ce6a5.JPEG","11:52:18")</f>
      </c>
      <c r="U1441" s="20">
        <f>HYPERLINK("https://vnm.spiral.com.vn//uploaded/20210513/f2bb293c-e862-4e8e-a9b3-2bc0179f517a.JPEG","13:22:18")</f>
      </c>
      <c r="V1441" s="18">
        <v>0.0625</v>
      </c>
      <c r="W1441" s="15" t="s">
        <v>8887</v>
      </c>
      <c r="X1441" s="15" t="s">
        <v>8888</v>
      </c>
      <c r="Y1441" s="15" t="s">
        <v>35</v>
      </c>
      <c r="Z1441" s="19">
        <v>0</v>
      </c>
      <c r="AA1441" s="15">
        <v>0</v>
      </c>
      <c r="AB1441" s="15" t="s">
        <v>35</v>
      </c>
    </row>
    <row r="1442">
      <c r="A1442" s="15">
        <v>1438</v>
      </c>
      <c r="B1442" s="15" t="s">
        <v>61</v>
      </c>
      <c r="C1442" s="15" t="s">
        <v>303</v>
      </c>
      <c r="D1442" s="15" t="s">
        <v>115</v>
      </c>
      <c r="E1442" s="15" t="s">
        <v>116</v>
      </c>
      <c r="F1442" s="15" t="s">
        <v>35</v>
      </c>
      <c r="G1442" s="15" t="s">
        <v>74</v>
      </c>
      <c r="H1442" s="15" t="s">
        <v>8889</v>
      </c>
      <c r="I1442" s="15" t="s">
        <v>8890</v>
      </c>
      <c r="J1442" s="15" t="s">
        <v>8891</v>
      </c>
      <c r="K1442" s="15" t="s">
        <v>232</v>
      </c>
      <c r="L1442" s="15" t="s">
        <v>233</v>
      </c>
      <c r="M1442" s="15" t="s">
        <v>503</v>
      </c>
      <c r="N1442" s="15" t="s">
        <v>504</v>
      </c>
      <c r="O1442" s="15" t="s">
        <v>82</v>
      </c>
      <c r="P1442" s="15" t="s">
        <v>505</v>
      </c>
      <c r="Q1442" s="15" t="s">
        <v>506</v>
      </c>
      <c r="R1442" s="16">
        <v>44329</v>
      </c>
      <c r="S1442" s="17" t="s">
        <v>70</v>
      </c>
      <c r="T1442" s="20">
        <f>HYPERLINK("https://vnm.spiral.com.vn//uploaded/20210513/8050FAF3-79DD-4499-966E-792435BA6425.jpg","11:59:03")</f>
      </c>
      <c r="U1442" s="20">
        <f>HYPERLINK("https://vnm.spiral.com.vn//uploaded/20210513/D56B3885-9CAD-49B4-B6FF-12B3418A6990.jpg","13:22:13")</f>
      </c>
      <c r="V1442" s="18">
        <v>0.05775462962962963</v>
      </c>
      <c r="W1442" s="15" t="s">
        <v>8892</v>
      </c>
      <c r="X1442" s="15" t="s">
        <v>8893</v>
      </c>
      <c r="Y1442" s="15" t="s">
        <v>35</v>
      </c>
      <c r="Z1442" s="19">
        <v>0</v>
      </c>
      <c r="AA1442" s="15">
        <v>0</v>
      </c>
      <c r="AB1442" s="15" t="s">
        <v>35</v>
      </c>
    </row>
    <row r="1443">
      <c r="A1443" s="15">
        <v>1439</v>
      </c>
      <c r="B1443" s="15" t="s">
        <v>61</v>
      </c>
      <c r="C1443" s="15" t="s">
        <v>442</v>
      </c>
      <c r="D1443" s="15" t="s">
        <v>35</v>
      </c>
      <c r="E1443" s="15" t="s">
        <v>35</v>
      </c>
      <c r="F1443" s="15" t="s">
        <v>35</v>
      </c>
      <c r="G1443" s="15" t="s">
        <v>36</v>
      </c>
      <c r="H1443" s="15" t="s">
        <v>8894</v>
      </c>
      <c r="I1443" s="15" t="s">
        <v>8895</v>
      </c>
      <c r="J1443" s="15" t="s">
        <v>8896</v>
      </c>
      <c r="K1443" s="15" t="s">
        <v>40</v>
      </c>
      <c r="L1443" s="15" t="s">
        <v>41</v>
      </c>
      <c r="M1443" s="15" t="s">
        <v>205</v>
      </c>
      <c r="N1443" s="15" t="s">
        <v>206</v>
      </c>
      <c r="O1443" s="15" t="s">
        <v>44</v>
      </c>
      <c r="P1443" s="15" t="s">
        <v>8897</v>
      </c>
      <c r="Q1443" s="15" t="s">
        <v>8898</v>
      </c>
      <c r="R1443" s="16">
        <v>44329</v>
      </c>
      <c r="S1443" s="17" t="s">
        <v>4131</v>
      </c>
      <c r="T1443" s="20">
        <f>HYPERLINK("https://vnm.spiral.com.vn//uploaded/20210513/BA61CC96-2767-4A95-BCBE-7589D1F54177.jpg","13:22:10")</f>
      </c>
      <c r="U1443" s="18"/>
      <c r="V1443" s="18" t="s">
        <v>35</v>
      </c>
      <c r="W1443" s="15" t="s">
        <v>8899</v>
      </c>
      <c r="X1443" s="15" t="s">
        <v>35</v>
      </c>
      <c r="Y1443" s="15" t="s">
        <v>35</v>
      </c>
      <c r="Z1443" s="19">
        <v>0</v>
      </c>
      <c r="AA1443" s="15">
        <v>0</v>
      </c>
      <c r="AB1443" s="15" t="s">
        <v>35</v>
      </c>
    </row>
    <row r="1444">
      <c r="A1444" s="15">
        <v>1440</v>
      </c>
      <c r="B1444" s="15" t="s">
        <v>103</v>
      </c>
      <c r="C1444" s="15" t="s">
        <v>186</v>
      </c>
      <c r="D1444" s="15" t="s">
        <v>89</v>
      </c>
      <c r="E1444" s="15" t="s">
        <v>90</v>
      </c>
      <c r="F1444" s="15" t="s">
        <v>35</v>
      </c>
      <c r="G1444" s="15" t="s">
        <v>74</v>
      </c>
      <c r="H1444" s="15" t="s">
        <v>187</v>
      </c>
      <c r="I1444" s="15" t="s">
        <v>188</v>
      </c>
      <c r="J1444" s="15" t="s">
        <v>189</v>
      </c>
      <c r="K1444" s="15" t="s">
        <v>178</v>
      </c>
      <c r="L1444" s="15" t="s">
        <v>179</v>
      </c>
      <c r="M1444" s="15" t="s">
        <v>180</v>
      </c>
      <c r="N1444" s="15" t="s">
        <v>181</v>
      </c>
      <c r="O1444" s="15" t="s">
        <v>156</v>
      </c>
      <c r="P1444" s="15" t="s">
        <v>8900</v>
      </c>
      <c r="Q1444" s="15" t="s">
        <v>8901</v>
      </c>
      <c r="R1444" s="16">
        <v>44329</v>
      </c>
      <c r="S1444" s="17" t="s">
        <v>8687</v>
      </c>
      <c r="T1444" s="20">
        <f>HYPERLINK("https://vnm.spiral.com.vn//uploaded/20210513/F1255B53-589B-426B-A00F-3F5528603969.jpg","13:21:52")</f>
      </c>
      <c r="U1444" s="18"/>
      <c r="V1444" s="18" t="s">
        <v>35</v>
      </c>
      <c r="W1444" s="15" t="s">
        <v>8902</v>
      </c>
      <c r="X1444" s="15" t="s">
        <v>35</v>
      </c>
      <c r="Y1444" s="15" t="s">
        <v>35</v>
      </c>
      <c r="Z1444" s="19">
        <v>0</v>
      </c>
      <c r="AA1444" s="15">
        <v>0</v>
      </c>
      <c r="AB1444" s="15" t="s">
        <v>35</v>
      </c>
    </row>
    <row r="1445">
      <c r="A1445" s="15">
        <v>1441</v>
      </c>
      <c r="B1445" s="15" t="s">
        <v>343</v>
      </c>
      <c r="C1445" s="15" t="s">
        <v>344</v>
      </c>
      <c r="D1445" s="15" t="s">
        <v>35</v>
      </c>
      <c r="E1445" s="15" t="s">
        <v>35</v>
      </c>
      <c r="F1445" s="15" t="s">
        <v>35</v>
      </c>
      <c r="G1445" s="15" t="s">
        <v>74</v>
      </c>
      <c r="H1445" s="15" t="s">
        <v>8903</v>
      </c>
      <c r="I1445" s="15" t="s">
        <v>8904</v>
      </c>
      <c r="J1445" s="15" t="s">
        <v>8905</v>
      </c>
      <c r="K1445" s="15" t="s">
        <v>897</v>
      </c>
      <c r="L1445" s="15" t="s">
        <v>898</v>
      </c>
      <c r="M1445" s="15" t="s">
        <v>3476</v>
      </c>
      <c r="N1445" s="15" t="s">
        <v>3477</v>
      </c>
      <c r="O1445" s="15" t="s">
        <v>156</v>
      </c>
      <c r="P1445" s="15" t="s">
        <v>8906</v>
      </c>
      <c r="Q1445" s="15" t="s">
        <v>8907</v>
      </c>
      <c r="R1445" s="16">
        <v>44329</v>
      </c>
      <c r="S1445" s="17" t="s">
        <v>8687</v>
      </c>
      <c r="T1445" s="20">
        <f>HYPERLINK("https://vnm.spiral.com.vn//uploaded/20210513/7fc40f75-75f5-4788-b11b-b2e513c44270.JPEG","13:21:03")</f>
      </c>
      <c r="U1445" s="18"/>
      <c r="V1445" s="18" t="s">
        <v>35</v>
      </c>
      <c r="W1445" s="15" t="s">
        <v>8908</v>
      </c>
      <c r="X1445" s="15" t="s">
        <v>35</v>
      </c>
      <c r="Y1445" s="15" t="s">
        <v>35</v>
      </c>
      <c r="Z1445" s="19">
        <v>0</v>
      </c>
      <c r="AA1445" s="15">
        <v>0</v>
      </c>
      <c r="AB1445" s="15" t="s">
        <v>35</v>
      </c>
    </row>
    <row r="1446">
      <c r="A1446" s="15">
        <v>1442</v>
      </c>
      <c r="B1446" s="15" t="s">
        <v>343</v>
      </c>
      <c r="C1446" s="15" t="s">
        <v>721</v>
      </c>
      <c r="D1446" s="15" t="s">
        <v>35</v>
      </c>
      <c r="E1446" s="15" t="s">
        <v>35</v>
      </c>
      <c r="F1446" s="15" t="s">
        <v>35</v>
      </c>
      <c r="G1446" s="15" t="s">
        <v>36</v>
      </c>
      <c r="H1446" s="15" t="s">
        <v>8909</v>
      </c>
      <c r="I1446" s="15" t="s">
        <v>8910</v>
      </c>
      <c r="J1446" s="15" t="s">
        <v>8911</v>
      </c>
      <c r="K1446" s="15" t="s">
        <v>40</v>
      </c>
      <c r="L1446" s="15" t="s">
        <v>41</v>
      </c>
      <c r="M1446" s="15" t="s">
        <v>595</v>
      </c>
      <c r="N1446" s="15" t="s">
        <v>596</v>
      </c>
      <c r="O1446" s="15" t="s">
        <v>44</v>
      </c>
      <c r="P1446" s="15" t="s">
        <v>8912</v>
      </c>
      <c r="Q1446" s="15" t="s">
        <v>8913</v>
      </c>
      <c r="R1446" s="16">
        <v>44329</v>
      </c>
      <c r="S1446" s="17" t="s">
        <v>5058</v>
      </c>
      <c r="T1446" s="20">
        <f>HYPERLINK("https://vnm.spiral.com.vn//uploaded/20210513/51E1AB69-C4B2-4BD4-A81C-2526ADE7A8EE.jpg","13:21:01")</f>
      </c>
      <c r="U1446" s="18"/>
      <c r="V1446" s="18" t="s">
        <v>35</v>
      </c>
      <c r="W1446" s="15" t="s">
        <v>8914</v>
      </c>
      <c r="X1446" s="15" t="s">
        <v>35</v>
      </c>
      <c r="Y1446" s="15" t="s">
        <v>35</v>
      </c>
      <c r="Z1446" s="19">
        <v>0</v>
      </c>
      <c r="AA1446" s="15">
        <v>0</v>
      </c>
      <c r="AB1446" s="15" t="s">
        <v>35</v>
      </c>
    </row>
    <row r="1447">
      <c r="A1447" s="15">
        <v>1443</v>
      </c>
      <c r="B1447" s="15" t="s">
        <v>103</v>
      </c>
      <c r="C1447" s="15" t="s">
        <v>186</v>
      </c>
      <c r="D1447" s="15" t="s">
        <v>148</v>
      </c>
      <c r="E1447" s="15" t="s">
        <v>90</v>
      </c>
      <c r="F1447" s="15" t="s">
        <v>35</v>
      </c>
      <c r="G1447" s="15" t="s">
        <v>74</v>
      </c>
      <c r="H1447" s="15" t="s">
        <v>3244</v>
      </c>
      <c r="I1447" s="15" t="s">
        <v>3245</v>
      </c>
      <c r="J1447" s="15" t="s">
        <v>3246</v>
      </c>
      <c r="K1447" s="15" t="s">
        <v>178</v>
      </c>
      <c r="L1447" s="15" t="s">
        <v>179</v>
      </c>
      <c r="M1447" s="15" t="s">
        <v>3247</v>
      </c>
      <c r="N1447" s="15" t="s">
        <v>3248</v>
      </c>
      <c r="O1447" s="15" t="s">
        <v>156</v>
      </c>
      <c r="P1447" s="15" t="s">
        <v>8915</v>
      </c>
      <c r="Q1447" s="15" t="s">
        <v>8916</v>
      </c>
      <c r="R1447" s="16">
        <v>44329</v>
      </c>
      <c r="S1447" s="17" t="s">
        <v>8687</v>
      </c>
      <c r="T1447" s="20">
        <f>HYPERLINK("https://vnm.spiral.com.vn//uploaded/20210513/280398C1-6922-4EC8-8487-33B82F1A5B65.jpg","13:20:49")</f>
      </c>
      <c r="U1447" s="18"/>
      <c r="V1447" s="18" t="s">
        <v>35</v>
      </c>
      <c r="W1447" s="15" t="s">
        <v>8917</v>
      </c>
      <c r="X1447" s="15" t="s">
        <v>35</v>
      </c>
      <c r="Y1447" s="15" t="s">
        <v>35</v>
      </c>
      <c r="Z1447" s="19">
        <v>0</v>
      </c>
      <c r="AA1447" s="15">
        <v>0</v>
      </c>
      <c r="AB1447" s="15" t="s">
        <v>35</v>
      </c>
    </row>
    <row r="1448">
      <c r="A1448" s="15">
        <v>1444</v>
      </c>
      <c r="B1448" s="15" t="s">
        <v>103</v>
      </c>
      <c r="C1448" s="15" t="s">
        <v>186</v>
      </c>
      <c r="D1448" s="15" t="s">
        <v>148</v>
      </c>
      <c r="E1448" s="15" t="s">
        <v>90</v>
      </c>
      <c r="F1448" s="15" t="s">
        <v>35</v>
      </c>
      <c r="G1448" s="15" t="s">
        <v>74</v>
      </c>
      <c r="H1448" s="15" t="s">
        <v>3244</v>
      </c>
      <c r="I1448" s="15" t="s">
        <v>3245</v>
      </c>
      <c r="J1448" s="15" t="s">
        <v>3246</v>
      </c>
      <c r="K1448" s="15" t="s">
        <v>178</v>
      </c>
      <c r="L1448" s="15" t="s">
        <v>179</v>
      </c>
      <c r="M1448" s="15" t="s">
        <v>3247</v>
      </c>
      <c r="N1448" s="15" t="s">
        <v>3248</v>
      </c>
      <c r="O1448" s="15" t="s">
        <v>156</v>
      </c>
      <c r="P1448" s="15" t="s">
        <v>8918</v>
      </c>
      <c r="Q1448" s="15" t="s">
        <v>8919</v>
      </c>
      <c r="R1448" s="16">
        <v>44329</v>
      </c>
      <c r="S1448" s="17" t="s">
        <v>8687</v>
      </c>
      <c r="T1448" s="20">
        <f>HYPERLINK("https://vnm.spiral.com.vn//uploaded/20210513/d56310f5-4c21-45a4-8ca5-c601ac2166d5.JPEG","13:20:47")</f>
      </c>
      <c r="U1448" s="18"/>
      <c r="V1448" s="18" t="s">
        <v>35</v>
      </c>
      <c r="W1448" s="15" t="s">
        <v>8920</v>
      </c>
      <c r="X1448" s="15" t="s">
        <v>35</v>
      </c>
      <c r="Y1448" s="15" t="s">
        <v>35</v>
      </c>
      <c r="Z1448" s="19">
        <v>0</v>
      </c>
      <c r="AA1448" s="15">
        <v>0</v>
      </c>
      <c r="AB1448" s="15" t="s">
        <v>35</v>
      </c>
    </row>
    <row r="1449">
      <c r="A1449" s="15">
        <v>1445</v>
      </c>
      <c r="B1449" s="15" t="s">
        <v>343</v>
      </c>
      <c r="C1449" s="15" t="s">
        <v>344</v>
      </c>
      <c r="D1449" s="15" t="s">
        <v>35</v>
      </c>
      <c r="E1449" s="15" t="s">
        <v>35</v>
      </c>
      <c r="F1449" s="15" t="s">
        <v>35</v>
      </c>
      <c r="G1449" s="15" t="s">
        <v>74</v>
      </c>
      <c r="H1449" s="15" t="s">
        <v>5295</v>
      </c>
      <c r="I1449" s="15" t="s">
        <v>5296</v>
      </c>
      <c r="J1449" s="15" t="s">
        <v>5297</v>
      </c>
      <c r="K1449" s="15" t="s">
        <v>897</v>
      </c>
      <c r="L1449" s="15" t="s">
        <v>898</v>
      </c>
      <c r="M1449" s="15" t="s">
        <v>4558</v>
      </c>
      <c r="N1449" s="15" t="s">
        <v>4559</v>
      </c>
      <c r="O1449" s="15" t="s">
        <v>156</v>
      </c>
      <c r="P1449" s="15" t="s">
        <v>8921</v>
      </c>
      <c r="Q1449" s="15" t="s">
        <v>8922</v>
      </c>
      <c r="R1449" s="16">
        <v>44329</v>
      </c>
      <c r="S1449" s="17" t="s">
        <v>8687</v>
      </c>
      <c r="T1449" s="20">
        <f>HYPERLINK("https://vnm.spiral.com.vn//uploaded/20210513/cb29e995-b6a5-40ed-be8a-0dd87877fa24.JPEG","13:20:30")</f>
      </c>
      <c r="U1449" s="18"/>
      <c r="V1449" s="18" t="s">
        <v>35</v>
      </c>
      <c r="W1449" s="15" t="s">
        <v>8923</v>
      </c>
      <c r="X1449" s="15" t="s">
        <v>35</v>
      </c>
      <c r="Y1449" s="15" t="s">
        <v>35</v>
      </c>
      <c r="Z1449" s="19">
        <v>0</v>
      </c>
      <c r="AA1449" s="15">
        <v>0</v>
      </c>
      <c r="AB1449" s="15" t="s">
        <v>35</v>
      </c>
    </row>
    <row r="1450">
      <c r="A1450" s="15">
        <v>1446</v>
      </c>
      <c r="B1450" s="15" t="s">
        <v>103</v>
      </c>
      <c r="C1450" s="15" t="s">
        <v>1078</v>
      </c>
      <c r="D1450" s="15" t="s">
        <v>432</v>
      </c>
      <c r="E1450" s="15" t="s">
        <v>116</v>
      </c>
      <c r="F1450" s="15" t="s">
        <v>35</v>
      </c>
      <c r="G1450" s="15" t="s">
        <v>74</v>
      </c>
      <c r="H1450" s="15" t="s">
        <v>8924</v>
      </c>
      <c r="I1450" s="15" t="s">
        <v>8925</v>
      </c>
      <c r="J1450" s="15" t="s">
        <v>8926</v>
      </c>
      <c r="K1450" s="15" t="s">
        <v>436</v>
      </c>
      <c r="L1450" s="15" t="s">
        <v>437</v>
      </c>
      <c r="M1450" s="15" t="s">
        <v>438</v>
      </c>
      <c r="N1450" s="15" t="s">
        <v>439</v>
      </c>
      <c r="O1450" s="15" t="s">
        <v>82</v>
      </c>
      <c r="P1450" s="15" t="s">
        <v>1082</v>
      </c>
      <c r="Q1450" s="15" t="s">
        <v>1083</v>
      </c>
      <c r="R1450" s="16">
        <v>44329</v>
      </c>
      <c r="S1450" s="17" t="s">
        <v>70</v>
      </c>
      <c r="T1450" s="20">
        <f>HYPERLINK("https://vnm.spiral.com.vn//uploaded/20210513/932CA6A4-0347-48D0-B538-38354DAFBE71.jpg","10:25:14")</f>
      </c>
      <c r="U1450" s="20">
        <f>HYPERLINK("https://vnm.spiral.com.vn//uploaded/20210513/91BB6BF2-8B33-4705-AFBE-A15B5763AA98.jpg","13:20:27")</f>
      </c>
      <c r="V1450" s="18">
        <v>0.12167824074074074</v>
      </c>
      <c r="W1450" s="15" t="s">
        <v>8927</v>
      </c>
      <c r="X1450" s="15" t="s">
        <v>8928</v>
      </c>
      <c r="Y1450" s="15" t="s">
        <v>35</v>
      </c>
      <c r="Z1450" s="19">
        <v>0</v>
      </c>
      <c r="AA1450" s="15">
        <v>0</v>
      </c>
      <c r="AB1450" s="15" t="s">
        <v>35</v>
      </c>
    </row>
    <row r="1451">
      <c r="A1451" s="15">
        <v>1447</v>
      </c>
      <c r="B1451" s="15" t="s">
        <v>246</v>
      </c>
      <c r="C1451" s="15" t="s">
        <v>2845</v>
      </c>
      <c r="D1451" s="15" t="s">
        <v>89</v>
      </c>
      <c r="E1451" s="15" t="s">
        <v>90</v>
      </c>
      <c r="F1451" s="15" t="s">
        <v>35</v>
      </c>
      <c r="G1451" s="15" t="s">
        <v>74</v>
      </c>
      <c r="H1451" s="15" t="s">
        <v>2846</v>
      </c>
      <c r="I1451" s="15" t="s">
        <v>2847</v>
      </c>
      <c r="J1451" s="15" t="s">
        <v>2848</v>
      </c>
      <c r="K1451" s="15" t="s">
        <v>263</v>
      </c>
      <c r="L1451" s="15" t="s">
        <v>264</v>
      </c>
      <c r="M1451" s="15" t="s">
        <v>2009</v>
      </c>
      <c r="N1451" s="15" t="s">
        <v>2010</v>
      </c>
      <c r="O1451" s="15" t="s">
        <v>156</v>
      </c>
      <c r="P1451" s="15" t="s">
        <v>8929</v>
      </c>
      <c r="Q1451" s="15" t="s">
        <v>8930</v>
      </c>
      <c r="R1451" s="16">
        <v>44329</v>
      </c>
      <c r="S1451" s="17" t="s">
        <v>5058</v>
      </c>
      <c r="T1451" s="20">
        <f>HYPERLINK("https://vnm.spiral.com.vn//uploaded/20210513/861C2BC3-23E8-4722-A5BD-D73F0AE2FB36.jpg","13:20:17")</f>
      </c>
      <c r="U1451" s="18"/>
      <c r="V1451" s="18" t="s">
        <v>35</v>
      </c>
      <c r="W1451" s="15" t="s">
        <v>8931</v>
      </c>
      <c r="X1451" s="15" t="s">
        <v>35</v>
      </c>
      <c r="Y1451" s="15" t="s">
        <v>35</v>
      </c>
      <c r="Z1451" s="19">
        <v>0</v>
      </c>
      <c r="AA1451" s="15">
        <v>0</v>
      </c>
      <c r="AB1451" s="15" t="s">
        <v>35</v>
      </c>
    </row>
    <row r="1452">
      <c r="A1452" s="15">
        <v>1448</v>
      </c>
      <c r="B1452" s="15" t="s">
        <v>343</v>
      </c>
      <c r="C1452" s="15" t="s">
        <v>1150</v>
      </c>
      <c r="D1452" s="15" t="s">
        <v>148</v>
      </c>
      <c r="E1452" s="15" t="s">
        <v>90</v>
      </c>
      <c r="F1452" s="15" t="s">
        <v>35</v>
      </c>
      <c r="G1452" s="15" t="s">
        <v>74</v>
      </c>
      <c r="H1452" s="15" t="s">
        <v>8932</v>
      </c>
      <c r="I1452" s="15" t="s">
        <v>8933</v>
      </c>
      <c r="J1452" s="15" t="s">
        <v>8934</v>
      </c>
      <c r="K1452" s="15" t="s">
        <v>512</v>
      </c>
      <c r="L1452" s="15" t="s">
        <v>513</v>
      </c>
      <c r="M1452" s="15" t="s">
        <v>1154</v>
      </c>
      <c r="N1452" s="15" t="s">
        <v>1155</v>
      </c>
      <c r="O1452" s="15" t="s">
        <v>156</v>
      </c>
      <c r="P1452" s="15" t="s">
        <v>8935</v>
      </c>
      <c r="Q1452" s="15" t="s">
        <v>8936</v>
      </c>
      <c r="R1452" s="16">
        <v>44329</v>
      </c>
      <c r="S1452" s="17" t="s">
        <v>8687</v>
      </c>
      <c r="T1452" s="20">
        <f>HYPERLINK("https://vnm.spiral.com.vn//uploaded/20210513/e4240f47-f486-4be5-ad1a-1e96409362d0.JPEG","13:20:16")</f>
      </c>
      <c r="U1452" s="18"/>
      <c r="V1452" s="18" t="s">
        <v>35</v>
      </c>
      <c r="W1452" s="15" t="s">
        <v>8937</v>
      </c>
      <c r="X1452" s="15" t="s">
        <v>35</v>
      </c>
      <c r="Y1452" s="15" t="s">
        <v>35</v>
      </c>
      <c r="Z1452" s="19">
        <v>0</v>
      </c>
      <c r="AA1452" s="15">
        <v>0</v>
      </c>
      <c r="AB1452" s="15" t="s">
        <v>35</v>
      </c>
    </row>
    <row r="1453">
      <c r="A1453" s="15">
        <v>1449</v>
      </c>
      <c r="B1453" s="15" t="s">
        <v>343</v>
      </c>
      <c r="C1453" s="15" t="s">
        <v>344</v>
      </c>
      <c r="D1453" s="15" t="s">
        <v>35</v>
      </c>
      <c r="E1453" s="15" t="s">
        <v>35</v>
      </c>
      <c r="F1453" s="15" t="s">
        <v>35</v>
      </c>
      <c r="G1453" s="15" t="s">
        <v>74</v>
      </c>
      <c r="H1453" s="15" t="s">
        <v>8938</v>
      </c>
      <c r="I1453" s="15" t="s">
        <v>8939</v>
      </c>
      <c r="J1453" s="15" t="s">
        <v>8940</v>
      </c>
      <c r="K1453" s="15" t="s">
        <v>584</v>
      </c>
      <c r="L1453" s="15" t="s">
        <v>585</v>
      </c>
      <c r="M1453" s="15" t="s">
        <v>827</v>
      </c>
      <c r="N1453" s="15" t="s">
        <v>828</v>
      </c>
      <c r="O1453" s="15" t="s">
        <v>82</v>
      </c>
      <c r="P1453" s="15" t="s">
        <v>7778</v>
      </c>
      <c r="Q1453" s="15" t="s">
        <v>7779</v>
      </c>
      <c r="R1453" s="16">
        <v>44329</v>
      </c>
      <c r="S1453" s="17" t="s">
        <v>70</v>
      </c>
      <c r="T1453" s="20">
        <f>HYPERLINK("https://vnm.spiral.com.vn//uploaded/20210513/1a441c1c-169a-485e-a214-7a9b32998665.JPEG","13:04:08")</f>
      </c>
      <c r="U1453" s="20">
        <f>HYPERLINK("https://vnm.spiral.com.vn//uploaded/20210513/4ecffb76-7154-4ce2-a054-f808a2dc97bd.JPEG","13:19:39")</f>
      </c>
      <c r="V1453" s="18">
        <v>0.010775462962962962</v>
      </c>
      <c r="W1453" s="15" t="s">
        <v>8941</v>
      </c>
      <c r="X1453" s="15" t="s">
        <v>8942</v>
      </c>
      <c r="Y1453" s="15" t="s">
        <v>35</v>
      </c>
      <c r="Z1453" s="19">
        <v>0</v>
      </c>
      <c r="AA1453" s="15">
        <v>0</v>
      </c>
      <c r="AB1453" s="15" t="s">
        <v>35</v>
      </c>
    </row>
    <row r="1454">
      <c r="A1454" s="15">
        <v>1450</v>
      </c>
      <c r="B1454" s="15" t="s">
        <v>61</v>
      </c>
      <c r="C1454" s="15" t="s">
        <v>303</v>
      </c>
      <c r="D1454" s="15" t="s">
        <v>610</v>
      </c>
      <c r="E1454" s="15" t="s">
        <v>90</v>
      </c>
      <c r="F1454" s="15" t="s">
        <v>35</v>
      </c>
      <c r="G1454" s="15" t="s">
        <v>74</v>
      </c>
      <c r="H1454" s="15" t="s">
        <v>8943</v>
      </c>
      <c r="I1454" s="15" t="s">
        <v>8944</v>
      </c>
      <c r="J1454" s="15" t="s">
        <v>8945</v>
      </c>
      <c r="K1454" s="15" t="s">
        <v>309</v>
      </c>
      <c r="L1454" s="15" t="s">
        <v>310</v>
      </c>
      <c r="M1454" s="15" t="s">
        <v>311</v>
      </c>
      <c r="N1454" s="15" t="s">
        <v>312</v>
      </c>
      <c r="O1454" s="15" t="s">
        <v>82</v>
      </c>
      <c r="P1454" s="15" t="s">
        <v>8750</v>
      </c>
      <c r="Q1454" s="15" t="s">
        <v>8751</v>
      </c>
      <c r="R1454" s="16">
        <v>44329</v>
      </c>
      <c r="S1454" s="17" t="s">
        <v>70</v>
      </c>
      <c r="T1454" s="20">
        <f>HYPERLINK("https://vnm.spiral.com.vn//uploaded/20210513/AADC84CC-2E82-48C5-8304-53137AB37541.jpg","12:54:58")</f>
      </c>
      <c r="U1454" s="20">
        <f>HYPERLINK("https://vnm.spiral.com.vn//uploaded/20210513/31C815B7-9B1E-408A-A273-F4A46D0B73B0.jpg","13:19:17")</f>
      </c>
      <c r="V1454" s="18">
        <v>0.016886574074074075</v>
      </c>
      <c r="W1454" s="15" t="s">
        <v>8946</v>
      </c>
      <c r="X1454" s="15" t="s">
        <v>8947</v>
      </c>
      <c r="Y1454" s="15" t="s">
        <v>35</v>
      </c>
      <c r="Z1454" s="19">
        <v>0</v>
      </c>
      <c r="AA1454" s="15">
        <v>0</v>
      </c>
      <c r="AB1454" s="15" t="s">
        <v>35</v>
      </c>
    </row>
    <row r="1455">
      <c r="A1455" s="15">
        <v>1451</v>
      </c>
      <c r="B1455" s="15" t="s">
        <v>49</v>
      </c>
      <c r="C1455" s="15" t="s">
        <v>1715</v>
      </c>
      <c r="D1455" s="15" t="s">
        <v>35</v>
      </c>
      <c r="E1455" s="15" t="s">
        <v>35</v>
      </c>
      <c r="F1455" s="15" t="s">
        <v>8313</v>
      </c>
      <c r="G1455" s="15" t="s">
        <v>36</v>
      </c>
      <c r="H1455" s="15" t="s">
        <v>8948</v>
      </c>
      <c r="I1455" s="15" t="s">
        <v>8949</v>
      </c>
      <c r="J1455" s="15" t="s">
        <v>8950</v>
      </c>
      <c r="K1455" s="15" t="s">
        <v>40</v>
      </c>
      <c r="L1455" s="15" t="s">
        <v>41</v>
      </c>
      <c r="M1455" s="15" t="s">
        <v>55</v>
      </c>
      <c r="N1455" s="15" t="s">
        <v>56</v>
      </c>
      <c r="O1455" s="15" t="s">
        <v>44</v>
      </c>
      <c r="P1455" s="15" t="s">
        <v>8951</v>
      </c>
      <c r="Q1455" s="15" t="s">
        <v>364</v>
      </c>
      <c r="R1455" s="16">
        <v>44329</v>
      </c>
      <c r="S1455" s="17" t="s">
        <v>569</v>
      </c>
      <c r="T1455" s="20">
        <f>HYPERLINK("https://vnm.spiral.com.vn//uploaded/20210513/b8a6aaad-04f5-4043-ac5f-aec0a2ff4254.JPEG","13:19:00")</f>
      </c>
      <c r="U1455" s="18"/>
      <c r="V1455" s="18" t="s">
        <v>35</v>
      </c>
      <c r="W1455" s="15" t="s">
        <v>8952</v>
      </c>
      <c r="X1455" s="15" t="s">
        <v>35</v>
      </c>
      <c r="Y1455" s="15" t="s">
        <v>35</v>
      </c>
      <c r="Z1455" s="19">
        <v>0</v>
      </c>
      <c r="AA1455" s="15">
        <v>0</v>
      </c>
      <c r="AB1455" s="15" t="s">
        <v>35</v>
      </c>
    </row>
    <row r="1456">
      <c r="A1456" s="15">
        <v>1452</v>
      </c>
      <c r="B1456" s="15" t="s">
        <v>49</v>
      </c>
      <c r="C1456" s="15" t="s">
        <v>162</v>
      </c>
      <c r="D1456" s="15" t="s">
        <v>135</v>
      </c>
      <c r="E1456" s="15" t="s">
        <v>116</v>
      </c>
      <c r="F1456" s="15" t="s">
        <v>35</v>
      </c>
      <c r="G1456" s="15" t="s">
        <v>74</v>
      </c>
      <c r="H1456" s="15" t="s">
        <v>8953</v>
      </c>
      <c r="I1456" s="15" t="s">
        <v>8954</v>
      </c>
      <c r="J1456" s="15" t="s">
        <v>8955</v>
      </c>
      <c r="K1456" s="15" t="s">
        <v>166</v>
      </c>
      <c r="L1456" s="15" t="s">
        <v>167</v>
      </c>
      <c r="M1456" s="15" t="s">
        <v>168</v>
      </c>
      <c r="N1456" s="15" t="s">
        <v>169</v>
      </c>
      <c r="O1456" s="15" t="s">
        <v>82</v>
      </c>
      <c r="P1456" s="15" t="s">
        <v>4399</v>
      </c>
      <c r="Q1456" s="15" t="s">
        <v>4400</v>
      </c>
      <c r="R1456" s="16">
        <v>44329</v>
      </c>
      <c r="S1456" s="17" t="s">
        <v>70</v>
      </c>
      <c r="T1456" s="20">
        <f>HYPERLINK("https://vnm.spiral.com.vn//uploaded/20210513/6CD1E964-E1EF-47D1-9757-5C3C62E14152.jpg","13:02:58")</f>
      </c>
      <c r="U1456" s="20">
        <f>HYPERLINK("https://vnm.spiral.com.vn//uploaded/20210513/A4BB1A3A-A571-44A2-9845-4D6542958D54.jpg","13:18:55")</f>
      </c>
      <c r="V1456" s="18">
        <v>0.011076388888888889</v>
      </c>
      <c r="W1456" s="15" t="s">
        <v>8956</v>
      </c>
      <c r="X1456" s="15" t="s">
        <v>8957</v>
      </c>
      <c r="Y1456" s="15" t="s">
        <v>35</v>
      </c>
      <c r="Z1456" s="19">
        <v>0</v>
      </c>
      <c r="AA1456" s="15">
        <v>0</v>
      </c>
      <c r="AB1456" s="15" t="s">
        <v>35</v>
      </c>
    </row>
    <row r="1457">
      <c r="A1457" s="15">
        <v>1453</v>
      </c>
      <c r="B1457" s="15" t="s">
        <v>49</v>
      </c>
      <c r="C1457" s="15" t="s">
        <v>1715</v>
      </c>
      <c r="D1457" s="15" t="s">
        <v>35</v>
      </c>
      <c r="E1457" s="15" t="s">
        <v>35</v>
      </c>
      <c r="F1457" s="15" t="s">
        <v>8313</v>
      </c>
      <c r="G1457" s="15" t="s">
        <v>36</v>
      </c>
      <c r="H1457" s="15" t="s">
        <v>8948</v>
      </c>
      <c r="I1457" s="15" t="s">
        <v>8949</v>
      </c>
      <c r="J1457" s="15" t="s">
        <v>8950</v>
      </c>
      <c r="K1457" s="15" t="s">
        <v>40</v>
      </c>
      <c r="L1457" s="15" t="s">
        <v>41</v>
      </c>
      <c r="M1457" s="15" t="s">
        <v>55</v>
      </c>
      <c r="N1457" s="15" t="s">
        <v>56</v>
      </c>
      <c r="O1457" s="15" t="s">
        <v>44</v>
      </c>
      <c r="P1457" s="15" t="s">
        <v>8951</v>
      </c>
      <c r="Q1457" s="15" t="s">
        <v>364</v>
      </c>
      <c r="R1457" s="16">
        <v>44329</v>
      </c>
      <c r="S1457" s="17" t="s">
        <v>7866</v>
      </c>
      <c r="T1457" s="20">
        <f>HYPERLINK("https://vnm.spiral.com.vn//uploaded/20210513/3dd890c2-5e70-4f99-9fc7-b170ab671c9b.JPEG","07:20:16")</f>
      </c>
      <c r="U1457" s="20">
        <f>HYPERLINK("https://vnm.spiral.com.vn//uploaded/20210513/ee68d5c6-5b42-4d48-9194-57522e327676.JPEG","13:18:37")</f>
      </c>
      <c r="V1457" s="18">
        <v>0.24885416666666665</v>
      </c>
      <c r="W1457" s="15" t="s">
        <v>8958</v>
      </c>
      <c r="X1457" s="15" t="s">
        <v>8959</v>
      </c>
      <c r="Y1457" s="15" t="s">
        <v>35</v>
      </c>
      <c r="Z1457" s="19">
        <v>0</v>
      </c>
      <c r="AA1457" s="15">
        <v>0</v>
      </c>
      <c r="AB1457" s="15" t="s">
        <v>35</v>
      </c>
    </row>
    <row r="1458">
      <c r="A1458" s="15">
        <v>1454</v>
      </c>
      <c r="B1458" s="15" t="s">
        <v>61</v>
      </c>
      <c r="C1458" s="15" t="s">
        <v>442</v>
      </c>
      <c r="D1458" s="15" t="s">
        <v>89</v>
      </c>
      <c r="E1458" s="15" t="s">
        <v>90</v>
      </c>
      <c r="F1458" s="15" t="s">
        <v>35</v>
      </c>
      <c r="G1458" s="15" t="s">
        <v>74</v>
      </c>
      <c r="H1458" s="15" t="s">
        <v>5657</v>
      </c>
      <c r="I1458" s="15" t="s">
        <v>5658</v>
      </c>
      <c r="J1458" s="15" t="s">
        <v>5659</v>
      </c>
      <c r="K1458" s="15" t="s">
        <v>232</v>
      </c>
      <c r="L1458" s="15" t="s">
        <v>233</v>
      </c>
      <c r="M1458" s="15" t="s">
        <v>453</v>
      </c>
      <c r="N1458" s="15" t="s">
        <v>454</v>
      </c>
      <c r="O1458" s="15" t="s">
        <v>156</v>
      </c>
      <c r="P1458" s="15" t="s">
        <v>8960</v>
      </c>
      <c r="Q1458" s="15" t="s">
        <v>8961</v>
      </c>
      <c r="R1458" s="16">
        <v>44329</v>
      </c>
      <c r="S1458" s="17" t="s">
        <v>8687</v>
      </c>
      <c r="T1458" s="20">
        <f>HYPERLINK("https://vnm.spiral.com.vn//uploaded/20210513/6C1C00E7-6D42-476D-A1BA-B2E7FC833ED5.jpg","13:18:34")</f>
      </c>
      <c r="U1458" s="18"/>
      <c r="V1458" s="18" t="s">
        <v>35</v>
      </c>
      <c r="W1458" s="15" t="s">
        <v>8962</v>
      </c>
      <c r="X1458" s="15" t="s">
        <v>35</v>
      </c>
      <c r="Y1458" s="15" t="s">
        <v>35</v>
      </c>
      <c r="Z1458" s="19">
        <v>0</v>
      </c>
      <c r="AA1458" s="15">
        <v>0</v>
      </c>
      <c r="AB1458" s="15" t="s">
        <v>35</v>
      </c>
    </row>
    <row r="1459">
      <c r="A1459" s="15">
        <v>1455</v>
      </c>
      <c r="B1459" s="15" t="s">
        <v>49</v>
      </c>
      <c r="C1459" s="15" t="s">
        <v>756</v>
      </c>
      <c r="D1459" s="15" t="s">
        <v>35</v>
      </c>
      <c r="E1459" s="15" t="s">
        <v>35</v>
      </c>
      <c r="F1459" s="15" t="s">
        <v>6964</v>
      </c>
      <c r="G1459" s="15" t="s">
        <v>36</v>
      </c>
      <c r="H1459" s="15" t="s">
        <v>8963</v>
      </c>
      <c r="I1459" s="15" t="s">
        <v>8964</v>
      </c>
      <c r="J1459" s="15" t="s">
        <v>8965</v>
      </c>
      <c r="K1459" s="15" t="s">
        <v>40</v>
      </c>
      <c r="L1459" s="15" t="s">
        <v>41</v>
      </c>
      <c r="M1459" s="15" t="s">
        <v>55</v>
      </c>
      <c r="N1459" s="15" t="s">
        <v>56</v>
      </c>
      <c r="O1459" s="15" t="s">
        <v>44</v>
      </c>
      <c r="P1459" s="15" t="s">
        <v>8966</v>
      </c>
      <c r="Q1459" s="15" t="s">
        <v>8967</v>
      </c>
      <c r="R1459" s="16">
        <v>44329</v>
      </c>
      <c r="S1459" s="17" t="s">
        <v>8968</v>
      </c>
      <c r="T1459" s="20">
        <f>HYPERLINK("https://vnm.spiral.com.vn//uploaded/20210513/95d00bd8-490c-44a9-89ae-7a4442203818.JPEG","13:18:16")</f>
      </c>
      <c r="U1459" s="18"/>
      <c r="V1459" s="18" t="s">
        <v>35</v>
      </c>
      <c r="W1459" s="15" t="s">
        <v>8969</v>
      </c>
      <c r="X1459" s="15" t="s">
        <v>35</v>
      </c>
      <c r="Y1459" s="15" t="s">
        <v>35</v>
      </c>
      <c r="Z1459" s="19">
        <v>0</v>
      </c>
      <c r="AA1459" s="15">
        <v>0</v>
      </c>
      <c r="AB1459" s="15" t="s">
        <v>35</v>
      </c>
    </row>
    <row r="1460">
      <c r="A1460" s="15">
        <v>1456</v>
      </c>
      <c r="B1460" s="15" t="s">
        <v>103</v>
      </c>
      <c r="C1460" s="15" t="s">
        <v>1078</v>
      </c>
      <c r="D1460" s="15" t="s">
        <v>135</v>
      </c>
      <c r="E1460" s="15" t="s">
        <v>116</v>
      </c>
      <c r="F1460" s="15" t="s">
        <v>35</v>
      </c>
      <c r="G1460" s="15" t="s">
        <v>74</v>
      </c>
      <c r="H1460" s="15" t="s">
        <v>8970</v>
      </c>
      <c r="I1460" s="15" t="s">
        <v>8971</v>
      </c>
      <c r="J1460" s="15" t="s">
        <v>8972</v>
      </c>
      <c r="K1460" s="15" t="s">
        <v>436</v>
      </c>
      <c r="L1460" s="15" t="s">
        <v>437</v>
      </c>
      <c r="M1460" s="15" t="s">
        <v>1429</v>
      </c>
      <c r="N1460" s="15" t="s">
        <v>1430</v>
      </c>
      <c r="O1460" s="15" t="s">
        <v>82</v>
      </c>
      <c r="P1460" s="15" t="s">
        <v>2234</v>
      </c>
      <c r="Q1460" s="15" t="s">
        <v>2235</v>
      </c>
      <c r="R1460" s="16">
        <v>44329</v>
      </c>
      <c r="S1460" s="17" t="s">
        <v>70</v>
      </c>
      <c r="T1460" s="20">
        <f>HYPERLINK("https://vnm.spiral.com.vn//uploaded/20210513/76C60D59-05EA-4C34-BBB1-D1CB7F5EAB25.jpg","12:33:39")</f>
      </c>
      <c r="U1460" s="20">
        <f>HYPERLINK("https://vnm.spiral.com.vn//uploaded/20210513/9B2FBAE1-FFE8-4F3B-A351-0870F53F7535.jpg","13:17:59")</f>
      </c>
      <c r="V1460" s="18">
        <v>0.030787037037037036</v>
      </c>
      <c r="W1460" s="15" t="s">
        <v>8973</v>
      </c>
      <c r="X1460" s="15" t="s">
        <v>8974</v>
      </c>
      <c r="Y1460" s="15" t="s">
        <v>35</v>
      </c>
      <c r="Z1460" s="19">
        <v>0</v>
      </c>
      <c r="AA1460" s="15">
        <v>0</v>
      </c>
      <c r="AB1460" s="15" t="s">
        <v>35</v>
      </c>
    </row>
    <row r="1461">
      <c r="A1461" s="15">
        <v>1457</v>
      </c>
      <c r="B1461" s="15" t="s">
        <v>87</v>
      </c>
      <c r="C1461" s="15" t="s">
        <v>88</v>
      </c>
      <c r="D1461" s="15" t="s">
        <v>148</v>
      </c>
      <c r="E1461" s="15" t="s">
        <v>90</v>
      </c>
      <c r="F1461" s="15" t="s">
        <v>35</v>
      </c>
      <c r="G1461" s="15" t="s">
        <v>74</v>
      </c>
      <c r="H1461" s="15" t="s">
        <v>8878</v>
      </c>
      <c r="I1461" s="15" t="s">
        <v>8879</v>
      </c>
      <c r="J1461" s="15" t="s">
        <v>8880</v>
      </c>
      <c r="K1461" s="15" t="s">
        <v>1204</v>
      </c>
      <c r="L1461" s="15" t="s">
        <v>1205</v>
      </c>
      <c r="M1461" s="15" t="s">
        <v>1206</v>
      </c>
      <c r="N1461" s="15" t="s">
        <v>1207</v>
      </c>
      <c r="O1461" s="15" t="s">
        <v>156</v>
      </c>
      <c r="P1461" s="15" t="s">
        <v>8975</v>
      </c>
      <c r="Q1461" s="15" t="s">
        <v>8976</v>
      </c>
      <c r="R1461" s="16">
        <v>44329</v>
      </c>
      <c r="S1461" s="17" t="s">
        <v>8687</v>
      </c>
      <c r="T1461" s="20">
        <f>HYPERLINK("https://vnm.spiral.com.vn//uploaded/20210513/2de8dbc7-5b63-4f9b-be51-28769d51bc0f.JPEG","13:17:48")</f>
      </c>
      <c r="U1461" s="18"/>
      <c r="V1461" s="18" t="s">
        <v>35</v>
      </c>
      <c r="W1461" s="15" t="s">
        <v>8977</v>
      </c>
      <c r="X1461" s="15" t="s">
        <v>35</v>
      </c>
      <c r="Y1461" s="15" t="s">
        <v>35</v>
      </c>
      <c r="Z1461" s="19">
        <v>0</v>
      </c>
      <c r="AA1461" s="15">
        <v>0</v>
      </c>
      <c r="AB1461" s="15" t="s">
        <v>35</v>
      </c>
    </row>
    <row r="1462">
      <c r="A1462" s="15">
        <v>1458</v>
      </c>
      <c r="B1462" s="15" t="s">
        <v>103</v>
      </c>
      <c r="C1462" s="15" t="s">
        <v>104</v>
      </c>
      <c r="D1462" s="15" t="s">
        <v>432</v>
      </c>
      <c r="E1462" s="15" t="s">
        <v>116</v>
      </c>
      <c r="F1462" s="15" t="s">
        <v>35</v>
      </c>
      <c r="G1462" s="15" t="s">
        <v>74</v>
      </c>
      <c r="H1462" s="15" t="s">
        <v>8978</v>
      </c>
      <c r="I1462" s="15" t="s">
        <v>8979</v>
      </c>
      <c r="J1462" s="15" t="s">
        <v>8980</v>
      </c>
      <c r="K1462" s="15" t="s">
        <v>915</v>
      </c>
      <c r="L1462" s="15" t="s">
        <v>916</v>
      </c>
      <c r="M1462" s="15" t="s">
        <v>897</v>
      </c>
      <c r="N1462" s="15" t="s">
        <v>898</v>
      </c>
      <c r="O1462" s="15" t="s">
        <v>82</v>
      </c>
      <c r="P1462" s="15" t="s">
        <v>1446</v>
      </c>
      <c r="Q1462" s="15" t="s">
        <v>1447</v>
      </c>
      <c r="R1462" s="16">
        <v>44329</v>
      </c>
      <c r="S1462" s="17" t="s">
        <v>70</v>
      </c>
      <c r="T1462" s="20">
        <f>HYPERLINK("https://vnm.spiral.com.vn//uploaded/20210513/d3bc7de7-41a5-4cd5-8e59-cc3fd3106d8a.JPEG","11:50:48")</f>
      </c>
      <c r="U1462" s="20">
        <f>HYPERLINK("https://vnm.spiral.com.vn//uploaded/20210513/d57b9c53-eec4-4273-91e0-092ec746a291.JPEG","13:17:32")</f>
      </c>
      <c r="V1462" s="18">
        <v>0.06023148148148148</v>
      </c>
      <c r="W1462" s="15" t="s">
        <v>8981</v>
      </c>
      <c r="X1462" s="15" t="s">
        <v>8982</v>
      </c>
      <c r="Y1462" s="15" t="s">
        <v>35</v>
      </c>
      <c r="Z1462" s="19">
        <v>0</v>
      </c>
      <c r="AA1462" s="15">
        <v>0</v>
      </c>
      <c r="AB1462" s="15" t="s">
        <v>35</v>
      </c>
    </row>
    <row r="1463">
      <c r="A1463" s="15">
        <v>1459</v>
      </c>
      <c r="B1463" s="15" t="s">
        <v>61</v>
      </c>
      <c r="C1463" s="15" t="s">
        <v>320</v>
      </c>
      <c r="D1463" s="15" t="s">
        <v>35</v>
      </c>
      <c r="E1463" s="15" t="s">
        <v>35</v>
      </c>
      <c r="F1463" s="15" t="s">
        <v>35</v>
      </c>
      <c r="G1463" s="15" t="s">
        <v>36</v>
      </c>
      <c r="H1463" s="15" t="s">
        <v>3961</v>
      </c>
      <c r="I1463" s="15" t="s">
        <v>3962</v>
      </c>
      <c r="J1463" s="15" t="s">
        <v>3963</v>
      </c>
      <c r="K1463" s="15" t="s">
        <v>40</v>
      </c>
      <c r="L1463" s="15" t="s">
        <v>41</v>
      </c>
      <c r="M1463" s="15" t="s">
        <v>205</v>
      </c>
      <c r="N1463" s="15" t="s">
        <v>206</v>
      </c>
      <c r="O1463" s="15" t="s">
        <v>44</v>
      </c>
      <c r="P1463" s="15" t="s">
        <v>3964</v>
      </c>
      <c r="Q1463" s="15" t="s">
        <v>3965</v>
      </c>
      <c r="R1463" s="16">
        <v>44329</v>
      </c>
      <c r="S1463" s="17" t="s">
        <v>317</v>
      </c>
      <c r="T1463" s="20">
        <f>HYPERLINK("https://vnm.spiral.com.vn//uploaded/20210513/680AEC93-222D-4F53-8D3D-CE1564FCA5E5.jpg","08:21:22")</f>
      </c>
      <c r="U1463" s="20">
        <f>HYPERLINK("https://vnm.spiral.com.vn//uploaded/20210513/4A22FC26-3C59-417B-BAD1-8B788F9BDD31.jpg","13:17:20")</f>
      </c>
      <c r="V1463" s="18">
        <v>0.2055324074074074</v>
      </c>
      <c r="W1463" s="15" t="s">
        <v>8983</v>
      </c>
      <c r="X1463" s="15" t="s">
        <v>8984</v>
      </c>
      <c r="Y1463" s="15" t="s">
        <v>35</v>
      </c>
      <c r="Z1463" s="19">
        <v>0</v>
      </c>
      <c r="AA1463" s="15">
        <v>0</v>
      </c>
      <c r="AB1463" s="15" t="s">
        <v>35</v>
      </c>
    </row>
    <row r="1464">
      <c r="A1464" s="15">
        <v>1460</v>
      </c>
      <c r="B1464" s="15" t="s">
        <v>343</v>
      </c>
      <c r="C1464" s="15" t="s">
        <v>344</v>
      </c>
      <c r="D1464" s="15" t="s">
        <v>35</v>
      </c>
      <c r="E1464" s="15" t="s">
        <v>35</v>
      </c>
      <c r="F1464" s="15" t="s">
        <v>35</v>
      </c>
      <c r="G1464" s="15" t="s">
        <v>74</v>
      </c>
      <c r="H1464" s="15" t="s">
        <v>8985</v>
      </c>
      <c r="I1464" s="15" t="s">
        <v>8986</v>
      </c>
      <c r="J1464" s="15" t="s">
        <v>8987</v>
      </c>
      <c r="K1464" s="15" t="s">
        <v>584</v>
      </c>
      <c r="L1464" s="15" t="s">
        <v>585</v>
      </c>
      <c r="M1464" s="15" t="s">
        <v>827</v>
      </c>
      <c r="N1464" s="15" t="s">
        <v>828</v>
      </c>
      <c r="O1464" s="15" t="s">
        <v>82</v>
      </c>
      <c r="P1464" s="15" t="s">
        <v>2717</v>
      </c>
      <c r="Q1464" s="15" t="s">
        <v>2718</v>
      </c>
      <c r="R1464" s="16">
        <v>44329</v>
      </c>
      <c r="S1464" s="17" t="s">
        <v>70</v>
      </c>
      <c r="T1464" s="20">
        <f>HYPERLINK("https://vnm.spiral.com.vn//uploaded/20210513/9BAD667B-E596-4F08-9447-E806E2C6CF1C.jpg","11:37:37")</f>
      </c>
      <c r="U1464" s="20">
        <f>HYPERLINK("https://vnm.spiral.com.vn//uploaded/20210513/1FB27AE6-5890-40DB-B7D7-622AC638D0E4.jpg","13:17:14")</f>
      </c>
      <c r="V1464" s="18">
        <v>0.06917824074074073</v>
      </c>
      <c r="W1464" s="15" t="s">
        <v>8988</v>
      </c>
      <c r="X1464" s="15" t="s">
        <v>8989</v>
      </c>
      <c r="Y1464" s="15" t="s">
        <v>35</v>
      </c>
      <c r="Z1464" s="19">
        <v>0</v>
      </c>
      <c r="AA1464" s="15">
        <v>0</v>
      </c>
      <c r="AB1464" s="15" t="s">
        <v>35</v>
      </c>
    </row>
    <row r="1465">
      <c r="A1465" s="15">
        <v>1461</v>
      </c>
      <c r="B1465" s="15" t="s">
        <v>87</v>
      </c>
      <c r="C1465" s="15" t="s">
        <v>88</v>
      </c>
      <c r="D1465" s="15" t="s">
        <v>610</v>
      </c>
      <c r="E1465" s="15" t="s">
        <v>90</v>
      </c>
      <c r="F1465" s="15" t="s">
        <v>35</v>
      </c>
      <c r="G1465" s="15" t="s">
        <v>74</v>
      </c>
      <c r="H1465" s="15" t="s">
        <v>8990</v>
      </c>
      <c r="I1465" s="15" t="s">
        <v>8991</v>
      </c>
      <c r="J1465" s="15" t="s">
        <v>8992</v>
      </c>
      <c r="K1465" s="15" t="s">
        <v>614</v>
      </c>
      <c r="L1465" s="15" t="s">
        <v>615</v>
      </c>
      <c r="M1465" s="15" t="s">
        <v>616</v>
      </c>
      <c r="N1465" s="15" t="s">
        <v>617</v>
      </c>
      <c r="O1465" s="15" t="s">
        <v>82</v>
      </c>
      <c r="P1465" s="15" t="s">
        <v>1846</v>
      </c>
      <c r="Q1465" s="15" t="s">
        <v>1847</v>
      </c>
      <c r="R1465" s="16">
        <v>44329</v>
      </c>
      <c r="S1465" s="17" t="s">
        <v>70</v>
      </c>
      <c r="T1465" s="20">
        <f>HYPERLINK("https://vnm.spiral.com.vn//uploaded/20210513/30b210a9-4825-4f2c-a337-c71a546c455f.JPEG","12:36:58")</f>
      </c>
      <c r="U1465" s="20">
        <f>HYPERLINK("https://vnm.spiral.com.vn//uploaded/20210513/5907d643-b8ba-45b5-b8ce-bda936e37fe8.JPEG","13:17:13")</f>
      </c>
      <c r="V1465" s="18">
        <v>0.02795138888888889</v>
      </c>
      <c r="W1465" s="15" t="s">
        <v>8993</v>
      </c>
      <c r="X1465" s="15" t="s">
        <v>8994</v>
      </c>
      <c r="Y1465" s="15" t="s">
        <v>35</v>
      </c>
      <c r="Z1465" s="19">
        <v>0</v>
      </c>
      <c r="AA1465" s="15">
        <v>0</v>
      </c>
      <c r="AB1465" s="15" t="s">
        <v>35</v>
      </c>
    </row>
    <row r="1466">
      <c r="A1466" s="15">
        <v>1462</v>
      </c>
      <c r="B1466" s="15" t="s">
        <v>246</v>
      </c>
      <c r="C1466" s="15" t="s">
        <v>259</v>
      </c>
      <c r="D1466" s="15" t="s">
        <v>432</v>
      </c>
      <c r="E1466" s="15" t="s">
        <v>116</v>
      </c>
      <c r="F1466" s="15" t="s">
        <v>35</v>
      </c>
      <c r="G1466" s="15" t="s">
        <v>74</v>
      </c>
      <c r="H1466" s="15" t="s">
        <v>8995</v>
      </c>
      <c r="I1466" s="15" t="s">
        <v>8996</v>
      </c>
      <c r="J1466" s="15" t="s">
        <v>8997</v>
      </c>
      <c r="K1466" s="15" t="s">
        <v>166</v>
      </c>
      <c r="L1466" s="15" t="s">
        <v>167</v>
      </c>
      <c r="M1466" s="15" t="s">
        <v>263</v>
      </c>
      <c r="N1466" s="15" t="s">
        <v>264</v>
      </c>
      <c r="O1466" s="15" t="s">
        <v>82</v>
      </c>
      <c r="P1466" s="15" t="s">
        <v>2514</v>
      </c>
      <c r="Q1466" s="15" t="s">
        <v>2515</v>
      </c>
      <c r="R1466" s="16">
        <v>44329</v>
      </c>
      <c r="S1466" s="17" t="s">
        <v>70</v>
      </c>
      <c r="T1466" s="20">
        <f>HYPERLINK("https://vnm.spiral.com.vn//uploaded/20210513/bfcf1216-0fc5-4279-9498-9642ecdebd2b.JPEG","11:51:08")</f>
      </c>
      <c r="U1466" s="20">
        <f>HYPERLINK("https://vnm.spiral.com.vn//uploaded/20210513/9d0291a6-157f-4c99-a46a-970adca0dc9b.JPEG","13:17:10")</f>
      </c>
      <c r="V1466" s="18">
        <v>0.05974537037037037</v>
      </c>
      <c r="W1466" s="15" t="s">
        <v>8998</v>
      </c>
      <c r="X1466" s="15" t="s">
        <v>8999</v>
      </c>
      <c r="Y1466" s="15" t="s">
        <v>35</v>
      </c>
      <c r="Z1466" s="19">
        <v>0</v>
      </c>
      <c r="AA1466" s="15">
        <v>0</v>
      </c>
      <c r="AB1466" s="15" t="s">
        <v>35</v>
      </c>
    </row>
    <row r="1467">
      <c r="A1467" s="15">
        <v>1463</v>
      </c>
      <c r="B1467" s="15" t="s">
        <v>87</v>
      </c>
      <c r="C1467" s="15" t="s">
        <v>88</v>
      </c>
      <c r="D1467" s="15" t="s">
        <v>89</v>
      </c>
      <c r="E1467" s="15" t="s">
        <v>90</v>
      </c>
      <c r="F1467" s="15" t="s">
        <v>35</v>
      </c>
      <c r="G1467" s="15" t="s">
        <v>74</v>
      </c>
      <c r="H1467" s="15" t="s">
        <v>2606</v>
      </c>
      <c r="I1467" s="15" t="s">
        <v>2607</v>
      </c>
      <c r="J1467" s="15" t="s">
        <v>2608</v>
      </c>
      <c r="K1467" s="15" t="s">
        <v>96</v>
      </c>
      <c r="L1467" s="15" t="s">
        <v>97</v>
      </c>
      <c r="M1467" s="15" t="s">
        <v>1640</v>
      </c>
      <c r="N1467" s="15" t="s">
        <v>1641</v>
      </c>
      <c r="O1467" s="15" t="s">
        <v>156</v>
      </c>
      <c r="P1467" s="15" t="s">
        <v>9000</v>
      </c>
      <c r="Q1467" s="15" t="s">
        <v>9001</v>
      </c>
      <c r="R1467" s="16">
        <v>44329</v>
      </c>
      <c r="S1467" s="17" t="s">
        <v>8687</v>
      </c>
      <c r="T1467" s="20">
        <f>HYPERLINK("https://vnm.spiral.com.vn//uploaded/20210513/63b129bc-223d-4518-81b5-b173dd20467d.JPEG","13:16:21")</f>
      </c>
      <c r="U1467" s="18"/>
      <c r="V1467" s="18" t="s">
        <v>35</v>
      </c>
      <c r="W1467" s="15" t="s">
        <v>9002</v>
      </c>
      <c r="X1467" s="15" t="s">
        <v>35</v>
      </c>
      <c r="Y1467" s="15" t="s">
        <v>35</v>
      </c>
      <c r="Z1467" s="19">
        <v>0</v>
      </c>
      <c r="AA1467" s="15">
        <v>0</v>
      </c>
      <c r="AB1467" s="15" t="s">
        <v>35</v>
      </c>
    </row>
    <row r="1468">
      <c r="A1468" s="15">
        <v>1464</v>
      </c>
      <c r="B1468" s="15" t="s">
        <v>246</v>
      </c>
      <c r="C1468" s="15" t="s">
        <v>2845</v>
      </c>
      <c r="D1468" s="15" t="s">
        <v>357</v>
      </c>
      <c r="E1468" s="15" t="s">
        <v>90</v>
      </c>
      <c r="F1468" s="15" t="s">
        <v>35</v>
      </c>
      <c r="G1468" s="15" t="s">
        <v>74</v>
      </c>
      <c r="H1468" s="15" t="s">
        <v>9003</v>
      </c>
      <c r="I1468" s="15" t="s">
        <v>9004</v>
      </c>
      <c r="J1468" s="15" t="s">
        <v>9005</v>
      </c>
      <c r="K1468" s="15" t="s">
        <v>263</v>
      </c>
      <c r="L1468" s="15" t="s">
        <v>264</v>
      </c>
      <c r="M1468" s="15" t="s">
        <v>2009</v>
      </c>
      <c r="N1468" s="15" t="s">
        <v>2010</v>
      </c>
      <c r="O1468" s="15" t="s">
        <v>156</v>
      </c>
      <c r="P1468" s="15" t="s">
        <v>9006</v>
      </c>
      <c r="Q1468" s="15" t="s">
        <v>9007</v>
      </c>
      <c r="R1468" s="16">
        <v>44329</v>
      </c>
      <c r="S1468" s="17" t="s">
        <v>5058</v>
      </c>
      <c r="T1468" s="20">
        <f>HYPERLINK("https://vnm.spiral.com.vn//uploaded/20210513/FB36CA8C-CEBF-4254-A8CD-8551C571DE5C.jpg","13:15:19")</f>
      </c>
      <c r="U1468" s="18"/>
      <c r="V1468" s="18" t="s">
        <v>35</v>
      </c>
      <c r="W1468" s="15" t="s">
        <v>9008</v>
      </c>
      <c r="X1468" s="15" t="s">
        <v>35</v>
      </c>
      <c r="Y1468" s="15" t="s">
        <v>35</v>
      </c>
      <c r="Z1468" s="19">
        <v>0</v>
      </c>
      <c r="AA1468" s="15">
        <v>0</v>
      </c>
      <c r="AB1468" s="15" t="s">
        <v>35</v>
      </c>
    </row>
    <row r="1469">
      <c r="A1469" s="15">
        <v>1465</v>
      </c>
      <c r="B1469" s="15" t="s">
        <v>343</v>
      </c>
      <c r="C1469" s="15" t="s">
        <v>344</v>
      </c>
      <c r="D1469" s="15" t="s">
        <v>35</v>
      </c>
      <c r="E1469" s="15" t="s">
        <v>35</v>
      </c>
      <c r="F1469" s="15" t="s">
        <v>7087</v>
      </c>
      <c r="G1469" s="15" t="s">
        <v>36</v>
      </c>
      <c r="H1469" s="15" t="s">
        <v>9009</v>
      </c>
      <c r="I1469" s="15" t="s">
        <v>9010</v>
      </c>
      <c r="J1469" s="15" t="s">
        <v>9011</v>
      </c>
      <c r="K1469" s="15" t="s">
        <v>40</v>
      </c>
      <c r="L1469" s="15" t="s">
        <v>41</v>
      </c>
      <c r="M1469" s="15" t="s">
        <v>595</v>
      </c>
      <c r="N1469" s="15" t="s">
        <v>596</v>
      </c>
      <c r="O1469" s="15" t="s">
        <v>44</v>
      </c>
      <c r="P1469" s="15" t="s">
        <v>7150</v>
      </c>
      <c r="Q1469" s="15" t="s">
        <v>7151</v>
      </c>
      <c r="R1469" s="16">
        <v>44329</v>
      </c>
      <c r="S1469" s="17" t="s">
        <v>317</v>
      </c>
      <c r="T1469" s="20">
        <f>HYPERLINK("https://vnm.spiral.com.vn//uploaded/20210513/8F5A3117-6151-4BB4-8EC6-AC092A0C4028.jpg","08:00:30")</f>
      </c>
      <c r="U1469" s="20">
        <f>HYPERLINK("https://vnm.spiral.com.vn//uploaded/20210513/5EF9CE2D-1EAC-47AA-B242-F6EE9F0254B6.jpg","13:15:15")</f>
      </c>
      <c r="V1469" s="18">
        <v>0.2185763888888889</v>
      </c>
      <c r="W1469" s="15" t="s">
        <v>9012</v>
      </c>
      <c r="X1469" s="15" t="s">
        <v>9013</v>
      </c>
      <c r="Y1469" s="15" t="s">
        <v>35</v>
      </c>
      <c r="Z1469" s="19">
        <v>0</v>
      </c>
      <c r="AA1469" s="15">
        <v>0</v>
      </c>
      <c r="AB1469" s="15" t="s">
        <v>35</v>
      </c>
    </row>
    <row r="1470">
      <c r="A1470" s="15">
        <v>1466</v>
      </c>
      <c r="B1470" s="15" t="s">
        <v>87</v>
      </c>
      <c r="C1470" s="15" t="s">
        <v>88</v>
      </c>
      <c r="D1470" s="15" t="s">
        <v>35</v>
      </c>
      <c r="E1470" s="15" t="s">
        <v>35</v>
      </c>
      <c r="F1470" s="15" t="s">
        <v>35</v>
      </c>
      <c r="G1470" s="15" t="s">
        <v>74</v>
      </c>
      <c r="H1470" s="15" t="s">
        <v>9014</v>
      </c>
      <c r="I1470" s="15" t="s">
        <v>9015</v>
      </c>
      <c r="J1470" s="15" t="s">
        <v>9016</v>
      </c>
      <c r="K1470" s="15" t="s">
        <v>888</v>
      </c>
      <c r="L1470" s="15" t="s">
        <v>889</v>
      </c>
      <c r="M1470" s="15" t="s">
        <v>924</v>
      </c>
      <c r="N1470" s="15" t="s">
        <v>925</v>
      </c>
      <c r="O1470" s="15" t="s">
        <v>82</v>
      </c>
      <c r="P1470" s="15" t="s">
        <v>926</v>
      </c>
      <c r="Q1470" s="15" t="s">
        <v>927</v>
      </c>
      <c r="R1470" s="16">
        <v>44329</v>
      </c>
      <c r="S1470" s="17" t="s">
        <v>70</v>
      </c>
      <c r="T1470" s="20">
        <f>HYPERLINK("https://vnm.spiral.com.vn//uploaded/20210513/D6A874FA-FDE1-4C2E-B6B1-6A6BBA5B9905.jpg","12:28:54")</f>
      </c>
      <c r="U1470" s="20">
        <f>HYPERLINK("https://vnm.spiral.com.vn//uploaded/20210513/B145C789-AE6F-4AEC-9E50-D66610E44589.jpg","13:14:56")</f>
      </c>
      <c r="V1470" s="18">
        <v>0.031967592592592596</v>
      </c>
      <c r="W1470" s="15" t="s">
        <v>9017</v>
      </c>
      <c r="X1470" s="15" t="s">
        <v>9018</v>
      </c>
      <c r="Y1470" s="15" t="s">
        <v>35</v>
      </c>
      <c r="Z1470" s="19">
        <v>0</v>
      </c>
      <c r="AA1470" s="15">
        <v>0</v>
      </c>
      <c r="AB1470" s="15" t="s">
        <v>35</v>
      </c>
    </row>
    <row r="1471">
      <c r="A1471" s="15">
        <v>1467</v>
      </c>
      <c r="B1471" s="15" t="s">
        <v>87</v>
      </c>
      <c r="C1471" s="15" t="s">
        <v>88</v>
      </c>
      <c r="D1471" s="15" t="s">
        <v>357</v>
      </c>
      <c r="E1471" s="15" t="s">
        <v>90</v>
      </c>
      <c r="F1471" s="15" t="s">
        <v>35</v>
      </c>
      <c r="G1471" s="15" t="s">
        <v>74</v>
      </c>
      <c r="H1471" s="15" t="s">
        <v>9019</v>
      </c>
      <c r="I1471" s="15" t="s">
        <v>9020</v>
      </c>
      <c r="J1471" s="15" t="s">
        <v>9021</v>
      </c>
      <c r="K1471" s="15" t="s">
        <v>94</v>
      </c>
      <c r="L1471" s="15" t="s">
        <v>95</v>
      </c>
      <c r="M1471" s="15" t="s">
        <v>1570</v>
      </c>
      <c r="N1471" s="15" t="s">
        <v>1571</v>
      </c>
      <c r="O1471" s="15" t="s">
        <v>98</v>
      </c>
      <c r="P1471" s="15" t="s">
        <v>1572</v>
      </c>
      <c r="Q1471" s="15" t="s">
        <v>1573</v>
      </c>
      <c r="R1471" s="16">
        <v>44329</v>
      </c>
      <c r="S1471" s="17" t="s">
        <v>70</v>
      </c>
      <c r="T1471" s="20">
        <f>HYPERLINK("https://vnm.spiral.com.vn//uploaded/20210513/3a4e9af2-79b7-4728-8e21-79d698acccab.JPEG","11:26:09")</f>
      </c>
      <c r="U1471" s="20">
        <f>HYPERLINK("https://vnm.spiral.com.vn//uploaded/20210513/8e3f65c0-5139-4394-8f43-5770b2cfcc84.JPEG","13:14:14")</f>
      </c>
      <c r="V1471" s="18">
        <v>0.07505787037037037</v>
      </c>
      <c r="W1471" s="15" t="s">
        <v>9022</v>
      </c>
      <c r="X1471" s="15" t="s">
        <v>9023</v>
      </c>
      <c r="Y1471" s="15" t="s">
        <v>35</v>
      </c>
      <c r="Z1471" s="19">
        <v>0</v>
      </c>
      <c r="AA1471" s="15">
        <v>0</v>
      </c>
      <c r="AB1471" s="15" t="s">
        <v>35</v>
      </c>
    </row>
    <row r="1472">
      <c r="A1472" s="15">
        <v>1468</v>
      </c>
      <c r="B1472" s="15" t="s">
        <v>61</v>
      </c>
      <c r="C1472" s="15" t="s">
        <v>442</v>
      </c>
      <c r="D1472" s="15" t="s">
        <v>135</v>
      </c>
      <c r="E1472" s="15" t="s">
        <v>116</v>
      </c>
      <c r="F1472" s="15" t="s">
        <v>35</v>
      </c>
      <c r="G1472" s="15" t="s">
        <v>74</v>
      </c>
      <c r="H1472" s="15" t="s">
        <v>9024</v>
      </c>
      <c r="I1472" s="15" t="s">
        <v>9025</v>
      </c>
      <c r="J1472" s="15" t="s">
        <v>9026</v>
      </c>
      <c r="K1472" s="15" t="s">
        <v>152</v>
      </c>
      <c r="L1472" s="15" t="s">
        <v>153</v>
      </c>
      <c r="M1472" s="15" t="s">
        <v>232</v>
      </c>
      <c r="N1472" s="15" t="s">
        <v>233</v>
      </c>
      <c r="O1472" s="15" t="s">
        <v>82</v>
      </c>
      <c r="P1472" s="15" t="s">
        <v>446</v>
      </c>
      <c r="Q1472" s="15" t="s">
        <v>447</v>
      </c>
      <c r="R1472" s="16">
        <v>44329</v>
      </c>
      <c r="S1472" s="17" t="s">
        <v>70</v>
      </c>
      <c r="T1472" s="20">
        <f>HYPERLINK("https://vnm.spiral.com.vn//uploaded/20210513/7c4985e8-105a-4455-a725-42b74c75e03f.JPEG","12:58:14")</f>
      </c>
      <c r="U1472" s="20">
        <f>HYPERLINK("https://vnm.spiral.com.vn//uploaded/20210513/50b7aac6-cc3d-45d9-a24d-e7a1412e4e41.JPEG","13:13:57")</f>
      </c>
      <c r="V1472" s="18">
        <v>0.010914351851851852</v>
      </c>
      <c r="W1472" s="15" t="s">
        <v>9027</v>
      </c>
      <c r="X1472" s="15" t="s">
        <v>9028</v>
      </c>
      <c r="Y1472" s="15" t="s">
        <v>35</v>
      </c>
      <c r="Z1472" s="19">
        <v>0</v>
      </c>
      <c r="AA1472" s="15">
        <v>0</v>
      </c>
      <c r="AB1472" s="15" t="s">
        <v>35</v>
      </c>
    </row>
    <row r="1473">
      <c r="A1473" s="15">
        <v>1469</v>
      </c>
      <c r="B1473" s="15" t="s">
        <v>87</v>
      </c>
      <c r="C1473" s="15" t="s">
        <v>88</v>
      </c>
      <c r="D1473" s="15" t="s">
        <v>610</v>
      </c>
      <c r="E1473" s="15" t="s">
        <v>90</v>
      </c>
      <c r="F1473" s="15" t="s">
        <v>35</v>
      </c>
      <c r="G1473" s="15" t="s">
        <v>74</v>
      </c>
      <c r="H1473" s="15" t="s">
        <v>7523</v>
      </c>
      <c r="I1473" s="15" t="s">
        <v>7524</v>
      </c>
      <c r="J1473" s="15" t="s">
        <v>7525</v>
      </c>
      <c r="K1473" s="15" t="s">
        <v>94</v>
      </c>
      <c r="L1473" s="15" t="s">
        <v>95</v>
      </c>
      <c r="M1473" s="15" t="s">
        <v>614</v>
      </c>
      <c r="N1473" s="15" t="s">
        <v>615</v>
      </c>
      <c r="O1473" s="15" t="s">
        <v>98</v>
      </c>
      <c r="P1473" s="15" t="s">
        <v>616</v>
      </c>
      <c r="Q1473" s="15" t="s">
        <v>617</v>
      </c>
      <c r="R1473" s="16">
        <v>44329</v>
      </c>
      <c r="S1473" s="17" t="s">
        <v>70</v>
      </c>
      <c r="T1473" s="20">
        <f>HYPERLINK("https://vnm.spiral.com.vn//uploaded/20210513/2A8F882F-CD04-49F9-94E4-5EDFC4B39605.jpg","10:20:27")</f>
      </c>
      <c r="U1473" s="20">
        <f>HYPERLINK("https://vnm.spiral.com.vn//uploaded/20210513/0D43AA36-01CF-4E0D-BA5B-BA48F7E3749B.jpg","13:13:31")</f>
      </c>
      <c r="V1473" s="18">
        <v>0.12018518518518519</v>
      </c>
      <c r="W1473" s="15" t="s">
        <v>9029</v>
      </c>
      <c r="X1473" s="15" t="s">
        <v>9030</v>
      </c>
      <c r="Y1473" s="15" t="s">
        <v>35</v>
      </c>
      <c r="Z1473" s="19">
        <v>0</v>
      </c>
      <c r="AA1473" s="15">
        <v>0</v>
      </c>
      <c r="AB1473" s="15" t="s">
        <v>35</v>
      </c>
    </row>
    <row r="1474">
      <c r="A1474" s="15">
        <v>1470</v>
      </c>
      <c r="B1474" s="15" t="s">
        <v>103</v>
      </c>
      <c r="C1474" s="15" t="s">
        <v>1078</v>
      </c>
      <c r="D1474" s="15" t="s">
        <v>89</v>
      </c>
      <c r="E1474" s="15" t="s">
        <v>90</v>
      </c>
      <c r="F1474" s="15" t="s">
        <v>35</v>
      </c>
      <c r="G1474" s="15" t="s">
        <v>74</v>
      </c>
      <c r="H1474" s="15" t="s">
        <v>3074</v>
      </c>
      <c r="I1474" s="15" t="s">
        <v>3075</v>
      </c>
      <c r="J1474" s="15" t="s">
        <v>3076</v>
      </c>
      <c r="K1474" s="15" t="s">
        <v>436</v>
      </c>
      <c r="L1474" s="15" t="s">
        <v>437</v>
      </c>
      <c r="M1474" s="15" t="s">
        <v>1429</v>
      </c>
      <c r="N1474" s="15" t="s">
        <v>1430</v>
      </c>
      <c r="O1474" s="15" t="s">
        <v>156</v>
      </c>
      <c r="P1474" s="15" t="s">
        <v>9031</v>
      </c>
      <c r="Q1474" s="15" t="s">
        <v>9032</v>
      </c>
      <c r="R1474" s="16">
        <v>44329</v>
      </c>
      <c r="S1474" s="17" t="s">
        <v>8687</v>
      </c>
      <c r="T1474" s="20">
        <f>HYPERLINK("https://vnm.spiral.com.vn//uploaded/20210513/2D9F1F85-61F7-4117-A2E7-1EA53283A5B0.jpg","13:13:25")</f>
      </c>
      <c r="U1474" s="18"/>
      <c r="V1474" s="18" t="s">
        <v>35</v>
      </c>
      <c r="W1474" s="15" t="s">
        <v>9033</v>
      </c>
      <c r="X1474" s="15" t="s">
        <v>35</v>
      </c>
      <c r="Y1474" s="15" t="s">
        <v>35</v>
      </c>
      <c r="Z1474" s="19">
        <v>0</v>
      </c>
      <c r="AA1474" s="15">
        <v>0</v>
      </c>
      <c r="AB1474" s="15" t="s">
        <v>35</v>
      </c>
    </row>
    <row r="1475">
      <c r="A1475" s="15">
        <v>1471</v>
      </c>
      <c r="B1475" s="15" t="s">
        <v>343</v>
      </c>
      <c r="C1475" s="15" t="s">
        <v>344</v>
      </c>
      <c r="D1475" s="15" t="s">
        <v>35</v>
      </c>
      <c r="E1475" s="15" t="s">
        <v>35</v>
      </c>
      <c r="F1475" s="15" t="s">
        <v>35</v>
      </c>
      <c r="G1475" s="15" t="s">
        <v>36</v>
      </c>
      <c r="H1475" s="15" t="s">
        <v>9034</v>
      </c>
      <c r="I1475" s="15" t="s">
        <v>9035</v>
      </c>
      <c r="J1475" s="15" t="s">
        <v>9036</v>
      </c>
      <c r="K1475" s="15" t="s">
        <v>40</v>
      </c>
      <c r="L1475" s="15" t="s">
        <v>41</v>
      </c>
      <c r="M1475" s="15" t="s">
        <v>409</v>
      </c>
      <c r="N1475" s="15" t="s">
        <v>410</v>
      </c>
      <c r="O1475" s="15" t="s">
        <v>44</v>
      </c>
      <c r="P1475" s="15" t="s">
        <v>9037</v>
      </c>
      <c r="Q1475" s="15" t="s">
        <v>9038</v>
      </c>
      <c r="R1475" s="16">
        <v>44329</v>
      </c>
      <c r="S1475" s="17" t="s">
        <v>59</v>
      </c>
      <c r="T1475" s="20">
        <f>HYPERLINK("https://vnm.spiral.com.vn//uploaded/20210513/e0cfebac-4045-4d86-9200-e5db4379aa92.JPEG","13:12:30")</f>
      </c>
      <c r="U1475" s="18"/>
      <c r="V1475" s="18" t="s">
        <v>35</v>
      </c>
      <c r="W1475" s="15" t="s">
        <v>9039</v>
      </c>
      <c r="X1475" s="15" t="s">
        <v>35</v>
      </c>
      <c r="Y1475" s="15" t="s">
        <v>35</v>
      </c>
      <c r="Z1475" s="19">
        <v>0</v>
      </c>
      <c r="AA1475" s="15">
        <v>0</v>
      </c>
      <c r="AB1475" s="15" t="s">
        <v>35</v>
      </c>
    </row>
    <row r="1476">
      <c r="A1476" s="15">
        <v>1472</v>
      </c>
      <c r="B1476" s="15" t="s">
        <v>87</v>
      </c>
      <c r="C1476" s="15" t="s">
        <v>88</v>
      </c>
      <c r="D1476" s="15" t="s">
        <v>89</v>
      </c>
      <c r="E1476" s="15" t="s">
        <v>90</v>
      </c>
      <c r="F1476" s="15" t="s">
        <v>35</v>
      </c>
      <c r="G1476" s="15" t="s">
        <v>74</v>
      </c>
      <c r="H1476" s="15" t="s">
        <v>3702</v>
      </c>
      <c r="I1476" s="15" t="s">
        <v>3703</v>
      </c>
      <c r="J1476" s="15" t="s">
        <v>3704</v>
      </c>
      <c r="K1476" s="15" t="s">
        <v>94</v>
      </c>
      <c r="L1476" s="15" t="s">
        <v>95</v>
      </c>
      <c r="M1476" s="15" t="s">
        <v>1554</v>
      </c>
      <c r="N1476" s="15" t="s">
        <v>1555</v>
      </c>
      <c r="O1476" s="15" t="s">
        <v>98</v>
      </c>
      <c r="P1476" s="15" t="s">
        <v>2528</v>
      </c>
      <c r="Q1476" s="15" t="s">
        <v>2529</v>
      </c>
      <c r="R1476" s="16">
        <v>44329</v>
      </c>
      <c r="S1476" s="17" t="s">
        <v>70</v>
      </c>
      <c r="T1476" s="20">
        <f>HYPERLINK("https://vnm.spiral.com.vn//uploaded/20210513/617AB197-99EE-4D67-8CBC-5622E5DEDE53.jpg","09:57:54")</f>
      </c>
      <c r="U1476" s="20">
        <f>HYPERLINK("https://vnm.spiral.com.vn//uploaded/20210513/FEFBC0F6-FF45-4400-91C9-70F3641B7372.jpg","13:11:27")</f>
      </c>
      <c r="V1476" s="18">
        <v>0.13440972222222222</v>
      </c>
      <c r="W1476" s="15" t="s">
        <v>9040</v>
      </c>
      <c r="X1476" s="15" t="s">
        <v>9041</v>
      </c>
      <c r="Y1476" s="15" t="s">
        <v>35</v>
      </c>
      <c r="Z1476" s="19">
        <v>0</v>
      </c>
      <c r="AA1476" s="15">
        <v>0</v>
      </c>
      <c r="AB1476" s="15" t="s">
        <v>35</v>
      </c>
    </row>
    <row r="1477">
      <c r="A1477" s="15">
        <v>1473</v>
      </c>
      <c r="B1477" s="15" t="s">
        <v>343</v>
      </c>
      <c r="C1477" s="15" t="s">
        <v>344</v>
      </c>
      <c r="D1477" s="15" t="s">
        <v>357</v>
      </c>
      <c r="E1477" s="15" t="s">
        <v>90</v>
      </c>
      <c r="F1477" s="15" t="s">
        <v>35</v>
      </c>
      <c r="G1477" s="15" t="s">
        <v>74</v>
      </c>
      <c r="H1477" s="15" t="s">
        <v>9042</v>
      </c>
      <c r="I1477" s="15" t="s">
        <v>9043</v>
      </c>
      <c r="J1477" s="15" t="s">
        <v>9044</v>
      </c>
      <c r="K1477" s="15" t="s">
        <v>915</v>
      </c>
      <c r="L1477" s="15" t="s">
        <v>916</v>
      </c>
      <c r="M1477" s="15" t="s">
        <v>361</v>
      </c>
      <c r="N1477" s="15" t="s">
        <v>362</v>
      </c>
      <c r="O1477" s="15" t="s">
        <v>82</v>
      </c>
      <c r="P1477" s="15" t="s">
        <v>858</v>
      </c>
      <c r="Q1477" s="15" t="s">
        <v>859</v>
      </c>
      <c r="R1477" s="16">
        <v>44329</v>
      </c>
      <c r="S1477" s="17" t="s">
        <v>70</v>
      </c>
      <c r="T1477" s="20">
        <f>HYPERLINK("https://vnm.spiral.com.vn//uploaded/20210513/b30dbf0e-5970-4507-9a08-7d5ff4475544.JPEG","08:09:39")</f>
      </c>
      <c r="U1477" s="20">
        <f>HYPERLINK("https://vnm.spiral.com.vn//uploaded/20210513/e5253470-2be7-49df-8165-b3fd9903fadd.JPEG","13:10:49")</f>
      </c>
      <c r="V1477" s="18">
        <v>0.2091435185185185</v>
      </c>
      <c r="W1477" s="15" t="s">
        <v>9045</v>
      </c>
      <c r="X1477" s="15" t="s">
        <v>9046</v>
      </c>
      <c r="Y1477" s="15" t="s">
        <v>35</v>
      </c>
      <c r="Z1477" s="19">
        <v>0</v>
      </c>
      <c r="AA1477" s="15">
        <v>0</v>
      </c>
      <c r="AB1477" s="15" t="s">
        <v>35</v>
      </c>
    </row>
    <row r="1478">
      <c r="A1478" s="15">
        <v>1474</v>
      </c>
      <c r="B1478" s="15" t="s">
        <v>87</v>
      </c>
      <c r="C1478" s="15" t="s">
        <v>88</v>
      </c>
      <c r="D1478" s="15" t="s">
        <v>432</v>
      </c>
      <c r="E1478" s="15" t="s">
        <v>116</v>
      </c>
      <c r="F1478" s="15" t="s">
        <v>35</v>
      </c>
      <c r="G1478" s="15" t="s">
        <v>74</v>
      </c>
      <c r="H1478" s="15" t="s">
        <v>9047</v>
      </c>
      <c r="I1478" s="15" t="s">
        <v>9048</v>
      </c>
      <c r="J1478" s="15" t="s">
        <v>9049</v>
      </c>
      <c r="K1478" s="15" t="s">
        <v>625</v>
      </c>
      <c r="L1478" s="15" t="s">
        <v>626</v>
      </c>
      <c r="M1478" s="15" t="s">
        <v>1022</v>
      </c>
      <c r="N1478" s="15" t="s">
        <v>1023</v>
      </c>
      <c r="O1478" s="15" t="s">
        <v>82</v>
      </c>
      <c r="P1478" s="15" t="s">
        <v>2209</v>
      </c>
      <c r="Q1478" s="15" t="s">
        <v>2210</v>
      </c>
      <c r="R1478" s="16">
        <v>44329</v>
      </c>
      <c r="S1478" s="17" t="s">
        <v>70</v>
      </c>
      <c r="T1478" s="20">
        <f>HYPERLINK("https://vnm.spiral.com.vn//uploaded/20210513/715d7b4b-55bd-4be1-bad5-2c01a2a875cc.jpg","13:02:29")</f>
      </c>
      <c r="U1478" s="20">
        <f>HYPERLINK("https://vnm.spiral.com.vn//uploaded/20210513/036091ce-a9ef-4bf7-a309-788835314a92.jpg","13:10:35")</f>
      </c>
      <c r="V1478" s="18">
        <v>0.005625</v>
      </c>
      <c r="W1478" s="15" t="s">
        <v>9050</v>
      </c>
      <c r="X1478" s="15" t="s">
        <v>9051</v>
      </c>
      <c r="Y1478" s="15" t="s">
        <v>35</v>
      </c>
      <c r="Z1478" s="19">
        <v>0</v>
      </c>
      <c r="AA1478" s="15">
        <v>0</v>
      </c>
      <c r="AB1478" s="15" t="s">
        <v>35</v>
      </c>
    </row>
    <row r="1479">
      <c r="A1479" s="15">
        <v>1475</v>
      </c>
      <c r="B1479" s="15" t="s">
        <v>103</v>
      </c>
      <c r="C1479" s="15" t="s">
        <v>186</v>
      </c>
      <c r="D1479" s="15" t="s">
        <v>89</v>
      </c>
      <c r="E1479" s="15" t="s">
        <v>90</v>
      </c>
      <c r="F1479" s="15" t="s">
        <v>35</v>
      </c>
      <c r="G1479" s="15" t="s">
        <v>74</v>
      </c>
      <c r="H1479" s="15" t="s">
        <v>187</v>
      </c>
      <c r="I1479" s="15" t="s">
        <v>188</v>
      </c>
      <c r="J1479" s="15" t="s">
        <v>189</v>
      </c>
      <c r="K1479" s="15" t="s">
        <v>1204</v>
      </c>
      <c r="L1479" s="15" t="s">
        <v>1205</v>
      </c>
      <c r="M1479" s="15" t="s">
        <v>1206</v>
      </c>
      <c r="N1479" s="15" t="s">
        <v>1207</v>
      </c>
      <c r="O1479" s="15" t="s">
        <v>156</v>
      </c>
      <c r="P1479" s="15" t="s">
        <v>9052</v>
      </c>
      <c r="Q1479" s="15" t="s">
        <v>9053</v>
      </c>
      <c r="R1479" s="16">
        <v>44329</v>
      </c>
      <c r="S1479" s="17" t="s">
        <v>273</v>
      </c>
      <c r="T1479" s="20">
        <f>HYPERLINK("https://vnm.spiral.com.vn//uploaded/20210513/DFB609EC-B6EE-4CAA-AD68-7C27F64F7368.jpg","13:09:51")</f>
      </c>
      <c r="U1479" s="18"/>
      <c r="V1479" s="18" t="s">
        <v>35</v>
      </c>
      <c r="W1479" s="15" t="s">
        <v>9054</v>
      </c>
      <c r="X1479" s="15" t="s">
        <v>35</v>
      </c>
      <c r="Y1479" s="15" t="s">
        <v>35</v>
      </c>
      <c r="Z1479" s="19">
        <v>0</v>
      </c>
      <c r="AA1479" s="15">
        <v>0</v>
      </c>
      <c r="AB1479" s="15" t="s">
        <v>35</v>
      </c>
    </row>
    <row r="1480">
      <c r="A1480" s="15">
        <v>1476</v>
      </c>
      <c r="B1480" s="15" t="s">
        <v>87</v>
      </c>
      <c r="C1480" s="15" t="s">
        <v>88</v>
      </c>
      <c r="D1480" s="15" t="s">
        <v>89</v>
      </c>
      <c r="E1480" s="15" t="s">
        <v>90</v>
      </c>
      <c r="F1480" s="15" t="s">
        <v>35</v>
      </c>
      <c r="G1480" s="15" t="s">
        <v>74</v>
      </c>
      <c r="H1480" s="15" t="s">
        <v>703</v>
      </c>
      <c r="I1480" s="15" t="s">
        <v>704</v>
      </c>
      <c r="J1480" s="15" t="s">
        <v>705</v>
      </c>
      <c r="K1480" s="15" t="s">
        <v>96</v>
      </c>
      <c r="L1480" s="15" t="s">
        <v>97</v>
      </c>
      <c r="M1480" s="15" t="s">
        <v>706</v>
      </c>
      <c r="N1480" s="15" t="s">
        <v>707</v>
      </c>
      <c r="O1480" s="15" t="s">
        <v>156</v>
      </c>
      <c r="P1480" s="15" t="s">
        <v>9055</v>
      </c>
      <c r="Q1480" s="15" t="s">
        <v>9056</v>
      </c>
      <c r="R1480" s="16">
        <v>44329</v>
      </c>
      <c r="S1480" s="17" t="s">
        <v>1835</v>
      </c>
      <c r="T1480" s="20">
        <f>HYPERLINK("https://vnm.spiral.com.vn//uploaded/20210513/a251de7f-f9d6-4064-9c12-ace35a240b29.JPEG","13:09:35")</f>
      </c>
      <c r="U1480" s="18"/>
      <c r="V1480" s="18" t="s">
        <v>35</v>
      </c>
      <c r="W1480" s="15" t="s">
        <v>9057</v>
      </c>
      <c r="X1480" s="15" t="s">
        <v>35</v>
      </c>
      <c r="Y1480" s="15" t="s">
        <v>35</v>
      </c>
      <c r="Z1480" s="19">
        <v>0</v>
      </c>
      <c r="AA1480" s="15">
        <v>0</v>
      </c>
      <c r="AB1480" s="15" t="s">
        <v>35</v>
      </c>
    </row>
    <row r="1481">
      <c r="A1481" s="15">
        <v>1477</v>
      </c>
      <c r="B1481" s="15" t="s">
        <v>103</v>
      </c>
      <c r="C1481" s="15" t="s">
        <v>2116</v>
      </c>
      <c r="D1481" s="15" t="s">
        <v>35</v>
      </c>
      <c r="E1481" s="15" t="s">
        <v>35</v>
      </c>
      <c r="F1481" s="15" t="s">
        <v>35</v>
      </c>
      <c r="G1481" s="15" t="s">
        <v>36</v>
      </c>
      <c r="H1481" s="15" t="s">
        <v>9058</v>
      </c>
      <c r="I1481" s="15" t="s">
        <v>9059</v>
      </c>
      <c r="J1481" s="15" t="s">
        <v>9060</v>
      </c>
      <c r="K1481" s="15" t="s">
        <v>40</v>
      </c>
      <c r="L1481" s="15" t="s">
        <v>41</v>
      </c>
      <c r="M1481" s="15" t="s">
        <v>108</v>
      </c>
      <c r="N1481" s="15" t="s">
        <v>109</v>
      </c>
      <c r="O1481" s="15" t="s">
        <v>44</v>
      </c>
      <c r="P1481" s="15" t="s">
        <v>9061</v>
      </c>
      <c r="Q1481" s="15" t="s">
        <v>9062</v>
      </c>
      <c r="R1481" s="16">
        <v>44329</v>
      </c>
      <c r="S1481" s="17" t="s">
        <v>9063</v>
      </c>
      <c r="T1481" s="20">
        <f>HYPERLINK("https://vnm.spiral.com.vn//uploaded/20210513/8ed482f9-4e56-49fa-a634-f141cf82aecf.JPEG","13:08:52")</f>
      </c>
      <c r="U1481" s="18"/>
      <c r="V1481" s="18" t="s">
        <v>35</v>
      </c>
      <c r="W1481" s="15" t="s">
        <v>9064</v>
      </c>
      <c r="X1481" s="15" t="s">
        <v>35</v>
      </c>
      <c r="Y1481" s="15" t="s">
        <v>35</v>
      </c>
      <c r="Z1481" s="19">
        <v>0</v>
      </c>
      <c r="AA1481" s="15">
        <v>0</v>
      </c>
      <c r="AB1481" s="15" t="s">
        <v>35</v>
      </c>
    </row>
    <row r="1482">
      <c r="A1482" s="15">
        <v>1478</v>
      </c>
      <c r="B1482" s="15" t="s">
        <v>49</v>
      </c>
      <c r="C1482" s="15" t="s">
        <v>369</v>
      </c>
      <c r="D1482" s="15" t="s">
        <v>357</v>
      </c>
      <c r="E1482" s="15" t="s">
        <v>90</v>
      </c>
      <c r="F1482" s="15" t="s">
        <v>35</v>
      </c>
      <c r="G1482" s="15" t="s">
        <v>74</v>
      </c>
      <c r="H1482" s="15" t="s">
        <v>9065</v>
      </c>
      <c r="I1482" s="15" t="s">
        <v>9066</v>
      </c>
      <c r="J1482" s="15" t="s">
        <v>9067</v>
      </c>
      <c r="K1482" s="15" t="s">
        <v>166</v>
      </c>
      <c r="L1482" s="15" t="s">
        <v>167</v>
      </c>
      <c r="M1482" s="15" t="s">
        <v>168</v>
      </c>
      <c r="N1482" s="15" t="s">
        <v>169</v>
      </c>
      <c r="O1482" s="15" t="s">
        <v>82</v>
      </c>
      <c r="P1482" s="15" t="s">
        <v>9068</v>
      </c>
      <c r="Q1482" s="15" t="s">
        <v>7105</v>
      </c>
      <c r="R1482" s="16">
        <v>44329</v>
      </c>
      <c r="S1482" s="17" t="s">
        <v>70</v>
      </c>
      <c r="T1482" s="20">
        <f>HYPERLINK("https://vnm.spiral.com.vn//uploaded/20210513/136c4dd2-d1bb-4f5c-99f0-d1876e2fdb41.JPEG","13:08:31")</f>
      </c>
      <c r="U1482" s="18"/>
      <c r="V1482" s="18" t="s">
        <v>35</v>
      </c>
      <c r="W1482" s="15" t="s">
        <v>9069</v>
      </c>
      <c r="X1482" s="15" t="s">
        <v>35</v>
      </c>
      <c r="Y1482" s="15" t="s">
        <v>35</v>
      </c>
      <c r="Z1482" s="19">
        <v>0</v>
      </c>
      <c r="AA1482" s="15">
        <v>0</v>
      </c>
      <c r="AB1482" s="15" t="s">
        <v>35</v>
      </c>
    </row>
    <row r="1483">
      <c r="A1483" s="15">
        <v>1479</v>
      </c>
      <c r="B1483" s="15" t="s">
        <v>343</v>
      </c>
      <c r="C1483" s="15" t="s">
        <v>2135</v>
      </c>
      <c r="D1483" s="15" t="s">
        <v>148</v>
      </c>
      <c r="E1483" s="15" t="s">
        <v>90</v>
      </c>
      <c r="F1483" s="15" t="s">
        <v>35</v>
      </c>
      <c r="G1483" s="15" t="s">
        <v>74</v>
      </c>
      <c r="H1483" s="15" t="s">
        <v>4478</v>
      </c>
      <c r="I1483" s="15" t="s">
        <v>4479</v>
      </c>
      <c r="J1483" s="15" t="s">
        <v>4480</v>
      </c>
      <c r="K1483" s="15" t="s">
        <v>1168</v>
      </c>
      <c r="L1483" s="15" t="s">
        <v>1169</v>
      </c>
      <c r="M1483" s="15" t="s">
        <v>1170</v>
      </c>
      <c r="N1483" s="15" t="s">
        <v>1171</v>
      </c>
      <c r="O1483" s="15" t="s">
        <v>156</v>
      </c>
      <c r="P1483" s="15" t="s">
        <v>9070</v>
      </c>
      <c r="Q1483" s="15" t="s">
        <v>9071</v>
      </c>
      <c r="R1483" s="16">
        <v>44329</v>
      </c>
      <c r="S1483" s="17" t="s">
        <v>7638</v>
      </c>
      <c r="T1483" s="20">
        <f>HYPERLINK("https://vnm.spiral.com.vn//uploaded/20210513/f3ab814d-7875-40d6-85c2-c5b5324e35c1.JPEG","13:07:23")</f>
      </c>
      <c r="U1483" s="18"/>
      <c r="V1483" s="18" t="s">
        <v>35</v>
      </c>
      <c r="W1483" s="15" t="s">
        <v>9072</v>
      </c>
      <c r="X1483" s="15" t="s">
        <v>35</v>
      </c>
      <c r="Y1483" s="15" t="s">
        <v>35</v>
      </c>
      <c r="Z1483" s="19">
        <v>0</v>
      </c>
      <c r="AA1483" s="15">
        <v>0</v>
      </c>
      <c r="AB1483" s="15" t="s">
        <v>35</v>
      </c>
    </row>
    <row r="1484">
      <c r="A1484" s="15">
        <v>1480</v>
      </c>
      <c r="B1484" s="15" t="s">
        <v>87</v>
      </c>
      <c r="C1484" s="15" t="s">
        <v>88</v>
      </c>
      <c r="D1484" s="15" t="s">
        <v>35</v>
      </c>
      <c r="E1484" s="15" t="s">
        <v>35</v>
      </c>
      <c r="F1484" s="15" t="s">
        <v>35</v>
      </c>
      <c r="G1484" s="15" t="s">
        <v>36</v>
      </c>
      <c r="H1484" s="15" t="s">
        <v>1998</v>
      </c>
      <c r="I1484" s="15" t="s">
        <v>1999</v>
      </c>
      <c r="J1484" s="15" t="s">
        <v>2000</v>
      </c>
      <c r="K1484" s="15" t="s">
        <v>40</v>
      </c>
      <c r="L1484" s="15" t="s">
        <v>41</v>
      </c>
      <c r="M1484" s="15" t="s">
        <v>289</v>
      </c>
      <c r="N1484" s="15" t="s">
        <v>290</v>
      </c>
      <c r="O1484" s="15" t="s">
        <v>44</v>
      </c>
      <c r="P1484" s="15" t="s">
        <v>2001</v>
      </c>
      <c r="Q1484" s="15" t="s">
        <v>2002</v>
      </c>
      <c r="R1484" s="16">
        <v>44329</v>
      </c>
      <c r="S1484" s="17" t="s">
        <v>9073</v>
      </c>
      <c r="T1484" s="20">
        <f>HYPERLINK("https://vnm.spiral.com.vn//uploaded/20210513/4A2B7E42-1ADC-4B8F-8B7F-4F634781B9E6.jpg","09:04:22")</f>
      </c>
      <c r="U1484" s="20">
        <f>HYPERLINK("https://vnm.spiral.com.vn//uploaded/20210513/D4A9CDA6-0FF3-4FCB-9D71-56FA4572EBBB.jpg","13:07:00")</f>
      </c>
      <c r="V1484" s="18">
        <v>0.16849537037037038</v>
      </c>
      <c r="W1484" s="15" t="s">
        <v>9074</v>
      </c>
      <c r="X1484" s="15" t="s">
        <v>9075</v>
      </c>
      <c r="Y1484" s="15" t="s">
        <v>35</v>
      </c>
      <c r="Z1484" s="19">
        <v>0</v>
      </c>
      <c r="AA1484" s="15">
        <v>0</v>
      </c>
      <c r="AB1484" s="15" t="s">
        <v>35</v>
      </c>
    </row>
    <row r="1485">
      <c r="A1485" s="15">
        <v>1481</v>
      </c>
      <c r="B1485" s="15" t="s">
        <v>61</v>
      </c>
      <c r="C1485" s="15" t="s">
        <v>904</v>
      </c>
      <c r="D1485" s="15" t="s">
        <v>35</v>
      </c>
      <c r="E1485" s="15" t="s">
        <v>35</v>
      </c>
      <c r="F1485" s="15" t="s">
        <v>35</v>
      </c>
      <c r="G1485" s="15" t="s">
        <v>36</v>
      </c>
      <c r="H1485" s="15" t="s">
        <v>9076</v>
      </c>
      <c r="I1485" s="15" t="s">
        <v>9077</v>
      </c>
      <c r="J1485" s="15" t="s">
        <v>9078</v>
      </c>
      <c r="K1485" s="15" t="s">
        <v>40</v>
      </c>
      <c r="L1485" s="15" t="s">
        <v>41</v>
      </c>
      <c r="M1485" s="15" t="s">
        <v>66</v>
      </c>
      <c r="N1485" s="15" t="s">
        <v>67</v>
      </c>
      <c r="O1485" s="15" t="s">
        <v>44</v>
      </c>
      <c r="P1485" s="15" t="s">
        <v>9079</v>
      </c>
      <c r="Q1485" s="15" t="s">
        <v>5035</v>
      </c>
      <c r="R1485" s="16">
        <v>44329</v>
      </c>
      <c r="S1485" s="17" t="s">
        <v>1835</v>
      </c>
      <c r="T1485" s="20">
        <f>HYPERLINK("https://vnm.spiral.com.vn//uploaded/20210513/20c1f466-ddb8-4331-94bb-a741932d1ad8.JPEG","13:06:52")</f>
      </c>
      <c r="U1485" s="18"/>
      <c r="V1485" s="18" t="s">
        <v>35</v>
      </c>
      <c r="W1485" s="15" t="s">
        <v>9080</v>
      </c>
      <c r="X1485" s="15" t="s">
        <v>35</v>
      </c>
      <c r="Y1485" s="15" t="s">
        <v>35</v>
      </c>
      <c r="Z1485" s="19">
        <v>0</v>
      </c>
      <c r="AA1485" s="15">
        <v>0</v>
      </c>
      <c r="AB1485" s="15" t="s">
        <v>35</v>
      </c>
    </row>
    <row r="1486">
      <c r="A1486" s="15">
        <v>1482</v>
      </c>
      <c r="B1486" s="15" t="s">
        <v>343</v>
      </c>
      <c r="C1486" s="15" t="s">
        <v>344</v>
      </c>
      <c r="D1486" s="15" t="s">
        <v>35</v>
      </c>
      <c r="E1486" s="15" t="s">
        <v>35</v>
      </c>
      <c r="F1486" s="15" t="s">
        <v>35</v>
      </c>
      <c r="G1486" s="15" t="s">
        <v>36</v>
      </c>
      <c r="H1486" s="15" t="s">
        <v>9081</v>
      </c>
      <c r="I1486" s="15" t="s">
        <v>9082</v>
      </c>
      <c r="J1486" s="15" t="s">
        <v>9083</v>
      </c>
      <c r="K1486" s="15" t="s">
        <v>40</v>
      </c>
      <c r="L1486" s="15" t="s">
        <v>41</v>
      </c>
      <c r="M1486" s="15" t="s">
        <v>595</v>
      </c>
      <c r="N1486" s="15" t="s">
        <v>596</v>
      </c>
      <c r="O1486" s="15" t="s">
        <v>44</v>
      </c>
      <c r="P1486" s="15" t="s">
        <v>7953</v>
      </c>
      <c r="Q1486" s="15" t="s">
        <v>7954</v>
      </c>
      <c r="R1486" s="16">
        <v>44329</v>
      </c>
      <c r="S1486" s="17" t="s">
        <v>9084</v>
      </c>
      <c r="T1486" s="20">
        <f>HYPERLINK("https://vnm.spiral.com.vn//uploaded/20210513/4E5A09DF-A694-4C44-9CA8-53BE4ED03B6A.jpg","08:41:32")</f>
      </c>
      <c r="U1486" s="20">
        <f>HYPERLINK("https://vnm.spiral.com.vn//uploaded/20210513/6EAB968B-34E3-4DF6-A774-475435CFB7FD.jpg","13:06:41")</f>
      </c>
      <c r="V1486" s="18">
        <v>0.18413194444444445</v>
      </c>
      <c r="W1486" s="15" t="s">
        <v>9085</v>
      </c>
      <c r="X1486" s="15" t="s">
        <v>9086</v>
      </c>
      <c r="Y1486" s="15" t="s">
        <v>35</v>
      </c>
      <c r="Z1486" s="19">
        <v>0</v>
      </c>
      <c r="AA1486" s="15">
        <v>0</v>
      </c>
      <c r="AB1486" s="15" t="s">
        <v>35</v>
      </c>
    </row>
    <row r="1487">
      <c r="A1487" s="15">
        <v>1483</v>
      </c>
      <c r="B1487" s="15" t="s">
        <v>61</v>
      </c>
      <c r="C1487" s="15" t="s">
        <v>1106</v>
      </c>
      <c r="D1487" s="15" t="s">
        <v>35</v>
      </c>
      <c r="E1487" s="15" t="s">
        <v>35</v>
      </c>
      <c r="F1487" s="15" t="s">
        <v>35</v>
      </c>
      <c r="G1487" s="15" t="s">
        <v>36</v>
      </c>
      <c r="H1487" s="15" t="s">
        <v>8621</v>
      </c>
      <c r="I1487" s="15" t="s">
        <v>3955</v>
      </c>
      <c r="J1487" s="15" t="s">
        <v>8622</v>
      </c>
      <c r="K1487" s="15" t="s">
        <v>40</v>
      </c>
      <c r="L1487" s="15" t="s">
        <v>41</v>
      </c>
      <c r="M1487" s="15" t="s">
        <v>66</v>
      </c>
      <c r="N1487" s="15" t="s">
        <v>67</v>
      </c>
      <c r="O1487" s="15" t="s">
        <v>44</v>
      </c>
      <c r="P1487" s="15" t="s">
        <v>8623</v>
      </c>
      <c r="Q1487" s="15" t="s">
        <v>8624</v>
      </c>
      <c r="R1487" s="16">
        <v>44329</v>
      </c>
      <c r="S1487" s="17" t="s">
        <v>9073</v>
      </c>
      <c r="T1487" s="20">
        <f>HYPERLINK("https://vnm.spiral.com.vn//uploaded/20210513/EB032777-1524-490B-B2FB-9AD55F0BD660.jpg","09:02:40")</f>
      </c>
      <c r="U1487" s="20">
        <f>HYPERLINK("https://vnm.spiral.com.vn//uploaded/20210513/CFEA6EDB-0599-4062-9D01-8365AF734E71.jpg","13:05:33")</f>
      </c>
      <c r="V1487" s="18">
        <v>0.1686689814814815</v>
      </c>
      <c r="W1487" s="15" t="s">
        <v>9087</v>
      </c>
      <c r="X1487" s="15" t="s">
        <v>9088</v>
      </c>
      <c r="Y1487" s="15" t="s">
        <v>35</v>
      </c>
      <c r="Z1487" s="19">
        <v>0</v>
      </c>
      <c r="AA1487" s="15">
        <v>0</v>
      </c>
      <c r="AB1487" s="15" t="s">
        <v>35</v>
      </c>
    </row>
    <row r="1488">
      <c r="A1488" s="15">
        <v>1484</v>
      </c>
      <c r="B1488" s="15" t="s">
        <v>87</v>
      </c>
      <c r="C1488" s="15" t="s">
        <v>88</v>
      </c>
      <c r="D1488" s="15" t="s">
        <v>432</v>
      </c>
      <c r="E1488" s="15" t="s">
        <v>116</v>
      </c>
      <c r="F1488" s="15" t="s">
        <v>35</v>
      </c>
      <c r="G1488" s="15" t="s">
        <v>74</v>
      </c>
      <c r="H1488" s="15" t="s">
        <v>9047</v>
      </c>
      <c r="I1488" s="15" t="s">
        <v>9048</v>
      </c>
      <c r="J1488" s="15" t="s">
        <v>9049</v>
      </c>
      <c r="K1488" s="15" t="s">
        <v>94</v>
      </c>
      <c r="L1488" s="15" t="s">
        <v>95</v>
      </c>
      <c r="M1488" s="15" t="s">
        <v>625</v>
      </c>
      <c r="N1488" s="15" t="s">
        <v>626</v>
      </c>
      <c r="O1488" s="15" t="s">
        <v>98</v>
      </c>
      <c r="P1488" s="15" t="s">
        <v>1022</v>
      </c>
      <c r="Q1488" s="15" t="s">
        <v>1023</v>
      </c>
      <c r="R1488" s="16">
        <v>44329</v>
      </c>
      <c r="S1488" s="17" t="s">
        <v>70</v>
      </c>
      <c r="T1488" s="20">
        <f>HYPERLINK("https://vnm.spiral.com.vn//uploaded/20210513/a5fd75b3-1ce2-4199-9e90-a0254878dc6b.JPEG","13:00:00")</f>
      </c>
      <c r="U1488" s="20">
        <f>HYPERLINK("https://vnm.spiral.com.vn//uploaded/20210513/373a7707-4bd0-4f91-a606-333e5f530d1a.JPEG","13:05:18")</f>
      </c>
      <c r="V1488" s="18">
        <v>0.0036805555555555554</v>
      </c>
      <c r="W1488" s="15" t="s">
        <v>9089</v>
      </c>
      <c r="X1488" s="15" t="s">
        <v>9090</v>
      </c>
      <c r="Y1488" s="15" t="s">
        <v>35</v>
      </c>
      <c r="Z1488" s="19">
        <v>0</v>
      </c>
      <c r="AA1488" s="15">
        <v>0</v>
      </c>
      <c r="AB1488" s="15" t="s">
        <v>35</v>
      </c>
    </row>
    <row r="1489">
      <c r="A1489" s="15">
        <v>1485</v>
      </c>
      <c r="B1489" s="15" t="s">
        <v>87</v>
      </c>
      <c r="C1489" s="15" t="s">
        <v>88</v>
      </c>
      <c r="D1489" s="15" t="s">
        <v>148</v>
      </c>
      <c r="E1489" s="15" t="s">
        <v>90</v>
      </c>
      <c r="F1489" s="15" t="s">
        <v>35</v>
      </c>
      <c r="G1489" s="15" t="s">
        <v>74</v>
      </c>
      <c r="H1489" s="15" t="s">
        <v>3823</v>
      </c>
      <c r="I1489" s="15" t="s">
        <v>3824</v>
      </c>
      <c r="J1489" s="15" t="s">
        <v>3825</v>
      </c>
      <c r="K1489" s="15" t="s">
        <v>1204</v>
      </c>
      <c r="L1489" s="15" t="s">
        <v>1205</v>
      </c>
      <c r="M1489" s="15" t="s">
        <v>1965</v>
      </c>
      <c r="N1489" s="15" t="s">
        <v>1966</v>
      </c>
      <c r="O1489" s="15" t="s">
        <v>156</v>
      </c>
      <c r="P1489" s="15" t="s">
        <v>9091</v>
      </c>
      <c r="Q1489" s="15" t="s">
        <v>9092</v>
      </c>
      <c r="R1489" s="16">
        <v>44329</v>
      </c>
      <c r="S1489" s="17" t="s">
        <v>4131</v>
      </c>
      <c r="T1489" s="20">
        <f>HYPERLINK("https://vnm.spiral.com.vn//uploaded/20210513/0b00b423-7170-4937-a6bf-cb607bdea404.JPEG","13:05:16")</f>
      </c>
      <c r="U1489" s="18"/>
      <c r="V1489" s="18" t="s">
        <v>35</v>
      </c>
      <c r="W1489" s="15" t="s">
        <v>9093</v>
      </c>
      <c r="X1489" s="15" t="s">
        <v>35</v>
      </c>
      <c r="Y1489" s="15" t="s">
        <v>35</v>
      </c>
      <c r="Z1489" s="19">
        <v>0</v>
      </c>
      <c r="AA1489" s="15">
        <v>0</v>
      </c>
      <c r="AB1489" s="15" t="s">
        <v>35</v>
      </c>
    </row>
    <row r="1490">
      <c r="A1490" s="15">
        <v>1486</v>
      </c>
      <c r="B1490" s="15" t="s">
        <v>49</v>
      </c>
      <c r="C1490" s="15" t="s">
        <v>369</v>
      </c>
      <c r="D1490" s="15" t="s">
        <v>35</v>
      </c>
      <c r="E1490" s="15" t="s">
        <v>35</v>
      </c>
      <c r="F1490" s="15" t="s">
        <v>5030</v>
      </c>
      <c r="G1490" s="15" t="s">
        <v>36</v>
      </c>
      <c r="H1490" s="15" t="s">
        <v>8167</v>
      </c>
      <c r="I1490" s="15" t="s">
        <v>7325</v>
      </c>
      <c r="J1490" s="15" t="s">
        <v>8168</v>
      </c>
      <c r="K1490" s="15" t="s">
        <v>40</v>
      </c>
      <c r="L1490" s="15" t="s">
        <v>41</v>
      </c>
      <c r="M1490" s="15" t="s">
        <v>55</v>
      </c>
      <c r="N1490" s="15" t="s">
        <v>56</v>
      </c>
      <c r="O1490" s="15" t="s">
        <v>44</v>
      </c>
      <c r="P1490" s="15" t="s">
        <v>8169</v>
      </c>
      <c r="Q1490" s="15" t="s">
        <v>8170</v>
      </c>
      <c r="R1490" s="16">
        <v>44329</v>
      </c>
      <c r="S1490" s="17" t="s">
        <v>9073</v>
      </c>
      <c r="T1490" s="20">
        <f>HYPERLINK("https://vnm.spiral.com.vn//uploaded/20210513/026E244E-8365-4875-9508-4C607376D11A.jpg","09:13:48")</f>
      </c>
      <c r="U1490" s="20">
        <f>HYPERLINK("https://vnm.spiral.com.vn//uploaded/20210513/AAF3A96E-6438-4A67-AE1E-273A3C232B84.jpg","13:04:47")</f>
      </c>
      <c r="V1490" s="18">
        <v>0.16040509259259259</v>
      </c>
      <c r="W1490" s="15" t="s">
        <v>9094</v>
      </c>
      <c r="X1490" s="15" t="s">
        <v>9095</v>
      </c>
      <c r="Y1490" s="15" t="s">
        <v>35</v>
      </c>
      <c r="Z1490" s="19">
        <v>0</v>
      </c>
      <c r="AA1490" s="15">
        <v>0</v>
      </c>
      <c r="AB1490" s="15" t="s">
        <v>35</v>
      </c>
    </row>
    <row r="1491">
      <c r="A1491" s="15">
        <v>1487</v>
      </c>
      <c r="B1491" s="15" t="s">
        <v>87</v>
      </c>
      <c r="C1491" s="15" t="s">
        <v>88</v>
      </c>
      <c r="D1491" s="15" t="s">
        <v>35</v>
      </c>
      <c r="E1491" s="15" t="s">
        <v>35</v>
      </c>
      <c r="F1491" s="15" t="s">
        <v>2721</v>
      </c>
      <c r="G1491" s="15" t="s">
        <v>36</v>
      </c>
      <c r="H1491" s="15" t="s">
        <v>9096</v>
      </c>
      <c r="I1491" s="15" t="s">
        <v>9097</v>
      </c>
      <c r="J1491" s="15" t="s">
        <v>9098</v>
      </c>
      <c r="K1491" s="15" t="s">
        <v>40</v>
      </c>
      <c r="L1491" s="15" t="s">
        <v>41</v>
      </c>
      <c r="M1491" s="15" t="s">
        <v>1195</v>
      </c>
      <c r="N1491" s="15" t="s">
        <v>1196</v>
      </c>
      <c r="O1491" s="15" t="s">
        <v>44</v>
      </c>
      <c r="P1491" s="15" t="s">
        <v>9099</v>
      </c>
      <c r="Q1491" s="15" t="s">
        <v>9100</v>
      </c>
      <c r="R1491" s="16">
        <v>44329</v>
      </c>
      <c r="S1491" s="17" t="s">
        <v>1835</v>
      </c>
      <c r="T1491" s="20">
        <f>HYPERLINK("https://vnm.spiral.com.vn//uploaded/20210513/8FD1AC76-EC6D-4A8C-BFF2-9D14699FE87B.jpg","13:04:27")</f>
      </c>
      <c r="U1491" s="18"/>
      <c r="V1491" s="18" t="s">
        <v>35</v>
      </c>
      <c r="W1491" s="15" t="s">
        <v>9101</v>
      </c>
      <c r="X1491" s="15" t="s">
        <v>35</v>
      </c>
      <c r="Y1491" s="15" t="s">
        <v>35</v>
      </c>
      <c r="Z1491" s="19">
        <v>0</v>
      </c>
      <c r="AA1491" s="15">
        <v>0</v>
      </c>
      <c r="AB1491" s="15" t="s">
        <v>35</v>
      </c>
    </row>
    <row r="1492">
      <c r="A1492" s="15">
        <v>1488</v>
      </c>
      <c r="B1492" s="15" t="s">
        <v>61</v>
      </c>
      <c r="C1492" s="15" t="s">
        <v>303</v>
      </c>
      <c r="D1492" s="15" t="s">
        <v>35</v>
      </c>
      <c r="E1492" s="15" t="s">
        <v>35</v>
      </c>
      <c r="F1492" s="15" t="s">
        <v>1947</v>
      </c>
      <c r="G1492" s="15" t="s">
        <v>36</v>
      </c>
      <c r="H1492" s="15" t="s">
        <v>1948</v>
      </c>
      <c r="I1492" s="15" t="s">
        <v>1949</v>
      </c>
      <c r="J1492" s="15" t="s">
        <v>1950</v>
      </c>
      <c r="K1492" s="15" t="s">
        <v>40</v>
      </c>
      <c r="L1492" s="15" t="s">
        <v>41</v>
      </c>
      <c r="M1492" s="15" t="s">
        <v>205</v>
      </c>
      <c r="N1492" s="15" t="s">
        <v>206</v>
      </c>
      <c r="O1492" s="15" t="s">
        <v>44</v>
      </c>
      <c r="P1492" s="15" t="s">
        <v>1951</v>
      </c>
      <c r="Q1492" s="15" t="s">
        <v>1952</v>
      </c>
      <c r="R1492" s="16">
        <v>44329</v>
      </c>
      <c r="S1492" s="17" t="s">
        <v>9073</v>
      </c>
      <c r="T1492" s="20">
        <f>HYPERLINK("https://vnm.spiral.com.vn//uploaded/20210513/93cefcf0-599b-4551-b1f2-9e08cc619800.JPEG","09:03:15")</f>
      </c>
      <c r="U1492" s="20">
        <f>HYPERLINK("https://vnm.spiral.com.vn//uploaded/20210513/d002770b-d0d7-4c1c-bad7-b448936acc22.JPEG","13:03:50")</f>
      </c>
      <c r="V1492" s="18">
        <v>0.16707175925925927</v>
      </c>
      <c r="W1492" s="15" t="s">
        <v>9102</v>
      </c>
      <c r="X1492" s="15" t="s">
        <v>9103</v>
      </c>
      <c r="Y1492" s="15" t="s">
        <v>35</v>
      </c>
      <c r="Z1492" s="19">
        <v>0</v>
      </c>
      <c r="AA1492" s="15">
        <v>0</v>
      </c>
      <c r="AB1492" s="15" t="s">
        <v>35</v>
      </c>
    </row>
    <row r="1493">
      <c r="A1493" s="15">
        <v>1489</v>
      </c>
      <c r="B1493" s="15" t="s">
        <v>103</v>
      </c>
      <c r="C1493" s="15" t="s">
        <v>186</v>
      </c>
      <c r="D1493" s="15" t="s">
        <v>135</v>
      </c>
      <c r="E1493" s="15" t="s">
        <v>116</v>
      </c>
      <c r="F1493" s="15" t="s">
        <v>35</v>
      </c>
      <c r="G1493" s="15" t="s">
        <v>74</v>
      </c>
      <c r="H1493" s="15" t="s">
        <v>9104</v>
      </c>
      <c r="I1493" s="15" t="s">
        <v>9105</v>
      </c>
      <c r="J1493" s="15" t="s">
        <v>9106</v>
      </c>
      <c r="K1493" s="15" t="s">
        <v>436</v>
      </c>
      <c r="L1493" s="15" t="s">
        <v>437</v>
      </c>
      <c r="M1493" s="15" t="s">
        <v>438</v>
      </c>
      <c r="N1493" s="15" t="s">
        <v>439</v>
      </c>
      <c r="O1493" s="15" t="s">
        <v>82</v>
      </c>
      <c r="P1493" s="15" t="s">
        <v>2431</v>
      </c>
      <c r="Q1493" s="15" t="s">
        <v>2432</v>
      </c>
      <c r="R1493" s="16">
        <v>44329</v>
      </c>
      <c r="S1493" s="17" t="s">
        <v>70</v>
      </c>
      <c r="T1493" s="20">
        <f>HYPERLINK("https://vnm.spiral.com.vn//uploaded/20210513/BB3F973F-5092-477F-94DE-76517E3553E9.jpg","10:52:56")</f>
      </c>
      <c r="U1493" s="20">
        <f>HYPERLINK("https://vnm.spiral.com.vn//uploaded/20210513/4731B1A1-28DA-477A-955B-FCCD6CA9BD5E.jpg","13:03:36")</f>
      </c>
      <c r="V1493" s="18">
        <v>0.09074074074074075</v>
      </c>
      <c r="W1493" s="15" t="s">
        <v>9107</v>
      </c>
      <c r="X1493" s="15" t="s">
        <v>9108</v>
      </c>
      <c r="Y1493" s="15" t="s">
        <v>35</v>
      </c>
      <c r="Z1493" s="19">
        <v>0</v>
      </c>
      <c r="AA1493" s="15">
        <v>0</v>
      </c>
      <c r="AB1493" s="15" t="s">
        <v>35</v>
      </c>
    </row>
    <row r="1494">
      <c r="A1494" s="15">
        <v>1490</v>
      </c>
      <c r="B1494" s="15" t="s">
        <v>103</v>
      </c>
      <c r="C1494" s="15" t="s">
        <v>104</v>
      </c>
      <c r="D1494" s="15" t="s">
        <v>89</v>
      </c>
      <c r="E1494" s="15" t="s">
        <v>90</v>
      </c>
      <c r="F1494" s="15" t="s">
        <v>35</v>
      </c>
      <c r="G1494" s="15" t="s">
        <v>74</v>
      </c>
      <c r="H1494" s="15" t="s">
        <v>2323</v>
      </c>
      <c r="I1494" s="15" t="s">
        <v>2324</v>
      </c>
      <c r="J1494" s="15" t="s">
        <v>2325</v>
      </c>
      <c r="K1494" s="15" t="s">
        <v>460</v>
      </c>
      <c r="L1494" s="15" t="s">
        <v>461</v>
      </c>
      <c r="M1494" s="15" t="s">
        <v>462</v>
      </c>
      <c r="N1494" s="15" t="s">
        <v>463</v>
      </c>
      <c r="O1494" s="15" t="s">
        <v>156</v>
      </c>
      <c r="P1494" s="15" t="s">
        <v>9109</v>
      </c>
      <c r="Q1494" s="15" t="s">
        <v>9110</v>
      </c>
      <c r="R1494" s="16">
        <v>44329</v>
      </c>
      <c r="S1494" s="17" t="s">
        <v>4131</v>
      </c>
      <c r="T1494" s="20">
        <f>HYPERLINK("https://vnm.spiral.com.vn//uploaded/20210513/B983CAB1-2CC8-4531-ADDC-5BB3D5BE16E4.jpg","13:02:40")</f>
      </c>
      <c r="U1494" s="18"/>
      <c r="V1494" s="18" t="s">
        <v>35</v>
      </c>
      <c r="W1494" s="15" t="s">
        <v>9111</v>
      </c>
      <c r="X1494" s="15" t="s">
        <v>35</v>
      </c>
      <c r="Y1494" s="15" t="s">
        <v>35</v>
      </c>
      <c r="Z1494" s="19">
        <v>0</v>
      </c>
      <c r="AA1494" s="15">
        <v>0</v>
      </c>
      <c r="AB1494" s="15" t="s">
        <v>35</v>
      </c>
    </row>
    <row r="1495">
      <c r="A1495" s="15">
        <v>1491</v>
      </c>
      <c r="B1495" s="15" t="s">
        <v>87</v>
      </c>
      <c r="C1495" s="15" t="s">
        <v>88</v>
      </c>
      <c r="D1495" s="15" t="s">
        <v>89</v>
      </c>
      <c r="E1495" s="15" t="s">
        <v>90</v>
      </c>
      <c r="F1495" s="15" t="s">
        <v>35</v>
      </c>
      <c r="G1495" s="15" t="s">
        <v>74</v>
      </c>
      <c r="H1495" s="15" t="s">
        <v>2606</v>
      </c>
      <c r="I1495" s="15" t="s">
        <v>2607</v>
      </c>
      <c r="J1495" s="15" t="s">
        <v>2608</v>
      </c>
      <c r="K1495" s="15" t="s">
        <v>96</v>
      </c>
      <c r="L1495" s="15" t="s">
        <v>97</v>
      </c>
      <c r="M1495" s="15" t="s">
        <v>1640</v>
      </c>
      <c r="N1495" s="15" t="s">
        <v>1641</v>
      </c>
      <c r="O1495" s="15" t="s">
        <v>156</v>
      </c>
      <c r="P1495" s="15" t="s">
        <v>9112</v>
      </c>
      <c r="Q1495" s="15" t="s">
        <v>9113</v>
      </c>
      <c r="R1495" s="16">
        <v>44329</v>
      </c>
      <c r="S1495" s="17" t="s">
        <v>1835</v>
      </c>
      <c r="T1495" s="20">
        <f>HYPERLINK("https://vnm.spiral.com.vn//uploaded/20210513/68F9F9F0-AEFA-4383-A54B-C5BB6574BDC3.jpg","13:01:53")</f>
      </c>
      <c r="U1495" s="18"/>
      <c r="V1495" s="18" t="s">
        <v>35</v>
      </c>
      <c r="W1495" s="15" t="s">
        <v>9114</v>
      </c>
      <c r="X1495" s="15" t="s">
        <v>35</v>
      </c>
      <c r="Y1495" s="15" t="s">
        <v>35</v>
      </c>
      <c r="Z1495" s="19">
        <v>0</v>
      </c>
      <c r="AA1495" s="15">
        <v>0</v>
      </c>
      <c r="AB1495" s="15" t="s">
        <v>35</v>
      </c>
    </row>
    <row r="1496">
      <c r="A1496" s="15">
        <v>1492</v>
      </c>
      <c r="B1496" s="15" t="s">
        <v>87</v>
      </c>
      <c r="C1496" s="15" t="s">
        <v>88</v>
      </c>
      <c r="D1496" s="15" t="s">
        <v>115</v>
      </c>
      <c r="E1496" s="15" t="s">
        <v>116</v>
      </c>
      <c r="F1496" s="15" t="s">
        <v>35</v>
      </c>
      <c r="G1496" s="15" t="s">
        <v>74</v>
      </c>
      <c r="H1496" s="15" t="s">
        <v>9115</v>
      </c>
      <c r="I1496" s="15" t="s">
        <v>9116</v>
      </c>
      <c r="J1496" s="15" t="s">
        <v>9117</v>
      </c>
      <c r="K1496" s="15" t="s">
        <v>120</v>
      </c>
      <c r="L1496" s="15" t="s">
        <v>121</v>
      </c>
      <c r="M1496" s="15" t="s">
        <v>122</v>
      </c>
      <c r="N1496" s="15" t="s">
        <v>123</v>
      </c>
      <c r="O1496" s="15" t="s">
        <v>82</v>
      </c>
      <c r="P1496" s="15" t="s">
        <v>2677</v>
      </c>
      <c r="Q1496" s="15" t="s">
        <v>2678</v>
      </c>
      <c r="R1496" s="16">
        <v>44329</v>
      </c>
      <c r="S1496" s="17" t="s">
        <v>70</v>
      </c>
      <c r="T1496" s="20">
        <f>HYPERLINK("https://vnm.spiral.com.vn//uploaded/20210513/08246f5a-276b-4dbf-97af-7cc1f69685ee.jpg","11:44:55")</f>
      </c>
      <c r="U1496" s="20">
        <f>HYPERLINK("https://vnm.spiral.com.vn//uploaded/20210513/4999d37d-27da-4dcf-9842-2e0acc54b42a.jpg","13:01:34")</f>
      </c>
      <c r="V1496" s="18">
        <v>0.05322916666666667</v>
      </c>
      <c r="W1496" s="15" t="s">
        <v>9118</v>
      </c>
      <c r="X1496" s="15" t="s">
        <v>9119</v>
      </c>
      <c r="Y1496" s="15" t="s">
        <v>35</v>
      </c>
      <c r="Z1496" s="19">
        <v>0</v>
      </c>
      <c r="AA1496" s="15">
        <v>0</v>
      </c>
      <c r="AB1496" s="15" t="s">
        <v>35</v>
      </c>
    </row>
    <row r="1497">
      <c r="A1497" s="15">
        <v>1493</v>
      </c>
      <c r="B1497" s="15" t="s">
        <v>61</v>
      </c>
      <c r="C1497" s="15" t="s">
        <v>442</v>
      </c>
      <c r="D1497" s="15" t="s">
        <v>35</v>
      </c>
      <c r="E1497" s="15" t="s">
        <v>35</v>
      </c>
      <c r="F1497" s="15" t="s">
        <v>35</v>
      </c>
      <c r="G1497" s="15" t="s">
        <v>36</v>
      </c>
      <c r="H1497" s="15" t="s">
        <v>9120</v>
      </c>
      <c r="I1497" s="15" t="s">
        <v>9121</v>
      </c>
      <c r="J1497" s="15" t="s">
        <v>9122</v>
      </c>
      <c r="K1497" s="15" t="s">
        <v>40</v>
      </c>
      <c r="L1497" s="15" t="s">
        <v>41</v>
      </c>
      <c r="M1497" s="15" t="s">
        <v>205</v>
      </c>
      <c r="N1497" s="15" t="s">
        <v>206</v>
      </c>
      <c r="O1497" s="15" t="s">
        <v>44</v>
      </c>
      <c r="P1497" s="15" t="s">
        <v>9123</v>
      </c>
      <c r="Q1497" s="15" t="s">
        <v>9124</v>
      </c>
      <c r="R1497" s="16">
        <v>44329</v>
      </c>
      <c r="S1497" s="17" t="s">
        <v>9125</v>
      </c>
      <c r="T1497" s="20">
        <f>HYPERLINK("https://vnm.spiral.com.vn//uploaded/20210513/EC44D1FF-E31D-4BE5-B279-1DA29CADA47D.jpg","07:59:43")</f>
      </c>
      <c r="U1497" s="20">
        <f>HYPERLINK("https://vnm.spiral.com.vn//uploaded/20210513/B8B8A231-4246-4059-9379-67DCBA23917E.jpg","13:01:03")</f>
      </c>
      <c r="V1497" s="18">
        <v>0.20925925925925926</v>
      </c>
      <c r="W1497" s="15" t="s">
        <v>9126</v>
      </c>
      <c r="X1497" s="15" t="s">
        <v>9127</v>
      </c>
      <c r="Y1497" s="15" t="s">
        <v>35</v>
      </c>
      <c r="Z1497" s="19">
        <v>0</v>
      </c>
      <c r="AA1497" s="15">
        <v>0</v>
      </c>
      <c r="AB1497" s="15" t="s">
        <v>35</v>
      </c>
    </row>
    <row r="1498">
      <c r="A1498" s="15">
        <v>1494</v>
      </c>
      <c r="B1498" s="15" t="s">
        <v>87</v>
      </c>
      <c r="C1498" s="15" t="s">
        <v>88</v>
      </c>
      <c r="D1498" s="15" t="s">
        <v>89</v>
      </c>
      <c r="E1498" s="15" t="s">
        <v>90</v>
      </c>
      <c r="F1498" s="15" t="s">
        <v>35</v>
      </c>
      <c r="G1498" s="15" t="s">
        <v>74</v>
      </c>
      <c r="H1498" s="15" t="s">
        <v>1637</v>
      </c>
      <c r="I1498" s="15" t="s">
        <v>1638</v>
      </c>
      <c r="J1498" s="15" t="s">
        <v>1639</v>
      </c>
      <c r="K1498" s="15" t="s">
        <v>96</v>
      </c>
      <c r="L1498" s="15" t="s">
        <v>97</v>
      </c>
      <c r="M1498" s="15" t="s">
        <v>1640</v>
      </c>
      <c r="N1498" s="15" t="s">
        <v>1641</v>
      </c>
      <c r="O1498" s="15" t="s">
        <v>156</v>
      </c>
      <c r="P1498" s="15" t="s">
        <v>9128</v>
      </c>
      <c r="Q1498" s="15" t="s">
        <v>9129</v>
      </c>
      <c r="R1498" s="16">
        <v>44329</v>
      </c>
      <c r="S1498" s="17" t="s">
        <v>1835</v>
      </c>
      <c r="T1498" s="20">
        <f>HYPERLINK("https://vnm.spiral.com.vn//uploaded/20210513/51186D35-6E37-4B16-871A-F4568D1C4EE4.jpg","13:00:53")</f>
      </c>
      <c r="U1498" s="18"/>
      <c r="V1498" s="18" t="s">
        <v>35</v>
      </c>
      <c r="W1498" s="15" t="s">
        <v>9130</v>
      </c>
      <c r="X1498" s="15" t="s">
        <v>35</v>
      </c>
      <c r="Y1498" s="15" t="s">
        <v>35</v>
      </c>
      <c r="Z1498" s="19">
        <v>0</v>
      </c>
      <c r="AA1498" s="15">
        <v>0</v>
      </c>
      <c r="AB1498" s="15" t="s">
        <v>35</v>
      </c>
    </row>
    <row r="1499">
      <c r="A1499" s="15">
        <v>1495</v>
      </c>
      <c r="B1499" s="15" t="s">
        <v>87</v>
      </c>
      <c r="C1499" s="15" t="s">
        <v>88</v>
      </c>
      <c r="D1499" s="15" t="s">
        <v>135</v>
      </c>
      <c r="E1499" s="15" t="s">
        <v>116</v>
      </c>
      <c r="F1499" s="15" t="s">
        <v>35</v>
      </c>
      <c r="G1499" s="15" t="s">
        <v>74</v>
      </c>
      <c r="H1499" s="15" t="s">
        <v>9131</v>
      </c>
      <c r="I1499" s="15" t="s">
        <v>9132</v>
      </c>
      <c r="J1499" s="15" t="s">
        <v>9133</v>
      </c>
      <c r="K1499" s="15" t="s">
        <v>139</v>
      </c>
      <c r="L1499" s="15" t="s">
        <v>140</v>
      </c>
      <c r="M1499" s="15" t="s">
        <v>530</v>
      </c>
      <c r="N1499" s="15" t="s">
        <v>531</v>
      </c>
      <c r="O1499" s="15" t="s">
        <v>82</v>
      </c>
      <c r="P1499" s="15" t="s">
        <v>532</v>
      </c>
      <c r="Q1499" s="15" t="s">
        <v>533</v>
      </c>
      <c r="R1499" s="16">
        <v>44329</v>
      </c>
      <c r="S1499" s="17" t="s">
        <v>70</v>
      </c>
      <c r="T1499" s="20">
        <f>HYPERLINK("https://vnm.spiral.com.vn//uploaded/20210513/56b72c4e-8a37-4bda-a456-ff983a6fb22b.JPEG","12:05:13")</f>
      </c>
      <c r="U1499" s="20">
        <f>HYPERLINK("https://vnm.spiral.com.vn//uploaded/20210513/045f4330-ae12-4656-bf31-e8ae0115cafa.JPEG","13:00:32")</f>
      </c>
      <c r="V1499" s="18">
        <v>0.03841435185185185</v>
      </c>
      <c r="W1499" s="15" t="s">
        <v>9134</v>
      </c>
      <c r="X1499" s="15" t="s">
        <v>9135</v>
      </c>
      <c r="Y1499" s="15" t="s">
        <v>35</v>
      </c>
      <c r="Z1499" s="19">
        <v>0</v>
      </c>
      <c r="AA1499" s="15">
        <v>0</v>
      </c>
      <c r="AB1499" s="15" t="s">
        <v>35</v>
      </c>
    </row>
    <row r="1500">
      <c r="A1500" s="15">
        <v>1496</v>
      </c>
      <c r="B1500" s="15" t="s">
        <v>61</v>
      </c>
      <c r="C1500" s="15" t="s">
        <v>303</v>
      </c>
      <c r="D1500" s="15" t="s">
        <v>148</v>
      </c>
      <c r="E1500" s="15" t="s">
        <v>90</v>
      </c>
      <c r="F1500" s="15" t="s">
        <v>35</v>
      </c>
      <c r="G1500" s="15" t="s">
        <v>74</v>
      </c>
      <c r="H1500" s="15" t="s">
        <v>4348</v>
      </c>
      <c r="I1500" s="15" t="s">
        <v>4349</v>
      </c>
      <c r="J1500" s="15" t="s">
        <v>4350</v>
      </c>
      <c r="K1500" s="15" t="s">
        <v>309</v>
      </c>
      <c r="L1500" s="15" t="s">
        <v>310</v>
      </c>
      <c r="M1500" s="15" t="s">
        <v>311</v>
      </c>
      <c r="N1500" s="15" t="s">
        <v>312</v>
      </c>
      <c r="O1500" s="15" t="s">
        <v>156</v>
      </c>
      <c r="P1500" s="15" t="s">
        <v>9136</v>
      </c>
      <c r="Q1500" s="15" t="s">
        <v>9137</v>
      </c>
      <c r="R1500" s="16">
        <v>44329</v>
      </c>
      <c r="S1500" s="17" t="s">
        <v>8701</v>
      </c>
      <c r="T1500" s="20">
        <f>HYPERLINK("https://vnm.spiral.com.vn//uploaded/20210513/B91FC2A3-E660-463E-9551-E3A3609E9349.jpg","13:00:30")</f>
      </c>
      <c r="U1500" s="18"/>
      <c r="V1500" s="18" t="s">
        <v>35</v>
      </c>
      <c r="W1500" s="15" t="s">
        <v>9138</v>
      </c>
      <c r="X1500" s="15" t="s">
        <v>35</v>
      </c>
      <c r="Y1500" s="15" t="s">
        <v>35</v>
      </c>
      <c r="Z1500" s="19">
        <v>0</v>
      </c>
      <c r="AA1500" s="15">
        <v>0</v>
      </c>
      <c r="AB1500" s="15" t="s">
        <v>35</v>
      </c>
    </row>
    <row r="1501">
      <c r="A1501" s="15">
        <v>1497</v>
      </c>
      <c r="B1501" s="15" t="s">
        <v>87</v>
      </c>
      <c r="C1501" s="15" t="s">
        <v>88</v>
      </c>
      <c r="D1501" s="15" t="s">
        <v>35</v>
      </c>
      <c r="E1501" s="15" t="s">
        <v>35</v>
      </c>
      <c r="F1501" s="15" t="s">
        <v>2077</v>
      </c>
      <c r="G1501" s="15" t="s">
        <v>36</v>
      </c>
      <c r="H1501" s="15" t="s">
        <v>9139</v>
      </c>
      <c r="I1501" s="15" t="s">
        <v>9140</v>
      </c>
      <c r="J1501" s="15" t="s">
        <v>9141</v>
      </c>
      <c r="K1501" s="15" t="s">
        <v>40</v>
      </c>
      <c r="L1501" s="15" t="s">
        <v>41</v>
      </c>
      <c r="M1501" s="15" t="s">
        <v>289</v>
      </c>
      <c r="N1501" s="15" t="s">
        <v>290</v>
      </c>
      <c r="O1501" s="15" t="s">
        <v>44</v>
      </c>
      <c r="P1501" s="15" t="s">
        <v>4021</v>
      </c>
      <c r="Q1501" s="15" t="s">
        <v>4022</v>
      </c>
      <c r="R1501" s="16">
        <v>44329</v>
      </c>
      <c r="S1501" s="17" t="s">
        <v>9073</v>
      </c>
      <c r="T1501" s="20">
        <f>HYPERLINK("https://vnm.spiral.com.vn//uploaded/20210513/7ae9daaf-d5cf-40ea-b180-f24d4638d467.JPEG","09:10:18")</f>
      </c>
      <c r="U1501" s="20">
        <f>HYPERLINK("https://vnm.spiral.com.vn//uploaded/20210513/0eda6234-e3d0-4b05-a605-3bcda26b8acc.JPEG","13:00:25")</f>
      </c>
      <c r="V1501" s="18">
        <v>0.15980324074074073</v>
      </c>
      <c r="W1501" s="15" t="s">
        <v>9142</v>
      </c>
      <c r="X1501" s="15" t="s">
        <v>9143</v>
      </c>
      <c r="Y1501" s="15" t="s">
        <v>35</v>
      </c>
      <c r="Z1501" s="19">
        <v>0</v>
      </c>
      <c r="AA1501" s="15">
        <v>0</v>
      </c>
      <c r="AB1501" s="15" t="s">
        <v>35</v>
      </c>
    </row>
    <row r="1502">
      <c r="A1502" s="15">
        <v>1498</v>
      </c>
      <c r="B1502" s="15" t="s">
        <v>33</v>
      </c>
      <c r="C1502" s="15" t="s">
        <v>765</v>
      </c>
      <c r="D1502" s="15" t="s">
        <v>35</v>
      </c>
      <c r="E1502" s="15" t="s">
        <v>35</v>
      </c>
      <c r="F1502" s="15" t="s">
        <v>35</v>
      </c>
      <c r="G1502" s="15" t="s">
        <v>74</v>
      </c>
      <c r="H1502" s="15" t="s">
        <v>6535</v>
      </c>
      <c r="I1502" s="15" t="s">
        <v>6536</v>
      </c>
      <c r="J1502" s="15" t="s">
        <v>6537</v>
      </c>
      <c r="K1502" s="15" t="s">
        <v>769</v>
      </c>
      <c r="L1502" s="15" t="s">
        <v>770</v>
      </c>
      <c r="M1502" s="15" t="s">
        <v>1532</v>
      </c>
      <c r="N1502" s="15" t="s">
        <v>1533</v>
      </c>
      <c r="O1502" s="15" t="s">
        <v>156</v>
      </c>
      <c r="P1502" s="15" t="s">
        <v>9144</v>
      </c>
      <c r="Q1502" s="15" t="s">
        <v>9145</v>
      </c>
      <c r="R1502" s="16">
        <v>44329</v>
      </c>
      <c r="S1502" s="17" t="s">
        <v>8701</v>
      </c>
      <c r="T1502" s="20">
        <f>HYPERLINK("https://vnm.spiral.com.vn//uploaded/20210513/1D5218EA-F2F5-427B-B4B8-0B6AAEA93FAF.jpg","12:59:42")</f>
      </c>
      <c r="U1502" s="18"/>
      <c r="V1502" s="18" t="s">
        <v>35</v>
      </c>
      <c r="W1502" s="15" t="s">
        <v>9146</v>
      </c>
      <c r="X1502" s="15" t="s">
        <v>35</v>
      </c>
      <c r="Y1502" s="15" t="s">
        <v>35</v>
      </c>
      <c r="Z1502" s="19">
        <v>0</v>
      </c>
      <c r="AA1502" s="15">
        <v>0</v>
      </c>
      <c r="AB1502" s="15" t="s">
        <v>35</v>
      </c>
    </row>
    <row r="1503">
      <c r="A1503" s="15">
        <v>1499</v>
      </c>
      <c r="B1503" s="15" t="s">
        <v>61</v>
      </c>
      <c r="C1503" s="15" t="s">
        <v>442</v>
      </c>
      <c r="D1503" s="15" t="s">
        <v>89</v>
      </c>
      <c r="E1503" s="15" t="s">
        <v>90</v>
      </c>
      <c r="F1503" s="15" t="s">
        <v>35</v>
      </c>
      <c r="G1503" s="15" t="s">
        <v>74</v>
      </c>
      <c r="H1503" s="15" t="s">
        <v>3219</v>
      </c>
      <c r="I1503" s="15" t="s">
        <v>3220</v>
      </c>
      <c r="J1503" s="15" t="s">
        <v>3221</v>
      </c>
      <c r="K1503" s="15" t="s">
        <v>232</v>
      </c>
      <c r="L1503" s="15" t="s">
        <v>233</v>
      </c>
      <c r="M1503" s="15" t="s">
        <v>453</v>
      </c>
      <c r="N1503" s="15" t="s">
        <v>454</v>
      </c>
      <c r="O1503" s="15" t="s">
        <v>156</v>
      </c>
      <c r="P1503" s="15" t="s">
        <v>9147</v>
      </c>
      <c r="Q1503" s="15" t="s">
        <v>9148</v>
      </c>
      <c r="R1503" s="16">
        <v>44329</v>
      </c>
      <c r="S1503" s="17" t="s">
        <v>8701</v>
      </c>
      <c r="T1503" s="20">
        <f>HYPERLINK("https://vnm.spiral.com.vn//uploaded/20210513/0d0e8861-22b0-4714-ac0e-44fe089a70aa.JPEG","12:59:32")</f>
      </c>
      <c r="U1503" s="18"/>
      <c r="V1503" s="18" t="s">
        <v>35</v>
      </c>
      <c r="W1503" s="15" t="s">
        <v>9149</v>
      </c>
      <c r="X1503" s="15" t="s">
        <v>35</v>
      </c>
      <c r="Y1503" s="15" t="s">
        <v>35</v>
      </c>
      <c r="Z1503" s="19">
        <v>0</v>
      </c>
      <c r="AA1503" s="15">
        <v>0</v>
      </c>
      <c r="AB1503" s="15" t="s">
        <v>35</v>
      </c>
    </row>
    <row r="1504">
      <c r="A1504" s="15">
        <v>1500</v>
      </c>
      <c r="B1504" s="15" t="s">
        <v>49</v>
      </c>
      <c r="C1504" s="15" t="s">
        <v>369</v>
      </c>
      <c r="D1504" s="15" t="s">
        <v>357</v>
      </c>
      <c r="E1504" s="15" t="s">
        <v>90</v>
      </c>
      <c r="F1504" s="15" t="s">
        <v>35</v>
      </c>
      <c r="G1504" s="15" t="s">
        <v>74</v>
      </c>
      <c r="H1504" s="15" t="s">
        <v>9150</v>
      </c>
      <c r="I1504" s="15" t="s">
        <v>9066</v>
      </c>
      <c r="J1504" s="15" t="s">
        <v>9151</v>
      </c>
      <c r="K1504" s="15" t="s">
        <v>166</v>
      </c>
      <c r="L1504" s="15" t="s">
        <v>167</v>
      </c>
      <c r="M1504" s="15" t="s">
        <v>168</v>
      </c>
      <c r="N1504" s="15" t="s">
        <v>169</v>
      </c>
      <c r="O1504" s="15" t="s">
        <v>82</v>
      </c>
      <c r="P1504" s="15" t="s">
        <v>9068</v>
      </c>
      <c r="Q1504" s="15" t="s">
        <v>7105</v>
      </c>
      <c r="R1504" s="16">
        <v>44329</v>
      </c>
      <c r="S1504" s="17" t="s">
        <v>70</v>
      </c>
      <c r="T1504" s="20">
        <f>HYPERLINK("https://vnm.spiral.com.vn//uploaded/20210513/2da5b290-5e08-473b-897f-77b23df3779e.JPEG","07:51:27")</f>
      </c>
      <c r="U1504" s="20">
        <f>HYPERLINK("https://vnm.spiral.com.vn//uploaded/20210513/813fb85f-b2fe-4a59-a3e9-2f5fa7410241.JPEG","12:59:26")</f>
      </c>
      <c r="V1504" s="18">
        <v>0.2138773148148148</v>
      </c>
      <c r="W1504" s="15" t="s">
        <v>9152</v>
      </c>
      <c r="X1504" s="15" t="s">
        <v>9152</v>
      </c>
      <c r="Y1504" s="15" t="s">
        <v>35</v>
      </c>
      <c r="Z1504" s="19">
        <v>0</v>
      </c>
      <c r="AA1504" s="15">
        <v>0</v>
      </c>
      <c r="AB1504" s="15" t="s">
        <v>35</v>
      </c>
    </row>
    <row r="1505">
      <c r="A1505" s="15">
        <v>1501</v>
      </c>
      <c r="B1505" s="15" t="s">
        <v>246</v>
      </c>
      <c r="C1505" s="15" t="s">
        <v>247</v>
      </c>
      <c r="D1505" s="15" t="s">
        <v>89</v>
      </c>
      <c r="E1505" s="15" t="s">
        <v>90</v>
      </c>
      <c r="F1505" s="15" t="s">
        <v>35</v>
      </c>
      <c r="G1505" s="15" t="s">
        <v>74</v>
      </c>
      <c r="H1505" s="15" t="s">
        <v>8162</v>
      </c>
      <c r="I1505" s="15" t="s">
        <v>8163</v>
      </c>
      <c r="J1505" s="15" t="s">
        <v>8164</v>
      </c>
      <c r="K1505" s="15" t="s">
        <v>263</v>
      </c>
      <c r="L1505" s="15" t="s">
        <v>264</v>
      </c>
      <c r="M1505" s="15" t="s">
        <v>339</v>
      </c>
      <c r="N1505" s="15" t="s">
        <v>340</v>
      </c>
      <c r="O1505" s="15" t="s">
        <v>156</v>
      </c>
      <c r="P1505" s="15" t="s">
        <v>9153</v>
      </c>
      <c r="Q1505" s="15" t="s">
        <v>283</v>
      </c>
      <c r="R1505" s="16">
        <v>44329</v>
      </c>
      <c r="S1505" s="17" t="s">
        <v>1835</v>
      </c>
      <c r="T1505" s="20">
        <f>HYPERLINK("https://vnm.spiral.com.vn//uploaded/20210513/6735fe6e-aeb8-43a2-bf95-b42732421619.JPEG","12:59:21")</f>
      </c>
      <c r="U1505" s="18"/>
      <c r="V1505" s="18" t="s">
        <v>35</v>
      </c>
      <c r="W1505" s="15" t="s">
        <v>9154</v>
      </c>
      <c r="X1505" s="15" t="s">
        <v>35</v>
      </c>
      <c r="Y1505" s="15" t="s">
        <v>35</v>
      </c>
      <c r="Z1505" s="19">
        <v>0</v>
      </c>
      <c r="AA1505" s="15">
        <v>0</v>
      </c>
      <c r="AB1505" s="15" t="s">
        <v>35</v>
      </c>
    </row>
    <row r="1506">
      <c r="A1506" s="15">
        <v>1502</v>
      </c>
      <c r="B1506" s="15" t="s">
        <v>343</v>
      </c>
      <c r="C1506" s="15" t="s">
        <v>344</v>
      </c>
      <c r="D1506" s="15" t="s">
        <v>35</v>
      </c>
      <c r="E1506" s="15" t="s">
        <v>35</v>
      </c>
      <c r="F1506" s="15" t="s">
        <v>35</v>
      </c>
      <c r="G1506" s="15" t="s">
        <v>36</v>
      </c>
      <c r="H1506" s="15" t="s">
        <v>9155</v>
      </c>
      <c r="I1506" s="15" t="s">
        <v>9156</v>
      </c>
      <c r="J1506" s="15" t="s">
        <v>9157</v>
      </c>
      <c r="K1506" s="15" t="s">
        <v>40</v>
      </c>
      <c r="L1506" s="15" t="s">
        <v>41</v>
      </c>
      <c r="M1506" s="15" t="s">
        <v>409</v>
      </c>
      <c r="N1506" s="15" t="s">
        <v>410</v>
      </c>
      <c r="O1506" s="15" t="s">
        <v>44</v>
      </c>
      <c r="P1506" s="15" t="s">
        <v>9158</v>
      </c>
      <c r="Q1506" s="15" t="s">
        <v>9159</v>
      </c>
      <c r="R1506" s="16">
        <v>44329</v>
      </c>
      <c r="S1506" s="17" t="s">
        <v>1835</v>
      </c>
      <c r="T1506" s="20">
        <f>HYPERLINK("https://vnm.spiral.com.vn//uploaded/20210513/2481c21b-64e2-4cd1-9ec8-9593ab0645a5.JPEG","12:59:17")</f>
      </c>
      <c r="U1506" s="18"/>
      <c r="V1506" s="18" t="s">
        <v>35</v>
      </c>
      <c r="W1506" s="15" t="s">
        <v>9160</v>
      </c>
      <c r="X1506" s="15" t="s">
        <v>35</v>
      </c>
      <c r="Y1506" s="15" t="s">
        <v>35</v>
      </c>
      <c r="Z1506" s="19">
        <v>0</v>
      </c>
      <c r="AA1506" s="15">
        <v>0</v>
      </c>
      <c r="AB1506" s="15" t="s">
        <v>35</v>
      </c>
    </row>
    <row r="1507">
      <c r="A1507" s="15">
        <v>1503</v>
      </c>
      <c r="B1507" s="15" t="s">
        <v>343</v>
      </c>
      <c r="C1507" s="15" t="s">
        <v>344</v>
      </c>
      <c r="D1507" s="15" t="s">
        <v>35</v>
      </c>
      <c r="E1507" s="15" t="s">
        <v>35</v>
      </c>
      <c r="F1507" s="15" t="s">
        <v>35</v>
      </c>
      <c r="G1507" s="15" t="s">
        <v>74</v>
      </c>
      <c r="H1507" s="15" t="s">
        <v>9161</v>
      </c>
      <c r="I1507" s="15" t="s">
        <v>9162</v>
      </c>
      <c r="J1507" s="15" t="s">
        <v>9163</v>
      </c>
      <c r="K1507" s="15" t="s">
        <v>584</v>
      </c>
      <c r="L1507" s="15" t="s">
        <v>585</v>
      </c>
      <c r="M1507" s="15" t="s">
        <v>827</v>
      </c>
      <c r="N1507" s="15" t="s">
        <v>828</v>
      </c>
      <c r="O1507" s="15" t="s">
        <v>82</v>
      </c>
      <c r="P1507" s="15" t="s">
        <v>7778</v>
      </c>
      <c r="Q1507" s="15" t="s">
        <v>7779</v>
      </c>
      <c r="R1507" s="16">
        <v>44329</v>
      </c>
      <c r="S1507" s="17" t="s">
        <v>70</v>
      </c>
      <c r="T1507" s="20">
        <f>HYPERLINK("https://vnm.spiral.com.vn//uploaded/20210513/fc76c128-6ef8-49bf-a9e8-4a98c3781e8a.JPEG","12:43:16")</f>
      </c>
      <c r="U1507" s="20">
        <f>HYPERLINK("https://vnm.spiral.com.vn//uploaded/20210513/12683f22-37d4-401e-ad6e-0bc36673afc3.JPEG","12:59:03")</f>
      </c>
      <c r="V1507" s="18">
        <v>0.010960648148148148</v>
      </c>
      <c r="W1507" s="15" t="s">
        <v>9164</v>
      </c>
      <c r="X1507" s="15" t="s">
        <v>9164</v>
      </c>
      <c r="Y1507" s="15" t="s">
        <v>35</v>
      </c>
      <c r="Z1507" s="19">
        <v>0</v>
      </c>
      <c r="AA1507" s="15">
        <v>0</v>
      </c>
      <c r="AB1507" s="15" t="s">
        <v>35</v>
      </c>
    </row>
    <row r="1508">
      <c r="A1508" s="15">
        <v>1504</v>
      </c>
      <c r="B1508" s="15" t="s">
        <v>87</v>
      </c>
      <c r="C1508" s="15" t="s">
        <v>88</v>
      </c>
      <c r="D1508" s="15" t="s">
        <v>148</v>
      </c>
      <c r="E1508" s="15" t="s">
        <v>90</v>
      </c>
      <c r="F1508" s="15" t="s">
        <v>35</v>
      </c>
      <c r="G1508" s="15" t="s">
        <v>74</v>
      </c>
      <c r="H1508" s="15" t="s">
        <v>1201</v>
      </c>
      <c r="I1508" s="15" t="s">
        <v>1202</v>
      </c>
      <c r="J1508" s="15" t="s">
        <v>1203</v>
      </c>
      <c r="K1508" s="15" t="s">
        <v>1204</v>
      </c>
      <c r="L1508" s="15" t="s">
        <v>1205</v>
      </c>
      <c r="M1508" s="15" t="s">
        <v>1206</v>
      </c>
      <c r="N1508" s="15" t="s">
        <v>1207</v>
      </c>
      <c r="O1508" s="15" t="s">
        <v>156</v>
      </c>
      <c r="P1508" s="15" t="s">
        <v>9165</v>
      </c>
      <c r="Q1508" s="15" t="s">
        <v>9166</v>
      </c>
      <c r="R1508" s="16">
        <v>44329</v>
      </c>
      <c r="S1508" s="17" t="s">
        <v>4131</v>
      </c>
      <c r="T1508" s="20">
        <f>HYPERLINK("https://vnm.spiral.com.vn//uploaded/20210513/7b64f6ce-b58a-4002-b054-2c2c6db7d4a7.JPEG","12:58:45")</f>
      </c>
      <c r="U1508" s="18"/>
      <c r="V1508" s="18" t="s">
        <v>35</v>
      </c>
      <c r="W1508" s="15" t="s">
        <v>9167</v>
      </c>
      <c r="X1508" s="15" t="s">
        <v>35</v>
      </c>
      <c r="Y1508" s="15" t="s">
        <v>35</v>
      </c>
      <c r="Z1508" s="19">
        <v>0</v>
      </c>
      <c r="AA1508" s="15">
        <v>0</v>
      </c>
      <c r="AB1508" s="15" t="s">
        <v>35</v>
      </c>
    </row>
    <row r="1509">
      <c r="A1509" s="15">
        <v>1505</v>
      </c>
      <c r="B1509" s="15" t="s">
        <v>87</v>
      </c>
      <c r="C1509" s="15" t="s">
        <v>88</v>
      </c>
      <c r="D1509" s="15" t="s">
        <v>89</v>
      </c>
      <c r="E1509" s="15" t="s">
        <v>90</v>
      </c>
      <c r="F1509" s="15" t="s">
        <v>35</v>
      </c>
      <c r="G1509" s="15" t="s">
        <v>74</v>
      </c>
      <c r="H1509" s="15" t="s">
        <v>9168</v>
      </c>
      <c r="I1509" s="15" t="s">
        <v>9169</v>
      </c>
      <c r="J1509" s="15" t="s">
        <v>9170</v>
      </c>
      <c r="K1509" s="15" t="s">
        <v>96</v>
      </c>
      <c r="L1509" s="15" t="s">
        <v>97</v>
      </c>
      <c r="M1509" s="15" t="s">
        <v>1831</v>
      </c>
      <c r="N1509" s="15" t="s">
        <v>1832</v>
      </c>
      <c r="O1509" s="15" t="s">
        <v>156</v>
      </c>
      <c r="P1509" s="15" t="s">
        <v>9171</v>
      </c>
      <c r="Q1509" s="15" t="s">
        <v>7426</v>
      </c>
      <c r="R1509" s="16">
        <v>44329</v>
      </c>
      <c r="S1509" s="17" t="s">
        <v>1835</v>
      </c>
      <c r="T1509" s="20">
        <f>HYPERLINK("https://vnm.spiral.com.vn//uploaded/20210513/CB87AB02-6436-4D67-8037-6DAE56485899.jpg","12:58:20")</f>
      </c>
      <c r="U1509" s="18"/>
      <c r="V1509" s="18" t="s">
        <v>35</v>
      </c>
      <c r="W1509" s="15" t="s">
        <v>9172</v>
      </c>
      <c r="X1509" s="15" t="s">
        <v>35</v>
      </c>
      <c r="Y1509" s="15" t="s">
        <v>35</v>
      </c>
      <c r="Z1509" s="19">
        <v>0</v>
      </c>
      <c r="AA1509" s="15">
        <v>0</v>
      </c>
      <c r="AB1509" s="15" t="s">
        <v>35</v>
      </c>
    </row>
    <row r="1510">
      <c r="A1510" s="15">
        <v>1506</v>
      </c>
      <c r="B1510" s="15" t="s">
        <v>87</v>
      </c>
      <c r="C1510" s="15" t="s">
        <v>88</v>
      </c>
      <c r="D1510" s="15" t="s">
        <v>135</v>
      </c>
      <c r="E1510" s="15" t="s">
        <v>116</v>
      </c>
      <c r="F1510" s="15" t="s">
        <v>35</v>
      </c>
      <c r="G1510" s="15" t="s">
        <v>74</v>
      </c>
      <c r="H1510" s="15" t="s">
        <v>9173</v>
      </c>
      <c r="I1510" s="15" t="s">
        <v>9174</v>
      </c>
      <c r="J1510" s="15" t="s">
        <v>9175</v>
      </c>
      <c r="K1510" s="15" t="s">
        <v>390</v>
      </c>
      <c r="L1510" s="15" t="s">
        <v>391</v>
      </c>
      <c r="M1510" s="15" t="s">
        <v>392</v>
      </c>
      <c r="N1510" s="15" t="s">
        <v>393</v>
      </c>
      <c r="O1510" s="15" t="s">
        <v>82</v>
      </c>
      <c r="P1510" s="15" t="s">
        <v>5400</v>
      </c>
      <c r="Q1510" s="15" t="s">
        <v>5401</v>
      </c>
      <c r="R1510" s="16">
        <v>44329</v>
      </c>
      <c r="S1510" s="17" t="s">
        <v>70</v>
      </c>
      <c r="T1510" s="20">
        <f>HYPERLINK("https://vnm.spiral.com.vn//uploaded/20210513/CEC63ED4-C6F2-471D-A06B-471EC6A312D0.jpg","12:21:48")</f>
      </c>
      <c r="U1510" s="20">
        <f>HYPERLINK("https://vnm.spiral.com.vn//uploaded/20210513/184DC8CC-9CD0-4934-A3A4-1105F9DDD93D.jpg","12:58:14")</f>
      </c>
      <c r="V1510" s="18">
        <v>0.025300925925925925</v>
      </c>
      <c r="W1510" s="15" t="s">
        <v>9176</v>
      </c>
      <c r="X1510" s="15" t="s">
        <v>9177</v>
      </c>
      <c r="Y1510" s="15" t="s">
        <v>35</v>
      </c>
      <c r="Z1510" s="19">
        <v>0</v>
      </c>
      <c r="AA1510" s="15">
        <v>0</v>
      </c>
      <c r="AB1510" s="15" t="s">
        <v>35</v>
      </c>
    </row>
    <row r="1511">
      <c r="A1511" s="15">
        <v>1507</v>
      </c>
      <c r="B1511" s="15" t="s">
        <v>87</v>
      </c>
      <c r="C1511" s="15" t="s">
        <v>88</v>
      </c>
      <c r="D1511" s="15" t="s">
        <v>432</v>
      </c>
      <c r="E1511" s="15" t="s">
        <v>116</v>
      </c>
      <c r="F1511" s="15" t="s">
        <v>35</v>
      </c>
      <c r="G1511" s="15" t="s">
        <v>74</v>
      </c>
      <c r="H1511" s="15" t="s">
        <v>9178</v>
      </c>
      <c r="I1511" s="15" t="s">
        <v>9179</v>
      </c>
      <c r="J1511" s="15" t="s">
        <v>9180</v>
      </c>
      <c r="K1511" s="15" t="s">
        <v>625</v>
      </c>
      <c r="L1511" s="15" t="s">
        <v>626</v>
      </c>
      <c r="M1511" s="15" t="s">
        <v>1022</v>
      </c>
      <c r="N1511" s="15" t="s">
        <v>1023</v>
      </c>
      <c r="O1511" s="15" t="s">
        <v>82</v>
      </c>
      <c r="P1511" s="15" t="s">
        <v>2241</v>
      </c>
      <c r="Q1511" s="15" t="s">
        <v>2242</v>
      </c>
      <c r="R1511" s="16">
        <v>44329</v>
      </c>
      <c r="S1511" s="17" t="s">
        <v>70</v>
      </c>
      <c r="T1511" s="20">
        <f>HYPERLINK("https://vnm.spiral.com.vn//uploaded/20210513/67A8FBBF-EEAD-42C8-94F0-389E2541B23D.jpg","11:34:23")</f>
      </c>
      <c r="U1511" s="20">
        <f>HYPERLINK("https://vnm.spiral.com.vn//uploaded/20210513/A4A6D916-9C97-4A7F-9D1F-B89E9A885BBF.jpg","12:58:14")</f>
      </c>
      <c r="V1511" s="18">
        <v>0.058229166666666665</v>
      </c>
      <c r="W1511" s="15" t="s">
        <v>9181</v>
      </c>
      <c r="X1511" s="15" t="s">
        <v>9182</v>
      </c>
      <c r="Y1511" s="15" t="s">
        <v>35</v>
      </c>
      <c r="Z1511" s="19">
        <v>0</v>
      </c>
      <c r="AA1511" s="15">
        <v>0</v>
      </c>
      <c r="AB1511" s="15" t="s">
        <v>35</v>
      </c>
    </row>
    <row r="1512">
      <c r="A1512" s="15">
        <v>1508</v>
      </c>
      <c r="B1512" s="15" t="s">
        <v>87</v>
      </c>
      <c r="C1512" s="15" t="s">
        <v>88</v>
      </c>
      <c r="D1512" s="15" t="s">
        <v>135</v>
      </c>
      <c r="E1512" s="15" t="s">
        <v>116</v>
      </c>
      <c r="F1512" s="15" t="s">
        <v>35</v>
      </c>
      <c r="G1512" s="15" t="s">
        <v>74</v>
      </c>
      <c r="H1512" s="15" t="s">
        <v>9183</v>
      </c>
      <c r="I1512" s="15" t="s">
        <v>9184</v>
      </c>
      <c r="J1512" s="15" t="s">
        <v>9185</v>
      </c>
      <c r="K1512" s="15" t="s">
        <v>390</v>
      </c>
      <c r="L1512" s="15" t="s">
        <v>391</v>
      </c>
      <c r="M1512" s="15" t="s">
        <v>392</v>
      </c>
      <c r="N1512" s="15" t="s">
        <v>393</v>
      </c>
      <c r="O1512" s="15" t="s">
        <v>82</v>
      </c>
      <c r="P1512" s="15" t="s">
        <v>1980</v>
      </c>
      <c r="Q1512" s="15" t="s">
        <v>1981</v>
      </c>
      <c r="R1512" s="16">
        <v>44329</v>
      </c>
      <c r="S1512" s="17" t="s">
        <v>70</v>
      </c>
      <c r="T1512" s="20">
        <f>HYPERLINK("https://vnm.spiral.com.vn//uploaded/20210513/377cd416-c00e-4a26-b0b3-633a40d349a5.JPEG","11:57:50")</f>
      </c>
      <c r="U1512" s="20">
        <f>HYPERLINK("https://vnm.spiral.com.vn//uploaded/20210513/cab4777e-264f-4588-ba4d-d2f91e15e4f6.JPEG","12:58:06")</f>
      </c>
      <c r="V1512" s="18">
        <v>0.04185185185185185</v>
      </c>
      <c r="W1512" s="15" t="s">
        <v>9186</v>
      </c>
      <c r="X1512" s="15" t="s">
        <v>9187</v>
      </c>
      <c r="Y1512" s="15" t="s">
        <v>35</v>
      </c>
      <c r="Z1512" s="19">
        <v>0</v>
      </c>
      <c r="AA1512" s="15">
        <v>0</v>
      </c>
      <c r="AB1512" s="15" t="s">
        <v>35</v>
      </c>
    </row>
    <row r="1513">
      <c r="A1513" s="15">
        <v>1509</v>
      </c>
      <c r="B1513" s="15" t="s">
        <v>87</v>
      </c>
      <c r="C1513" s="15" t="s">
        <v>88</v>
      </c>
      <c r="D1513" s="15" t="s">
        <v>89</v>
      </c>
      <c r="E1513" s="15" t="s">
        <v>90</v>
      </c>
      <c r="F1513" s="15" t="s">
        <v>35</v>
      </c>
      <c r="G1513" s="15" t="s">
        <v>74</v>
      </c>
      <c r="H1513" s="15" t="s">
        <v>3702</v>
      </c>
      <c r="I1513" s="15" t="s">
        <v>3703</v>
      </c>
      <c r="J1513" s="15" t="s">
        <v>3704</v>
      </c>
      <c r="K1513" s="15" t="s">
        <v>1554</v>
      </c>
      <c r="L1513" s="15" t="s">
        <v>1555</v>
      </c>
      <c r="M1513" s="15" t="s">
        <v>2528</v>
      </c>
      <c r="N1513" s="15" t="s">
        <v>2529</v>
      </c>
      <c r="O1513" s="15" t="s">
        <v>156</v>
      </c>
      <c r="P1513" s="15" t="s">
        <v>9188</v>
      </c>
      <c r="Q1513" s="15" t="s">
        <v>9189</v>
      </c>
      <c r="R1513" s="16">
        <v>44329</v>
      </c>
      <c r="S1513" s="17" t="s">
        <v>1835</v>
      </c>
      <c r="T1513" s="20">
        <f>HYPERLINK("https://vnm.spiral.com.vn//uploaded/20210513/914c584f-fae3-4716-8f55-07c6822ac14b.JPEG","12:57:22")</f>
      </c>
      <c r="U1513" s="18"/>
      <c r="V1513" s="18" t="s">
        <v>35</v>
      </c>
      <c r="W1513" s="15" t="s">
        <v>9190</v>
      </c>
      <c r="X1513" s="15" t="s">
        <v>35</v>
      </c>
      <c r="Y1513" s="15" t="s">
        <v>35</v>
      </c>
      <c r="Z1513" s="19">
        <v>0</v>
      </c>
      <c r="AA1513" s="15">
        <v>0</v>
      </c>
      <c r="AB1513" s="15" t="s">
        <v>35</v>
      </c>
    </row>
    <row r="1514">
      <c r="A1514" s="15">
        <v>1510</v>
      </c>
      <c r="B1514" s="15" t="s">
        <v>87</v>
      </c>
      <c r="C1514" s="15" t="s">
        <v>88</v>
      </c>
      <c r="D1514" s="15" t="s">
        <v>115</v>
      </c>
      <c r="E1514" s="15" t="s">
        <v>116</v>
      </c>
      <c r="F1514" s="15" t="s">
        <v>35</v>
      </c>
      <c r="G1514" s="15" t="s">
        <v>74</v>
      </c>
      <c r="H1514" s="15" t="s">
        <v>9191</v>
      </c>
      <c r="I1514" s="15" t="s">
        <v>9192</v>
      </c>
      <c r="J1514" s="15" t="s">
        <v>9193</v>
      </c>
      <c r="K1514" s="15" t="s">
        <v>120</v>
      </c>
      <c r="L1514" s="15" t="s">
        <v>121</v>
      </c>
      <c r="M1514" s="15" t="s">
        <v>122</v>
      </c>
      <c r="N1514" s="15" t="s">
        <v>123</v>
      </c>
      <c r="O1514" s="15" t="s">
        <v>82</v>
      </c>
      <c r="P1514" s="15" t="s">
        <v>124</v>
      </c>
      <c r="Q1514" s="15" t="s">
        <v>125</v>
      </c>
      <c r="R1514" s="16">
        <v>44329</v>
      </c>
      <c r="S1514" s="17" t="s">
        <v>70</v>
      </c>
      <c r="T1514" s="20">
        <f>HYPERLINK("https://vnm.spiral.com.vn//uploaded/20210513/e0f91832-d639-4b83-b74d-4ca33ee62947.JPEG","11:06:15")</f>
      </c>
      <c r="U1514" s="20">
        <f>HYPERLINK("https://vnm.spiral.com.vn//uploaded/20210513/484dd9fc-9ea4-4298-8039-c8abc6faaaeb.JPEG","12:57:12")</f>
      </c>
      <c r="V1514" s="18">
        <v>0.07704861111111111</v>
      </c>
      <c r="W1514" s="15" t="s">
        <v>9194</v>
      </c>
      <c r="X1514" s="15" t="s">
        <v>9195</v>
      </c>
      <c r="Y1514" s="15" t="s">
        <v>35</v>
      </c>
      <c r="Z1514" s="19">
        <v>0</v>
      </c>
      <c r="AA1514" s="15">
        <v>0</v>
      </c>
      <c r="AB1514" s="15" t="s">
        <v>35</v>
      </c>
    </row>
    <row r="1515">
      <c r="A1515" s="15">
        <v>1511</v>
      </c>
      <c r="B1515" s="15" t="s">
        <v>246</v>
      </c>
      <c r="C1515" s="15" t="s">
        <v>259</v>
      </c>
      <c r="D1515" s="15" t="s">
        <v>148</v>
      </c>
      <c r="E1515" s="15" t="s">
        <v>90</v>
      </c>
      <c r="F1515" s="15" t="s">
        <v>35</v>
      </c>
      <c r="G1515" s="15" t="s">
        <v>74</v>
      </c>
      <c r="H1515" s="15" t="s">
        <v>1507</v>
      </c>
      <c r="I1515" s="15" t="s">
        <v>1508</v>
      </c>
      <c r="J1515" s="15" t="s">
        <v>1509</v>
      </c>
      <c r="K1515" s="15" t="s">
        <v>166</v>
      </c>
      <c r="L1515" s="15" t="s">
        <v>167</v>
      </c>
      <c r="M1515" s="15" t="s">
        <v>263</v>
      </c>
      <c r="N1515" s="15" t="s">
        <v>264</v>
      </c>
      <c r="O1515" s="15" t="s">
        <v>98</v>
      </c>
      <c r="P1515" s="15" t="s">
        <v>1510</v>
      </c>
      <c r="Q1515" s="15" t="s">
        <v>1511</v>
      </c>
      <c r="R1515" s="16">
        <v>44329</v>
      </c>
      <c r="S1515" s="17" t="s">
        <v>35</v>
      </c>
      <c r="T1515" s="20">
        <f>HYPERLINK("https://vnm.spiral.com.vn//uploaded/20210513/F836CED1-D89D-4A80-BCF5-776D8839B1E3.jpg","12:57:11")</f>
      </c>
      <c r="U1515" s="18"/>
      <c r="V1515" s="18" t="s">
        <v>35</v>
      </c>
      <c r="W1515" s="15" t="s">
        <v>9196</v>
      </c>
      <c r="X1515" s="15" t="s">
        <v>35</v>
      </c>
      <c r="Y1515" s="15" t="s">
        <v>35</v>
      </c>
      <c r="Z1515" s="19">
        <v>0</v>
      </c>
      <c r="AA1515" s="15">
        <v>0</v>
      </c>
      <c r="AB1515" s="15" t="s">
        <v>35</v>
      </c>
    </row>
    <row r="1516">
      <c r="A1516" s="15">
        <v>1512</v>
      </c>
      <c r="B1516" s="15" t="s">
        <v>87</v>
      </c>
      <c r="C1516" s="15" t="s">
        <v>88</v>
      </c>
      <c r="D1516" s="15" t="s">
        <v>35</v>
      </c>
      <c r="E1516" s="15" t="s">
        <v>35</v>
      </c>
      <c r="F1516" s="15" t="s">
        <v>2773</v>
      </c>
      <c r="G1516" s="15" t="s">
        <v>36</v>
      </c>
      <c r="H1516" s="15" t="s">
        <v>4974</v>
      </c>
      <c r="I1516" s="15" t="s">
        <v>4975</v>
      </c>
      <c r="J1516" s="15" t="s">
        <v>4976</v>
      </c>
      <c r="K1516" s="15" t="s">
        <v>40</v>
      </c>
      <c r="L1516" s="15" t="s">
        <v>41</v>
      </c>
      <c r="M1516" s="15" t="s">
        <v>810</v>
      </c>
      <c r="N1516" s="15" t="s">
        <v>811</v>
      </c>
      <c r="O1516" s="15" t="s">
        <v>44</v>
      </c>
      <c r="P1516" s="15" t="s">
        <v>4977</v>
      </c>
      <c r="Q1516" s="15" t="s">
        <v>4978</v>
      </c>
      <c r="R1516" s="16">
        <v>44329</v>
      </c>
      <c r="S1516" s="17" t="s">
        <v>9084</v>
      </c>
      <c r="T1516" s="20">
        <f>HYPERLINK("https://vnm.spiral.com.vn//uploaded/20210513/53678d27-0fd3-462f-8178-519fea4035af.JPEG","08:18:05")</f>
      </c>
      <c r="U1516" s="20">
        <f>HYPERLINK("https://vnm.spiral.com.vn//uploaded/20210513/f394b827-0da7-458a-9fc0-20ade5cbca4b.JPEG","12:56:56")</f>
      </c>
      <c r="V1516" s="18">
        <v>0.19364583333333332</v>
      </c>
      <c r="W1516" s="15" t="s">
        <v>9197</v>
      </c>
      <c r="X1516" s="15" t="s">
        <v>9198</v>
      </c>
      <c r="Y1516" s="15" t="s">
        <v>35</v>
      </c>
      <c r="Z1516" s="19">
        <v>0</v>
      </c>
      <c r="AA1516" s="15">
        <v>0</v>
      </c>
      <c r="AB1516" s="15" t="s">
        <v>35</v>
      </c>
    </row>
    <row r="1517">
      <c r="A1517" s="15">
        <v>1513</v>
      </c>
      <c r="B1517" s="15" t="s">
        <v>343</v>
      </c>
      <c r="C1517" s="15" t="s">
        <v>9199</v>
      </c>
      <c r="D1517" s="15" t="s">
        <v>357</v>
      </c>
      <c r="E1517" s="15" t="s">
        <v>90</v>
      </c>
      <c r="F1517" s="15" t="s">
        <v>35</v>
      </c>
      <c r="G1517" s="15" t="s">
        <v>74</v>
      </c>
      <c r="H1517" s="15" t="s">
        <v>9200</v>
      </c>
      <c r="I1517" s="15" t="s">
        <v>9201</v>
      </c>
      <c r="J1517" s="15" t="s">
        <v>9202</v>
      </c>
      <c r="K1517" s="15" t="s">
        <v>512</v>
      </c>
      <c r="L1517" s="15" t="s">
        <v>513</v>
      </c>
      <c r="M1517" s="15" t="s">
        <v>1154</v>
      </c>
      <c r="N1517" s="15" t="s">
        <v>1155</v>
      </c>
      <c r="O1517" s="15" t="s">
        <v>82</v>
      </c>
      <c r="P1517" s="15" t="s">
        <v>9203</v>
      </c>
      <c r="Q1517" s="15" t="s">
        <v>9204</v>
      </c>
      <c r="R1517" s="16">
        <v>44329</v>
      </c>
      <c r="S1517" s="17" t="s">
        <v>70</v>
      </c>
      <c r="T1517" s="20">
        <f>HYPERLINK("https://vnm.spiral.com.vn//uploaded/20210513/a7c38d5c-a211-436a-ae65-436ae026bcca.JPEG","12:56:51")</f>
      </c>
      <c r="U1517" s="18"/>
      <c r="V1517" s="18" t="s">
        <v>35</v>
      </c>
      <c r="W1517" s="15" t="s">
        <v>9205</v>
      </c>
      <c r="X1517" s="15" t="s">
        <v>35</v>
      </c>
      <c r="Y1517" s="15" t="s">
        <v>35</v>
      </c>
      <c r="Z1517" s="19">
        <v>0</v>
      </c>
      <c r="AA1517" s="15">
        <v>0</v>
      </c>
      <c r="AB1517" s="15" t="s">
        <v>35</v>
      </c>
    </row>
    <row r="1518">
      <c r="A1518" s="15">
        <v>1514</v>
      </c>
      <c r="B1518" s="15" t="s">
        <v>87</v>
      </c>
      <c r="C1518" s="15" t="s">
        <v>88</v>
      </c>
      <c r="D1518" s="15" t="s">
        <v>89</v>
      </c>
      <c r="E1518" s="15" t="s">
        <v>90</v>
      </c>
      <c r="F1518" s="15" t="s">
        <v>35</v>
      </c>
      <c r="G1518" s="15" t="s">
        <v>74</v>
      </c>
      <c r="H1518" s="15" t="s">
        <v>3132</v>
      </c>
      <c r="I1518" s="15" t="s">
        <v>3133</v>
      </c>
      <c r="J1518" s="15" t="s">
        <v>3134</v>
      </c>
      <c r="K1518" s="15" t="s">
        <v>96</v>
      </c>
      <c r="L1518" s="15" t="s">
        <v>97</v>
      </c>
      <c r="M1518" s="15" t="s">
        <v>1831</v>
      </c>
      <c r="N1518" s="15" t="s">
        <v>1832</v>
      </c>
      <c r="O1518" s="15" t="s">
        <v>156</v>
      </c>
      <c r="P1518" s="15" t="s">
        <v>9206</v>
      </c>
      <c r="Q1518" s="15" t="s">
        <v>9207</v>
      </c>
      <c r="R1518" s="16">
        <v>44329</v>
      </c>
      <c r="S1518" s="17" t="s">
        <v>1835</v>
      </c>
      <c r="T1518" s="20">
        <f>HYPERLINK("https://vnm.spiral.com.vn//uploaded/20210513/087891DC-B994-4451-AC59-6132297543E9.jpg","12:56:23")</f>
      </c>
      <c r="U1518" s="18"/>
      <c r="V1518" s="18" t="s">
        <v>35</v>
      </c>
      <c r="W1518" s="15" t="s">
        <v>9208</v>
      </c>
      <c r="X1518" s="15" t="s">
        <v>35</v>
      </c>
      <c r="Y1518" s="15" t="s">
        <v>35</v>
      </c>
      <c r="Z1518" s="19">
        <v>0</v>
      </c>
      <c r="AA1518" s="15">
        <v>0</v>
      </c>
      <c r="AB1518" s="15" t="s">
        <v>35</v>
      </c>
    </row>
    <row r="1519">
      <c r="A1519" s="15">
        <v>1515</v>
      </c>
      <c r="B1519" s="15" t="s">
        <v>87</v>
      </c>
      <c r="C1519" s="15" t="s">
        <v>88</v>
      </c>
      <c r="D1519" s="15" t="s">
        <v>148</v>
      </c>
      <c r="E1519" s="15" t="s">
        <v>90</v>
      </c>
      <c r="F1519" s="15" t="s">
        <v>35</v>
      </c>
      <c r="G1519" s="15" t="s">
        <v>74</v>
      </c>
      <c r="H1519" s="15" t="s">
        <v>3709</v>
      </c>
      <c r="I1519" s="15" t="s">
        <v>3710</v>
      </c>
      <c r="J1519" s="15" t="s">
        <v>3711</v>
      </c>
      <c r="K1519" s="15" t="s">
        <v>1204</v>
      </c>
      <c r="L1519" s="15" t="s">
        <v>1205</v>
      </c>
      <c r="M1519" s="15" t="s">
        <v>1206</v>
      </c>
      <c r="N1519" s="15" t="s">
        <v>1207</v>
      </c>
      <c r="O1519" s="15" t="s">
        <v>156</v>
      </c>
      <c r="P1519" s="15" t="s">
        <v>9209</v>
      </c>
      <c r="Q1519" s="15" t="s">
        <v>9210</v>
      </c>
      <c r="R1519" s="16">
        <v>44329</v>
      </c>
      <c r="S1519" s="17" t="s">
        <v>4131</v>
      </c>
      <c r="T1519" s="20">
        <f>HYPERLINK("https://vnm.spiral.com.vn//uploaded/20210513/F10312BE-5D71-406E-B1C8-DD12607FEA68.jpg","12:56:22")</f>
      </c>
      <c r="U1519" s="18"/>
      <c r="V1519" s="18" t="s">
        <v>35</v>
      </c>
      <c r="W1519" s="15" t="s">
        <v>9211</v>
      </c>
      <c r="X1519" s="15" t="s">
        <v>35</v>
      </c>
      <c r="Y1519" s="15" t="s">
        <v>35</v>
      </c>
      <c r="Z1519" s="19">
        <v>0</v>
      </c>
      <c r="AA1519" s="15">
        <v>0</v>
      </c>
      <c r="AB1519" s="15" t="s">
        <v>35</v>
      </c>
    </row>
    <row r="1520">
      <c r="A1520" s="15">
        <v>1516</v>
      </c>
      <c r="B1520" s="15" t="s">
        <v>87</v>
      </c>
      <c r="C1520" s="15" t="s">
        <v>88</v>
      </c>
      <c r="D1520" s="15" t="s">
        <v>148</v>
      </c>
      <c r="E1520" s="15" t="s">
        <v>90</v>
      </c>
      <c r="F1520" s="15" t="s">
        <v>35</v>
      </c>
      <c r="G1520" s="15" t="s">
        <v>74</v>
      </c>
      <c r="H1520" s="15" t="s">
        <v>3771</v>
      </c>
      <c r="I1520" s="15" t="s">
        <v>3772</v>
      </c>
      <c r="J1520" s="15" t="s">
        <v>3773</v>
      </c>
      <c r="K1520" s="15" t="s">
        <v>1204</v>
      </c>
      <c r="L1520" s="15" t="s">
        <v>1205</v>
      </c>
      <c r="M1520" s="15" t="s">
        <v>3774</v>
      </c>
      <c r="N1520" s="15" t="s">
        <v>3775</v>
      </c>
      <c r="O1520" s="15" t="s">
        <v>156</v>
      </c>
      <c r="P1520" s="15" t="s">
        <v>9212</v>
      </c>
      <c r="Q1520" s="15" t="s">
        <v>9213</v>
      </c>
      <c r="R1520" s="16">
        <v>44329</v>
      </c>
      <c r="S1520" s="17" t="s">
        <v>4131</v>
      </c>
      <c r="T1520" s="20">
        <f>HYPERLINK("https://vnm.spiral.com.vn//uploaded/20210513/bb1a60c4-b130-4b06-ae40-43f959ec78c0.JPEG","12:55:49")</f>
      </c>
      <c r="U1520" s="18"/>
      <c r="V1520" s="18" t="s">
        <v>35</v>
      </c>
      <c r="W1520" s="15" t="s">
        <v>9214</v>
      </c>
      <c r="X1520" s="15" t="s">
        <v>35</v>
      </c>
      <c r="Y1520" s="15" t="s">
        <v>35</v>
      </c>
      <c r="Z1520" s="19">
        <v>0</v>
      </c>
      <c r="AA1520" s="15">
        <v>0</v>
      </c>
      <c r="AB1520" s="15" t="s">
        <v>35</v>
      </c>
    </row>
    <row r="1521">
      <c r="A1521" s="15">
        <v>1517</v>
      </c>
      <c r="B1521" s="15" t="s">
        <v>87</v>
      </c>
      <c r="C1521" s="15" t="s">
        <v>88</v>
      </c>
      <c r="D1521" s="15" t="s">
        <v>35</v>
      </c>
      <c r="E1521" s="15" t="s">
        <v>35</v>
      </c>
      <c r="F1521" s="15" t="s">
        <v>2077</v>
      </c>
      <c r="G1521" s="15" t="s">
        <v>36</v>
      </c>
      <c r="H1521" s="15" t="s">
        <v>9215</v>
      </c>
      <c r="I1521" s="15" t="s">
        <v>9216</v>
      </c>
      <c r="J1521" s="15" t="s">
        <v>9217</v>
      </c>
      <c r="K1521" s="15" t="s">
        <v>40</v>
      </c>
      <c r="L1521" s="15" t="s">
        <v>41</v>
      </c>
      <c r="M1521" s="15" t="s">
        <v>289</v>
      </c>
      <c r="N1521" s="15" t="s">
        <v>290</v>
      </c>
      <c r="O1521" s="15" t="s">
        <v>44</v>
      </c>
      <c r="P1521" s="15" t="s">
        <v>9218</v>
      </c>
      <c r="Q1521" s="15" t="s">
        <v>9219</v>
      </c>
      <c r="R1521" s="16">
        <v>44329</v>
      </c>
      <c r="S1521" s="17" t="s">
        <v>1835</v>
      </c>
      <c r="T1521" s="20">
        <f>HYPERLINK("https://vnm.spiral.com.vn//uploaded/20210513/B0169083-4C21-4DBC-B1DF-C113F8393F38.jpg","12:55:34")</f>
      </c>
      <c r="U1521" s="18"/>
      <c r="V1521" s="18" t="s">
        <v>35</v>
      </c>
      <c r="W1521" s="15" t="s">
        <v>9220</v>
      </c>
      <c r="X1521" s="15" t="s">
        <v>35</v>
      </c>
      <c r="Y1521" s="15" t="s">
        <v>35</v>
      </c>
      <c r="Z1521" s="19">
        <v>0</v>
      </c>
      <c r="AA1521" s="15">
        <v>0</v>
      </c>
      <c r="AB1521" s="15" t="s">
        <v>35</v>
      </c>
    </row>
    <row r="1522">
      <c r="A1522" s="15">
        <v>1518</v>
      </c>
      <c r="B1522" s="15" t="s">
        <v>87</v>
      </c>
      <c r="C1522" s="15" t="s">
        <v>88</v>
      </c>
      <c r="D1522" s="15" t="s">
        <v>89</v>
      </c>
      <c r="E1522" s="15" t="s">
        <v>90</v>
      </c>
      <c r="F1522" s="15" t="s">
        <v>35</v>
      </c>
      <c r="G1522" s="15" t="s">
        <v>74</v>
      </c>
      <c r="H1522" s="15" t="s">
        <v>3278</v>
      </c>
      <c r="I1522" s="15" t="s">
        <v>3279</v>
      </c>
      <c r="J1522" s="15" t="s">
        <v>3280</v>
      </c>
      <c r="K1522" s="15" t="s">
        <v>96</v>
      </c>
      <c r="L1522" s="15" t="s">
        <v>97</v>
      </c>
      <c r="M1522" s="15" t="s">
        <v>2333</v>
      </c>
      <c r="N1522" s="15" t="s">
        <v>2334</v>
      </c>
      <c r="O1522" s="15" t="s">
        <v>156</v>
      </c>
      <c r="P1522" s="15" t="s">
        <v>9221</v>
      </c>
      <c r="Q1522" s="15" t="s">
        <v>9222</v>
      </c>
      <c r="R1522" s="16">
        <v>44329</v>
      </c>
      <c r="S1522" s="17" t="s">
        <v>1835</v>
      </c>
      <c r="T1522" s="20">
        <f>HYPERLINK("https://vnm.spiral.com.vn//uploaded/20210513/802d27dc-f1e9-48ea-b613-75e5f837ff8c.JPEG","12:55:26")</f>
      </c>
      <c r="U1522" s="18"/>
      <c r="V1522" s="18" t="s">
        <v>35</v>
      </c>
      <c r="W1522" s="15" t="s">
        <v>9223</v>
      </c>
      <c r="X1522" s="15" t="s">
        <v>35</v>
      </c>
      <c r="Y1522" s="15" t="s">
        <v>35</v>
      </c>
      <c r="Z1522" s="19">
        <v>0</v>
      </c>
      <c r="AA1522" s="15">
        <v>0</v>
      </c>
      <c r="AB1522" s="15" t="s">
        <v>35</v>
      </c>
    </row>
    <row r="1523">
      <c r="A1523" s="15">
        <v>1519</v>
      </c>
      <c r="B1523" s="15" t="s">
        <v>343</v>
      </c>
      <c r="C1523" s="15" t="s">
        <v>344</v>
      </c>
      <c r="D1523" s="15" t="s">
        <v>432</v>
      </c>
      <c r="E1523" s="15" t="s">
        <v>116</v>
      </c>
      <c r="F1523" s="15" t="s">
        <v>35</v>
      </c>
      <c r="G1523" s="15" t="s">
        <v>74</v>
      </c>
      <c r="H1523" s="15" t="s">
        <v>9224</v>
      </c>
      <c r="I1523" s="15" t="s">
        <v>9225</v>
      </c>
      <c r="J1523" s="15" t="s">
        <v>9226</v>
      </c>
      <c r="K1523" s="15" t="s">
        <v>1168</v>
      </c>
      <c r="L1523" s="15" t="s">
        <v>1169</v>
      </c>
      <c r="M1523" s="15" t="s">
        <v>1170</v>
      </c>
      <c r="N1523" s="15" t="s">
        <v>1171</v>
      </c>
      <c r="O1523" s="15" t="s">
        <v>82</v>
      </c>
      <c r="P1523" s="15" t="s">
        <v>1172</v>
      </c>
      <c r="Q1523" s="15" t="s">
        <v>1173</v>
      </c>
      <c r="R1523" s="16">
        <v>44329</v>
      </c>
      <c r="S1523" s="17" t="s">
        <v>70</v>
      </c>
      <c r="T1523" s="20">
        <f>HYPERLINK("https://vnm.spiral.com.vn//uploaded/20210513/9b29b3f7-3deb-4700-8cb7-43f83d5d9b85.JPEG","11:26:31")</f>
      </c>
      <c r="U1523" s="20">
        <f>HYPERLINK("https://vnm.spiral.com.vn//uploaded/20210513/d45c1e72-771c-4f60-9427-7a40bb47e31a.JPEG","12:55:25")</f>
      </c>
      <c r="V1523" s="18">
        <v>0.06173611111111111</v>
      </c>
      <c r="W1523" s="15" t="s">
        <v>9227</v>
      </c>
      <c r="X1523" s="15" t="s">
        <v>9228</v>
      </c>
      <c r="Y1523" s="15" t="s">
        <v>35</v>
      </c>
      <c r="Z1523" s="19">
        <v>0</v>
      </c>
      <c r="AA1523" s="15">
        <v>0</v>
      </c>
      <c r="AB1523" s="15" t="s">
        <v>35</v>
      </c>
    </row>
    <row r="1524">
      <c r="A1524" s="15">
        <v>1520</v>
      </c>
      <c r="B1524" s="15" t="s">
        <v>87</v>
      </c>
      <c r="C1524" s="15" t="s">
        <v>88</v>
      </c>
      <c r="D1524" s="15" t="s">
        <v>89</v>
      </c>
      <c r="E1524" s="15" t="s">
        <v>90</v>
      </c>
      <c r="F1524" s="15" t="s">
        <v>35</v>
      </c>
      <c r="G1524" s="15" t="s">
        <v>74</v>
      </c>
      <c r="H1524" s="15" t="s">
        <v>9229</v>
      </c>
      <c r="I1524" s="15" t="s">
        <v>9230</v>
      </c>
      <c r="J1524" s="15" t="s">
        <v>9231</v>
      </c>
      <c r="K1524" s="15" t="s">
        <v>1554</v>
      </c>
      <c r="L1524" s="15" t="s">
        <v>1555</v>
      </c>
      <c r="M1524" s="15" t="s">
        <v>2528</v>
      </c>
      <c r="N1524" s="15" t="s">
        <v>2529</v>
      </c>
      <c r="O1524" s="15" t="s">
        <v>156</v>
      </c>
      <c r="P1524" s="15" t="s">
        <v>9232</v>
      </c>
      <c r="Q1524" s="15" t="s">
        <v>9233</v>
      </c>
      <c r="R1524" s="16">
        <v>44329</v>
      </c>
      <c r="S1524" s="17" t="s">
        <v>1835</v>
      </c>
      <c r="T1524" s="20">
        <f>HYPERLINK("https://vnm.spiral.com.vn//uploaded/20210513/CE360491-5FC5-43D3-A87F-79DAE84E80C7.jpg","12:55:24")</f>
      </c>
      <c r="U1524" s="18"/>
      <c r="V1524" s="18" t="s">
        <v>35</v>
      </c>
      <c r="W1524" s="15" t="s">
        <v>9234</v>
      </c>
      <c r="X1524" s="15" t="s">
        <v>35</v>
      </c>
      <c r="Y1524" s="15" t="s">
        <v>35</v>
      </c>
      <c r="Z1524" s="19">
        <v>0</v>
      </c>
      <c r="AA1524" s="15">
        <v>0</v>
      </c>
      <c r="AB1524" s="15" t="s">
        <v>35</v>
      </c>
    </row>
    <row r="1525">
      <c r="A1525" s="15">
        <v>1521</v>
      </c>
      <c r="B1525" s="15" t="s">
        <v>343</v>
      </c>
      <c r="C1525" s="15" t="s">
        <v>344</v>
      </c>
      <c r="D1525" s="15" t="s">
        <v>35</v>
      </c>
      <c r="E1525" s="15" t="s">
        <v>35</v>
      </c>
      <c r="F1525" s="15" t="s">
        <v>35</v>
      </c>
      <c r="G1525" s="15" t="s">
        <v>74</v>
      </c>
      <c r="H1525" s="15" t="s">
        <v>9235</v>
      </c>
      <c r="I1525" s="15" t="s">
        <v>9236</v>
      </c>
      <c r="J1525" s="15" t="s">
        <v>9237</v>
      </c>
      <c r="K1525" s="15" t="s">
        <v>897</v>
      </c>
      <c r="L1525" s="15" t="s">
        <v>898</v>
      </c>
      <c r="M1525" s="15" t="s">
        <v>899</v>
      </c>
      <c r="N1525" s="15" t="s">
        <v>900</v>
      </c>
      <c r="O1525" s="15" t="s">
        <v>156</v>
      </c>
      <c r="P1525" s="15" t="s">
        <v>9238</v>
      </c>
      <c r="Q1525" s="15" t="s">
        <v>9239</v>
      </c>
      <c r="R1525" s="16">
        <v>44329</v>
      </c>
      <c r="S1525" s="17" t="s">
        <v>8687</v>
      </c>
      <c r="T1525" s="20">
        <f>HYPERLINK("https://vnm.spiral.com.vn//uploaded/20210513/E582DC4D-1FA0-41C7-9B6A-3B9823748588.jpg","12:55:18")</f>
      </c>
      <c r="U1525" s="18"/>
      <c r="V1525" s="18" t="s">
        <v>35</v>
      </c>
      <c r="W1525" s="15" t="s">
        <v>9240</v>
      </c>
      <c r="X1525" s="15" t="s">
        <v>35</v>
      </c>
      <c r="Y1525" s="15" t="s">
        <v>35</v>
      </c>
      <c r="Z1525" s="19">
        <v>0</v>
      </c>
      <c r="AA1525" s="15">
        <v>0</v>
      </c>
      <c r="AB1525" s="15" t="s">
        <v>35</v>
      </c>
    </row>
    <row r="1526">
      <c r="A1526" s="15">
        <v>1522</v>
      </c>
      <c r="B1526" s="15" t="s">
        <v>61</v>
      </c>
      <c r="C1526" s="15" t="s">
        <v>303</v>
      </c>
      <c r="D1526" s="15" t="s">
        <v>35</v>
      </c>
      <c r="E1526" s="15" t="s">
        <v>35</v>
      </c>
      <c r="F1526" s="15" t="s">
        <v>35</v>
      </c>
      <c r="G1526" s="15" t="s">
        <v>36</v>
      </c>
      <c r="H1526" s="15" t="s">
        <v>9241</v>
      </c>
      <c r="I1526" s="15" t="s">
        <v>3627</v>
      </c>
      <c r="J1526" s="15" t="s">
        <v>9242</v>
      </c>
      <c r="K1526" s="15" t="s">
        <v>40</v>
      </c>
      <c r="L1526" s="15" t="s">
        <v>41</v>
      </c>
      <c r="M1526" s="15" t="s">
        <v>205</v>
      </c>
      <c r="N1526" s="15" t="s">
        <v>206</v>
      </c>
      <c r="O1526" s="15" t="s">
        <v>44</v>
      </c>
      <c r="P1526" s="15" t="s">
        <v>9243</v>
      </c>
      <c r="Q1526" s="15" t="s">
        <v>9244</v>
      </c>
      <c r="R1526" s="16">
        <v>44329</v>
      </c>
      <c r="S1526" s="17" t="s">
        <v>35</v>
      </c>
      <c r="T1526" s="20">
        <f>HYPERLINK("https://vnm.spiral.com.vn//uploaded/20210513/925d8f84-335c-47a7-a547-cf2c36dfcbff.JPEG","12:55:04")</f>
      </c>
      <c r="U1526" s="18"/>
      <c r="V1526" s="18" t="s">
        <v>35</v>
      </c>
      <c r="W1526" s="15" t="s">
        <v>9245</v>
      </c>
      <c r="X1526" s="15" t="s">
        <v>35</v>
      </c>
      <c r="Y1526" s="15" t="s">
        <v>35</v>
      </c>
      <c r="Z1526" s="19">
        <v>0</v>
      </c>
      <c r="AA1526" s="15">
        <v>0</v>
      </c>
      <c r="AB1526" s="15" t="s">
        <v>35</v>
      </c>
    </row>
    <row r="1527">
      <c r="A1527" s="15">
        <v>1523</v>
      </c>
      <c r="B1527" s="15" t="s">
        <v>61</v>
      </c>
      <c r="C1527" s="15" t="s">
        <v>398</v>
      </c>
      <c r="D1527" s="15" t="s">
        <v>135</v>
      </c>
      <c r="E1527" s="15" t="s">
        <v>116</v>
      </c>
      <c r="F1527" s="15" t="s">
        <v>35</v>
      </c>
      <c r="G1527" s="15" t="s">
        <v>74</v>
      </c>
      <c r="H1527" s="15" t="s">
        <v>9246</v>
      </c>
      <c r="I1527" s="15" t="s">
        <v>9247</v>
      </c>
      <c r="J1527" s="15" t="s">
        <v>9248</v>
      </c>
      <c r="K1527" s="15" t="s">
        <v>1586</v>
      </c>
      <c r="L1527" s="15" t="s">
        <v>1587</v>
      </c>
      <c r="M1527" s="15" t="s">
        <v>1588</v>
      </c>
      <c r="N1527" s="15" t="s">
        <v>1589</v>
      </c>
      <c r="O1527" s="15" t="s">
        <v>82</v>
      </c>
      <c r="P1527" s="15" t="s">
        <v>9249</v>
      </c>
      <c r="Q1527" s="15" t="s">
        <v>9250</v>
      </c>
      <c r="R1527" s="16">
        <v>44329</v>
      </c>
      <c r="S1527" s="17" t="s">
        <v>70</v>
      </c>
      <c r="T1527" s="20">
        <f>HYPERLINK("https://vnm.spiral.com.vn//uploaded/20210513/3aba0497-74f8-44e0-a5c5-99016925a929.JPEG","12:17:13")</f>
      </c>
      <c r="U1527" s="20">
        <f>HYPERLINK("https://vnm.spiral.com.vn//uploaded/20210513/da34d096-e035-4917-8fd0-4a38e079cc38.JPEG","12:54:34")</f>
      </c>
      <c r="V1527" s="18">
        <v>0.0259375</v>
      </c>
      <c r="W1527" s="15" t="s">
        <v>9251</v>
      </c>
      <c r="X1527" s="15" t="s">
        <v>9252</v>
      </c>
      <c r="Y1527" s="15" t="s">
        <v>35</v>
      </c>
      <c r="Z1527" s="19">
        <v>0</v>
      </c>
      <c r="AA1527" s="15">
        <v>0</v>
      </c>
      <c r="AB1527" s="15" t="s">
        <v>35</v>
      </c>
    </row>
    <row r="1528">
      <c r="A1528" s="15">
        <v>1524</v>
      </c>
      <c r="B1528" s="15" t="s">
        <v>87</v>
      </c>
      <c r="C1528" s="15" t="s">
        <v>88</v>
      </c>
      <c r="D1528" s="15" t="s">
        <v>89</v>
      </c>
      <c r="E1528" s="15" t="s">
        <v>90</v>
      </c>
      <c r="F1528" s="15" t="s">
        <v>35</v>
      </c>
      <c r="G1528" s="15" t="s">
        <v>74</v>
      </c>
      <c r="H1528" s="15" t="s">
        <v>1210</v>
      </c>
      <c r="I1528" s="15" t="s">
        <v>1211</v>
      </c>
      <c r="J1528" s="15" t="s">
        <v>1212</v>
      </c>
      <c r="K1528" s="15" t="s">
        <v>96</v>
      </c>
      <c r="L1528" s="15" t="s">
        <v>97</v>
      </c>
      <c r="M1528" s="15" t="s">
        <v>802</v>
      </c>
      <c r="N1528" s="15" t="s">
        <v>803</v>
      </c>
      <c r="O1528" s="15" t="s">
        <v>156</v>
      </c>
      <c r="P1528" s="15" t="s">
        <v>9253</v>
      </c>
      <c r="Q1528" s="15" t="s">
        <v>9254</v>
      </c>
      <c r="R1528" s="16">
        <v>44329</v>
      </c>
      <c r="S1528" s="17" t="s">
        <v>1835</v>
      </c>
      <c r="T1528" s="20">
        <f>HYPERLINK("https://vnm.spiral.com.vn//uploaded/20210513/A8609D6E-3AD8-401A-A53B-3CC08E1F6DE7.jpg","12:54:32")</f>
      </c>
      <c r="U1528" s="18"/>
      <c r="V1528" s="18" t="s">
        <v>35</v>
      </c>
      <c r="W1528" s="15" t="s">
        <v>9255</v>
      </c>
      <c r="X1528" s="15" t="s">
        <v>35</v>
      </c>
      <c r="Y1528" s="15" t="s">
        <v>35</v>
      </c>
      <c r="Z1528" s="19">
        <v>0</v>
      </c>
      <c r="AA1528" s="15">
        <v>0</v>
      </c>
      <c r="AB1528" s="15" t="s">
        <v>35</v>
      </c>
    </row>
    <row r="1529">
      <c r="A1529" s="15">
        <v>1525</v>
      </c>
      <c r="B1529" s="15" t="s">
        <v>87</v>
      </c>
      <c r="C1529" s="15" t="s">
        <v>88</v>
      </c>
      <c r="D1529" s="15" t="s">
        <v>379</v>
      </c>
      <c r="E1529" s="15" t="s">
        <v>35</v>
      </c>
      <c r="F1529" s="15" t="s">
        <v>35</v>
      </c>
      <c r="G1529" s="15" t="s">
        <v>35</v>
      </c>
      <c r="H1529" s="15" t="s">
        <v>2399</v>
      </c>
      <c r="I1529" s="15" t="s">
        <v>2400</v>
      </c>
      <c r="J1529" s="15" t="s">
        <v>2401</v>
      </c>
      <c r="K1529" s="15" t="s">
        <v>748</v>
      </c>
      <c r="L1529" s="15" t="s">
        <v>749</v>
      </c>
      <c r="M1529" s="15" t="s">
        <v>2257</v>
      </c>
      <c r="N1529" s="15" t="s">
        <v>2258</v>
      </c>
      <c r="O1529" s="15" t="s">
        <v>156</v>
      </c>
      <c r="P1529" s="15" t="s">
        <v>9256</v>
      </c>
      <c r="Q1529" s="15" t="s">
        <v>9257</v>
      </c>
      <c r="R1529" s="16">
        <v>44329</v>
      </c>
      <c r="S1529" s="17" t="s">
        <v>4131</v>
      </c>
      <c r="T1529" s="20">
        <f>HYPERLINK("https://vnm.spiral.com.vn//uploaded/20210513/c31ae08d-057d-47bc-a1c5-29e24a1bb1f6.JPEG","12:54:17")</f>
      </c>
      <c r="U1529" s="18"/>
      <c r="V1529" s="18" t="s">
        <v>35</v>
      </c>
      <c r="W1529" s="15" t="s">
        <v>9258</v>
      </c>
      <c r="X1529" s="15" t="s">
        <v>35</v>
      </c>
      <c r="Y1529" s="15" t="s">
        <v>35</v>
      </c>
      <c r="Z1529" s="19">
        <v>0</v>
      </c>
      <c r="AA1529" s="15">
        <v>0</v>
      </c>
      <c r="AB1529" s="15" t="s">
        <v>35</v>
      </c>
    </row>
    <row r="1530">
      <c r="A1530" s="15">
        <v>1526</v>
      </c>
      <c r="B1530" s="15" t="s">
        <v>33</v>
      </c>
      <c r="C1530" s="15" t="s">
        <v>492</v>
      </c>
      <c r="D1530" s="15" t="s">
        <v>536</v>
      </c>
      <c r="E1530" s="15" t="s">
        <v>116</v>
      </c>
      <c r="F1530" s="15" t="s">
        <v>35</v>
      </c>
      <c r="G1530" s="15" t="s">
        <v>74</v>
      </c>
      <c r="H1530" s="15" t="s">
        <v>9259</v>
      </c>
      <c r="I1530" s="15" t="s">
        <v>9260</v>
      </c>
      <c r="J1530" s="15" t="s">
        <v>9261</v>
      </c>
      <c r="K1530" s="15" t="s">
        <v>540</v>
      </c>
      <c r="L1530" s="15" t="s">
        <v>541</v>
      </c>
      <c r="M1530" s="15" t="s">
        <v>542</v>
      </c>
      <c r="N1530" s="15" t="s">
        <v>543</v>
      </c>
      <c r="O1530" s="15" t="s">
        <v>82</v>
      </c>
      <c r="P1530" s="15" t="s">
        <v>9262</v>
      </c>
      <c r="Q1530" s="15" t="s">
        <v>9263</v>
      </c>
      <c r="R1530" s="16">
        <v>44329</v>
      </c>
      <c r="S1530" s="17" t="s">
        <v>70</v>
      </c>
      <c r="T1530" s="20">
        <f>HYPERLINK("https://vnm.spiral.com.vn//uploaded/20210513/9273d20b-5a2b-48d7-8484-59e57f0aa69b.JPEG","10:19:56")</f>
      </c>
      <c r="U1530" s="20">
        <f>HYPERLINK("https://vnm.spiral.com.vn//uploaded/20210513/0b6605a1-cd42-4a32-a3c1-d4ea946ab413.JPEG","12:53:48")</f>
      </c>
      <c r="V1530" s="18">
        <v>0.10685185185185185</v>
      </c>
      <c r="W1530" s="15" t="s">
        <v>9264</v>
      </c>
      <c r="X1530" s="15" t="s">
        <v>9265</v>
      </c>
      <c r="Y1530" s="15" t="s">
        <v>35</v>
      </c>
      <c r="Z1530" s="19">
        <v>0</v>
      </c>
      <c r="AA1530" s="15">
        <v>0</v>
      </c>
      <c r="AB1530" s="15" t="s">
        <v>35</v>
      </c>
    </row>
    <row r="1531">
      <c r="A1531" s="15">
        <v>1527</v>
      </c>
      <c r="B1531" s="15" t="s">
        <v>87</v>
      </c>
      <c r="C1531" s="15" t="s">
        <v>88</v>
      </c>
      <c r="D1531" s="15" t="s">
        <v>89</v>
      </c>
      <c r="E1531" s="15" t="s">
        <v>90</v>
      </c>
      <c r="F1531" s="15" t="s">
        <v>35</v>
      </c>
      <c r="G1531" s="15" t="s">
        <v>74</v>
      </c>
      <c r="H1531" s="15" t="s">
        <v>91</v>
      </c>
      <c r="I1531" s="15" t="s">
        <v>92</v>
      </c>
      <c r="J1531" s="15" t="s">
        <v>93</v>
      </c>
      <c r="K1531" s="15" t="s">
        <v>96</v>
      </c>
      <c r="L1531" s="15" t="s">
        <v>97</v>
      </c>
      <c r="M1531" s="15" t="s">
        <v>99</v>
      </c>
      <c r="N1531" s="15" t="s">
        <v>100</v>
      </c>
      <c r="O1531" s="15" t="s">
        <v>156</v>
      </c>
      <c r="P1531" s="15" t="s">
        <v>9266</v>
      </c>
      <c r="Q1531" s="15" t="s">
        <v>9267</v>
      </c>
      <c r="R1531" s="16">
        <v>44329</v>
      </c>
      <c r="S1531" s="17" t="s">
        <v>1835</v>
      </c>
      <c r="T1531" s="20">
        <f>HYPERLINK("https://vnm.spiral.com.vn//uploaded/20210513/8021b243-d5ba-4ab1-905a-a98f98dcee6f.JPEG","12:53:27")</f>
      </c>
      <c r="U1531" s="18"/>
      <c r="V1531" s="18" t="s">
        <v>35</v>
      </c>
      <c r="W1531" s="15" t="s">
        <v>9268</v>
      </c>
      <c r="X1531" s="15" t="s">
        <v>35</v>
      </c>
      <c r="Y1531" s="15" t="s">
        <v>35</v>
      </c>
      <c r="Z1531" s="19">
        <v>0</v>
      </c>
      <c r="AA1531" s="15">
        <v>0</v>
      </c>
      <c r="AB1531" s="15" t="s">
        <v>35</v>
      </c>
    </row>
    <row r="1532">
      <c r="A1532" s="15">
        <v>1528</v>
      </c>
      <c r="B1532" s="15" t="s">
        <v>87</v>
      </c>
      <c r="C1532" s="15" t="s">
        <v>88</v>
      </c>
      <c r="D1532" s="15" t="s">
        <v>1897</v>
      </c>
      <c r="E1532" s="15" t="s">
        <v>90</v>
      </c>
      <c r="F1532" s="15" t="s">
        <v>35</v>
      </c>
      <c r="G1532" s="15" t="s">
        <v>74</v>
      </c>
      <c r="H1532" s="15" t="s">
        <v>4416</v>
      </c>
      <c r="I1532" s="15" t="s">
        <v>4417</v>
      </c>
      <c r="J1532" s="15" t="s">
        <v>4418</v>
      </c>
      <c r="K1532" s="15" t="s">
        <v>1204</v>
      </c>
      <c r="L1532" s="15" t="s">
        <v>1205</v>
      </c>
      <c r="M1532" s="15" t="s">
        <v>3774</v>
      </c>
      <c r="N1532" s="15" t="s">
        <v>3775</v>
      </c>
      <c r="O1532" s="15" t="s">
        <v>156</v>
      </c>
      <c r="P1532" s="15" t="s">
        <v>9269</v>
      </c>
      <c r="Q1532" s="15" t="s">
        <v>9270</v>
      </c>
      <c r="R1532" s="16">
        <v>44329</v>
      </c>
      <c r="S1532" s="17" t="s">
        <v>4131</v>
      </c>
      <c r="T1532" s="20">
        <f>HYPERLINK("https://vnm.spiral.com.vn//uploaded/20210513/eac06f1c-6397-430a-80e4-e1a37d21ae33.JPEG","12:53:11")</f>
      </c>
      <c r="U1532" s="18"/>
      <c r="V1532" s="18" t="s">
        <v>35</v>
      </c>
      <c r="W1532" s="15" t="s">
        <v>9271</v>
      </c>
      <c r="X1532" s="15" t="s">
        <v>35</v>
      </c>
      <c r="Y1532" s="15" t="s">
        <v>35</v>
      </c>
      <c r="Z1532" s="19">
        <v>0</v>
      </c>
      <c r="AA1532" s="15">
        <v>0</v>
      </c>
      <c r="AB1532" s="15" t="s">
        <v>35</v>
      </c>
    </row>
    <row r="1533">
      <c r="A1533" s="15">
        <v>1529</v>
      </c>
      <c r="B1533" s="15" t="s">
        <v>87</v>
      </c>
      <c r="C1533" s="15" t="s">
        <v>88</v>
      </c>
      <c r="D1533" s="15" t="s">
        <v>432</v>
      </c>
      <c r="E1533" s="15" t="s">
        <v>116</v>
      </c>
      <c r="F1533" s="15" t="s">
        <v>35</v>
      </c>
      <c r="G1533" s="15" t="s">
        <v>74</v>
      </c>
      <c r="H1533" s="15" t="s">
        <v>9272</v>
      </c>
      <c r="I1533" s="15" t="s">
        <v>9273</v>
      </c>
      <c r="J1533" s="15" t="s">
        <v>9274</v>
      </c>
      <c r="K1533" s="15" t="s">
        <v>625</v>
      </c>
      <c r="L1533" s="15" t="s">
        <v>626</v>
      </c>
      <c r="M1533" s="15" t="s">
        <v>1022</v>
      </c>
      <c r="N1533" s="15" t="s">
        <v>1023</v>
      </c>
      <c r="O1533" s="15" t="s">
        <v>82</v>
      </c>
      <c r="P1533" s="15" t="s">
        <v>2209</v>
      </c>
      <c r="Q1533" s="15" t="s">
        <v>2210</v>
      </c>
      <c r="R1533" s="16">
        <v>44329</v>
      </c>
      <c r="S1533" s="17" t="s">
        <v>70</v>
      </c>
      <c r="T1533" s="20">
        <f>HYPERLINK("https://vnm.spiral.com.vn//uploaded/20210513/145abb45-682b-4967-b9d8-76700a3d5221.jpg","12:05:48")</f>
      </c>
      <c r="U1533" s="20">
        <f>HYPERLINK("https://vnm.spiral.com.vn//uploaded/20210513/74ca7b3b-2772-4327-9c11-df987d84005b.jpg","12:53:03")</f>
      </c>
      <c r="V1533" s="18">
        <v>0.0328125</v>
      </c>
      <c r="W1533" s="15" t="s">
        <v>9275</v>
      </c>
      <c r="X1533" s="15" t="s">
        <v>9276</v>
      </c>
      <c r="Y1533" s="15" t="s">
        <v>35</v>
      </c>
      <c r="Z1533" s="19">
        <v>0</v>
      </c>
      <c r="AA1533" s="15">
        <v>0</v>
      </c>
      <c r="AB1533" s="15" t="s">
        <v>35</v>
      </c>
    </row>
    <row r="1534">
      <c r="A1534" s="15">
        <v>1530</v>
      </c>
      <c r="B1534" s="15" t="s">
        <v>103</v>
      </c>
      <c r="C1534" s="15" t="s">
        <v>104</v>
      </c>
      <c r="D1534" s="15" t="s">
        <v>304</v>
      </c>
      <c r="E1534" s="15" t="s">
        <v>305</v>
      </c>
      <c r="F1534" s="15" t="s">
        <v>35</v>
      </c>
      <c r="G1534" s="15" t="s">
        <v>74</v>
      </c>
      <c r="H1534" s="15" t="s">
        <v>9277</v>
      </c>
      <c r="I1534" s="15" t="s">
        <v>9278</v>
      </c>
      <c r="J1534" s="15" t="s">
        <v>9279</v>
      </c>
      <c r="K1534" s="15" t="s">
        <v>460</v>
      </c>
      <c r="L1534" s="15" t="s">
        <v>461</v>
      </c>
      <c r="M1534" s="15" t="s">
        <v>2395</v>
      </c>
      <c r="N1534" s="15" t="s">
        <v>2396</v>
      </c>
      <c r="O1534" s="15" t="s">
        <v>156</v>
      </c>
      <c r="P1534" s="15" t="s">
        <v>9280</v>
      </c>
      <c r="Q1534" s="15" t="s">
        <v>9281</v>
      </c>
      <c r="R1534" s="16">
        <v>44329</v>
      </c>
      <c r="S1534" s="17" t="s">
        <v>8701</v>
      </c>
      <c r="T1534" s="20">
        <f>HYPERLINK("https://vnm.spiral.com.vn//uploaded/20210513/7F319AD3-0EAF-4786-BB70-C7EA45B71934.jpg","12:52:26")</f>
      </c>
      <c r="U1534" s="18"/>
      <c r="V1534" s="18" t="s">
        <v>35</v>
      </c>
      <c r="W1534" s="15" t="s">
        <v>9282</v>
      </c>
      <c r="X1534" s="15" t="s">
        <v>35</v>
      </c>
      <c r="Y1534" s="15" t="s">
        <v>35</v>
      </c>
      <c r="Z1534" s="19">
        <v>0</v>
      </c>
      <c r="AA1534" s="15">
        <v>0</v>
      </c>
      <c r="AB1534" s="15" t="s">
        <v>35</v>
      </c>
    </row>
    <row r="1535">
      <c r="A1535" s="15">
        <v>1531</v>
      </c>
      <c r="B1535" s="15" t="s">
        <v>246</v>
      </c>
      <c r="C1535" s="15" t="s">
        <v>864</v>
      </c>
      <c r="D1535" s="15" t="s">
        <v>148</v>
      </c>
      <c r="E1535" s="15" t="s">
        <v>90</v>
      </c>
      <c r="F1535" s="15" t="s">
        <v>35</v>
      </c>
      <c r="G1535" s="15" t="s">
        <v>74</v>
      </c>
      <c r="H1535" s="15" t="s">
        <v>865</v>
      </c>
      <c r="I1535" s="15" t="s">
        <v>866</v>
      </c>
      <c r="J1535" s="15" t="s">
        <v>867</v>
      </c>
      <c r="K1535" s="15" t="s">
        <v>263</v>
      </c>
      <c r="L1535" s="15" t="s">
        <v>264</v>
      </c>
      <c r="M1535" s="15" t="s">
        <v>868</v>
      </c>
      <c r="N1535" s="15" t="s">
        <v>869</v>
      </c>
      <c r="O1535" s="15" t="s">
        <v>156</v>
      </c>
      <c r="P1535" s="15" t="s">
        <v>9283</v>
      </c>
      <c r="Q1535" s="15" t="s">
        <v>9284</v>
      </c>
      <c r="R1535" s="16">
        <v>44329</v>
      </c>
      <c r="S1535" s="17" t="s">
        <v>4131</v>
      </c>
      <c r="T1535" s="20">
        <f>HYPERLINK("https://vnm.spiral.com.vn//uploaded/20210513/10765ac7-faa8-47ae-a3cd-4b574c2de4f0.JPEG","12:52:21")</f>
      </c>
      <c r="U1535" s="18"/>
      <c r="V1535" s="18" t="s">
        <v>35</v>
      </c>
      <c r="W1535" s="15" t="s">
        <v>9285</v>
      </c>
      <c r="X1535" s="15" t="s">
        <v>35</v>
      </c>
      <c r="Y1535" s="15" t="s">
        <v>35</v>
      </c>
      <c r="Z1535" s="19">
        <v>0</v>
      </c>
      <c r="AA1535" s="15">
        <v>0</v>
      </c>
      <c r="AB1535" s="15" t="s">
        <v>35</v>
      </c>
    </row>
    <row r="1536">
      <c r="A1536" s="15">
        <v>1532</v>
      </c>
      <c r="B1536" s="15" t="s">
        <v>61</v>
      </c>
      <c r="C1536" s="15" t="s">
        <v>228</v>
      </c>
      <c r="D1536" s="15" t="s">
        <v>89</v>
      </c>
      <c r="E1536" s="15" t="s">
        <v>90</v>
      </c>
      <c r="F1536" s="15" t="s">
        <v>35</v>
      </c>
      <c r="G1536" s="15" t="s">
        <v>74</v>
      </c>
      <c r="H1536" s="15" t="s">
        <v>4246</v>
      </c>
      <c r="I1536" s="15" t="s">
        <v>4247</v>
      </c>
      <c r="J1536" s="15" t="s">
        <v>4248</v>
      </c>
      <c r="K1536" s="15" t="s">
        <v>232</v>
      </c>
      <c r="L1536" s="15" t="s">
        <v>233</v>
      </c>
      <c r="M1536" s="15" t="s">
        <v>453</v>
      </c>
      <c r="N1536" s="15" t="s">
        <v>454</v>
      </c>
      <c r="O1536" s="15" t="s">
        <v>156</v>
      </c>
      <c r="P1536" s="15" t="s">
        <v>9286</v>
      </c>
      <c r="Q1536" s="15" t="s">
        <v>9287</v>
      </c>
      <c r="R1536" s="16">
        <v>44329</v>
      </c>
      <c r="S1536" s="17" t="s">
        <v>4131</v>
      </c>
      <c r="T1536" s="20">
        <f>HYPERLINK("https://vnm.spiral.com.vn//uploaded/20210513/5B25A7C2-9722-4C15-A608-288561E2B3D7.jpg","12:52:14")</f>
      </c>
      <c r="U1536" s="18"/>
      <c r="V1536" s="18" t="s">
        <v>35</v>
      </c>
      <c r="W1536" s="15" t="s">
        <v>9288</v>
      </c>
      <c r="X1536" s="15" t="s">
        <v>35</v>
      </c>
      <c r="Y1536" s="15" t="s">
        <v>35</v>
      </c>
      <c r="Z1536" s="19">
        <v>0</v>
      </c>
      <c r="AA1536" s="15">
        <v>0</v>
      </c>
      <c r="AB1536" s="15" t="s">
        <v>35</v>
      </c>
    </row>
    <row r="1537">
      <c r="A1537" s="15">
        <v>1533</v>
      </c>
      <c r="B1537" s="15" t="s">
        <v>61</v>
      </c>
      <c r="C1537" s="15" t="s">
        <v>442</v>
      </c>
      <c r="D1537" s="15" t="s">
        <v>135</v>
      </c>
      <c r="E1537" s="15" t="s">
        <v>116</v>
      </c>
      <c r="F1537" s="15" t="s">
        <v>35</v>
      </c>
      <c r="G1537" s="15" t="s">
        <v>74</v>
      </c>
      <c r="H1537" s="15" t="s">
        <v>9289</v>
      </c>
      <c r="I1537" s="15" t="s">
        <v>9290</v>
      </c>
      <c r="J1537" s="15" t="s">
        <v>9291</v>
      </c>
      <c r="K1537" s="15" t="s">
        <v>152</v>
      </c>
      <c r="L1537" s="15" t="s">
        <v>153</v>
      </c>
      <c r="M1537" s="15" t="s">
        <v>232</v>
      </c>
      <c r="N1537" s="15" t="s">
        <v>233</v>
      </c>
      <c r="O1537" s="15" t="s">
        <v>82</v>
      </c>
      <c r="P1537" s="15" t="s">
        <v>446</v>
      </c>
      <c r="Q1537" s="15" t="s">
        <v>447</v>
      </c>
      <c r="R1537" s="16">
        <v>44329</v>
      </c>
      <c r="S1537" s="17" t="s">
        <v>70</v>
      </c>
      <c r="T1537" s="20">
        <f>HYPERLINK("https://vnm.spiral.com.vn//uploaded/20210513/118c07ab-6706-4a43-816e-88be1e517db0.JPEG","12:26:25")</f>
      </c>
      <c r="U1537" s="20">
        <f>HYPERLINK("https://vnm.spiral.com.vn//uploaded/20210513/33ffdb15-a666-447c-a2af-6214d5c21f5c.JPEG","12:52:02")</f>
      </c>
      <c r="V1537" s="18">
        <v>0.01778935185185185</v>
      </c>
      <c r="W1537" s="15" t="s">
        <v>9292</v>
      </c>
      <c r="X1537" s="15" t="s">
        <v>9293</v>
      </c>
      <c r="Y1537" s="15" t="s">
        <v>35</v>
      </c>
      <c r="Z1537" s="19">
        <v>0</v>
      </c>
      <c r="AA1537" s="15">
        <v>0</v>
      </c>
      <c r="AB1537" s="15" t="s">
        <v>35</v>
      </c>
    </row>
    <row r="1538">
      <c r="A1538" s="15">
        <v>1534</v>
      </c>
      <c r="B1538" s="15" t="s">
        <v>87</v>
      </c>
      <c r="C1538" s="15" t="s">
        <v>88</v>
      </c>
      <c r="D1538" s="15" t="s">
        <v>432</v>
      </c>
      <c r="E1538" s="15" t="s">
        <v>116</v>
      </c>
      <c r="F1538" s="15" t="s">
        <v>35</v>
      </c>
      <c r="G1538" s="15" t="s">
        <v>74</v>
      </c>
      <c r="H1538" s="15" t="s">
        <v>9272</v>
      </c>
      <c r="I1538" s="15" t="s">
        <v>9273</v>
      </c>
      <c r="J1538" s="15" t="s">
        <v>9274</v>
      </c>
      <c r="K1538" s="15" t="s">
        <v>94</v>
      </c>
      <c r="L1538" s="15" t="s">
        <v>95</v>
      </c>
      <c r="M1538" s="15" t="s">
        <v>625</v>
      </c>
      <c r="N1538" s="15" t="s">
        <v>626</v>
      </c>
      <c r="O1538" s="15" t="s">
        <v>98</v>
      </c>
      <c r="P1538" s="15" t="s">
        <v>1022</v>
      </c>
      <c r="Q1538" s="15" t="s">
        <v>1023</v>
      </c>
      <c r="R1538" s="16">
        <v>44329</v>
      </c>
      <c r="S1538" s="17" t="s">
        <v>70</v>
      </c>
      <c r="T1538" s="20">
        <f>HYPERLINK("https://vnm.spiral.com.vn//uploaded/20210513/b84e0962-5afd-4c01-a482-f29b97da7336.JPEG","12:05:56")</f>
      </c>
      <c r="U1538" s="20">
        <f>HYPERLINK("https://vnm.spiral.com.vn//uploaded/20210513/d54cc9c3-722f-4c02-b030-fedebe8811f0.JPEG","12:52:01")</f>
      </c>
      <c r="V1538" s="18">
        <v>0.03200231481481482</v>
      </c>
      <c r="W1538" s="15" t="s">
        <v>9294</v>
      </c>
      <c r="X1538" s="15" t="s">
        <v>9295</v>
      </c>
      <c r="Y1538" s="15" t="s">
        <v>35</v>
      </c>
      <c r="Z1538" s="19">
        <v>0</v>
      </c>
      <c r="AA1538" s="15">
        <v>0</v>
      </c>
      <c r="AB1538" s="15" t="s">
        <v>35</v>
      </c>
    </row>
    <row r="1539">
      <c r="A1539" s="15">
        <v>1535</v>
      </c>
      <c r="B1539" s="15" t="s">
        <v>103</v>
      </c>
      <c r="C1539" s="15" t="s">
        <v>2116</v>
      </c>
      <c r="D1539" s="15" t="s">
        <v>35</v>
      </c>
      <c r="E1539" s="15" t="s">
        <v>35</v>
      </c>
      <c r="F1539" s="15" t="s">
        <v>35</v>
      </c>
      <c r="G1539" s="15" t="s">
        <v>35</v>
      </c>
      <c r="H1539" s="15" t="s">
        <v>9296</v>
      </c>
      <c r="I1539" s="15" t="s">
        <v>9297</v>
      </c>
      <c r="J1539" s="15" t="s">
        <v>9298</v>
      </c>
      <c r="K1539" s="15" t="s">
        <v>40</v>
      </c>
      <c r="L1539" s="15" t="s">
        <v>41</v>
      </c>
      <c r="M1539" s="15" t="s">
        <v>108</v>
      </c>
      <c r="N1539" s="15" t="s">
        <v>109</v>
      </c>
      <c r="O1539" s="15" t="s">
        <v>44</v>
      </c>
      <c r="P1539" s="15" t="s">
        <v>9299</v>
      </c>
      <c r="Q1539" s="15" t="s">
        <v>9300</v>
      </c>
      <c r="R1539" s="16">
        <v>44329</v>
      </c>
      <c r="S1539" s="17" t="s">
        <v>1835</v>
      </c>
      <c r="T1539" s="20">
        <f>HYPERLINK("https://vnm.spiral.com.vn//uploaded/20210513/61eb9be8-39cb-403c-802b-983b9b9eac5c.JPEG","12:51:54")</f>
      </c>
      <c r="U1539" s="18"/>
      <c r="V1539" s="18" t="s">
        <v>35</v>
      </c>
      <c r="W1539" s="15" t="s">
        <v>9301</v>
      </c>
      <c r="X1539" s="15" t="s">
        <v>35</v>
      </c>
      <c r="Y1539" s="15" t="s">
        <v>35</v>
      </c>
      <c r="Z1539" s="19">
        <v>0</v>
      </c>
      <c r="AA1539" s="15">
        <v>0</v>
      </c>
      <c r="AB1539" s="15" t="s">
        <v>35</v>
      </c>
    </row>
    <row r="1540">
      <c r="A1540" s="15">
        <v>1536</v>
      </c>
      <c r="B1540" s="15" t="s">
        <v>343</v>
      </c>
      <c r="C1540" s="15" t="s">
        <v>1150</v>
      </c>
      <c r="D1540" s="15" t="s">
        <v>148</v>
      </c>
      <c r="E1540" s="15" t="s">
        <v>90</v>
      </c>
      <c r="F1540" s="15" t="s">
        <v>35</v>
      </c>
      <c r="G1540" s="15" t="s">
        <v>74</v>
      </c>
      <c r="H1540" s="15" t="s">
        <v>8932</v>
      </c>
      <c r="I1540" s="15" t="s">
        <v>8933</v>
      </c>
      <c r="J1540" s="15" t="s">
        <v>8934</v>
      </c>
      <c r="K1540" s="15" t="s">
        <v>915</v>
      </c>
      <c r="L1540" s="15" t="s">
        <v>916</v>
      </c>
      <c r="M1540" s="15" t="s">
        <v>512</v>
      </c>
      <c r="N1540" s="15" t="s">
        <v>513</v>
      </c>
      <c r="O1540" s="15" t="s">
        <v>98</v>
      </c>
      <c r="P1540" s="15" t="s">
        <v>1154</v>
      </c>
      <c r="Q1540" s="15" t="s">
        <v>1155</v>
      </c>
      <c r="R1540" s="16">
        <v>44329</v>
      </c>
      <c r="S1540" s="17" t="s">
        <v>35</v>
      </c>
      <c r="T1540" s="20">
        <f>HYPERLINK("https://vnm.spiral.com.vn//uploaded/20210513/6FF9D987-436C-4804-8254-8D9C722DCFA7.jpg","07:46:26")</f>
      </c>
      <c r="U1540" s="20">
        <f>HYPERLINK("https://vnm.spiral.com.vn//uploaded/20210513/59540BD0-CFCB-4690-B70D-B8110CD2584E.jpg","12:50:50")</f>
      </c>
      <c r="V1540" s="18">
        <v>0.21138888888888888</v>
      </c>
      <c r="W1540" s="15" t="s">
        <v>9302</v>
      </c>
      <c r="X1540" s="15" t="s">
        <v>9303</v>
      </c>
      <c r="Y1540" s="15" t="s">
        <v>35</v>
      </c>
      <c r="Z1540" s="19">
        <v>0</v>
      </c>
      <c r="AA1540" s="15">
        <v>0</v>
      </c>
      <c r="AB1540" s="15" t="s">
        <v>35</v>
      </c>
    </row>
    <row r="1541">
      <c r="A1541" s="15">
        <v>1537</v>
      </c>
      <c r="B1541" s="15" t="s">
        <v>87</v>
      </c>
      <c r="C1541" s="15" t="s">
        <v>88</v>
      </c>
      <c r="D1541" s="15" t="s">
        <v>89</v>
      </c>
      <c r="E1541" s="15" t="s">
        <v>90</v>
      </c>
      <c r="F1541" s="15" t="s">
        <v>35</v>
      </c>
      <c r="G1541" s="15" t="s">
        <v>74</v>
      </c>
      <c r="H1541" s="15" t="s">
        <v>799</v>
      </c>
      <c r="I1541" s="15" t="s">
        <v>800</v>
      </c>
      <c r="J1541" s="15" t="s">
        <v>801</v>
      </c>
      <c r="K1541" s="15" t="s">
        <v>96</v>
      </c>
      <c r="L1541" s="15" t="s">
        <v>97</v>
      </c>
      <c r="M1541" s="15" t="s">
        <v>802</v>
      </c>
      <c r="N1541" s="15" t="s">
        <v>803</v>
      </c>
      <c r="O1541" s="15" t="s">
        <v>156</v>
      </c>
      <c r="P1541" s="15" t="s">
        <v>9304</v>
      </c>
      <c r="Q1541" s="15" t="s">
        <v>9305</v>
      </c>
      <c r="R1541" s="16">
        <v>44329</v>
      </c>
      <c r="S1541" s="17" t="s">
        <v>1835</v>
      </c>
      <c r="T1541" s="20">
        <f>HYPERLINK("https://vnm.spiral.com.vn//uploaded/20210513/40A37264-0A1C-484E-A15D-B1C8A14CB272.jpg","12:50:13")</f>
      </c>
      <c r="U1541" s="18"/>
      <c r="V1541" s="18" t="s">
        <v>35</v>
      </c>
      <c r="W1541" s="15" t="s">
        <v>9306</v>
      </c>
      <c r="X1541" s="15" t="s">
        <v>35</v>
      </c>
      <c r="Y1541" s="15" t="s">
        <v>35</v>
      </c>
      <c r="Z1541" s="19">
        <v>0</v>
      </c>
      <c r="AA1541" s="15">
        <v>0</v>
      </c>
      <c r="AB1541" s="15" t="s">
        <v>35</v>
      </c>
    </row>
    <row r="1542">
      <c r="A1542" s="15">
        <v>1538</v>
      </c>
      <c r="B1542" s="15" t="s">
        <v>61</v>
      </c>
      <c r="C1542" s="15" t="s">
        <v>303</v>
      </c>
      <c r="D1542" s="15" t="s">
        <v>148</v>
      </c>
      <c r="E1542" s="15" t="s">
        <v>90</v>
      </c>
      <c r="F1542" s="15" t="s">
        <v>35</v>
      </c>
      <c r="G1542" s="15" t="s">
        <v>74</v>
      </c>
      <c r="H1542" s="15" t="s">
        <v>4348</v>
      </c>
      <c r="I1542" s="15" t="s">
        <v>4349</v>
      </c>
      <c r="J1542" s="15" t="s">
        <v>4350</v>
      </c>
      <c r="K1542" s="15" t="s">
        <v>309</v>
      </c>
      <c r="L1542" s="15" t="s">
        <v>310</v>
      </c>
      <c r="M1542" s="15" t="s">
        <v>311</v>
      </c>
      <c r="N1542" s="15" t="s">
        <v>312</v>
      </c>
      <c r="O1542" s="15" t="s">
        <v>156</v>
      </c>
      <c r="P1542" s="15" t="s">
        <v>9307</v>
      </c>
      <c r="Q1542" s="15" t="s">
        <v>9308</v>
      </c>
      <c r="R1542" s="16">
        <v>44329</v>
      </c>
      <c r="S1542" s="17" t="s">
        <v>8701</v>
      </c>
      <c r="T1542" s="20">
        <f>HYPERLINK("https://vnm.spiral.com.vn//uploaded/20210513/3c92483b-533f-47f4-b6a3-996d81e10ce7.JPEG","12:50:05")</f>
      </c>
      <c r="U1542" s="18"/>
      <c r="V1542" s="18" t="s">
        <v>35</v>
      </c>
      <c r="W1542" s="15" t="s">
        <v>9309</v>
      </c>
      <c r="X1542" s="15" t="s">
        <v>35</v>
      </c>
      <c r="Y1542" s="15" t="s">
        <v>35</v>
      </c>
      <c r="Z1542" s="19">
        <v>0</v>
      </c>
      <c r="AA1542" s="15">
        <v>0</v>
      </c>
      <c r="AB1542" s="15" t="s">
        <v>35</v>
      </c>
    </row>
    <row r="1543">
      <c r="A1543" s="15">
        <v>1539</v>
      </c>
      <c r="B1543" s="15" t="s">
        <v>87</v>
      </c>
      <c r="C1543" s="15" t="s">
        <v>88</v>
      </c>
      <c r="D1543" s="15" t="s">
        <v>135</v>
      </c>
      <c r="E1543" s="15" t="s">
        <v>116</v>
      </c>
      <c r="F1543" s="15" t="s">
        <v>35</v>
      </c>
      <c r="G1543" s="15" t="s">
        <v>74</v>
      </c>
      <c r="H1543" s="15" t="s">
        <v>9310</v>
      </c>
      <c r="I1543" s="15" t="s">
        <v>9311</v>
      </c>
      <c r="J1543" s="15" t="s">
        <v>9312</v>
      </c>
      <c r="K1543" s="15" t="s">
        <v>390</v>
      </c>
      <c r="L1543" s="15" t="s">
        <v>391</v>
      </c>
      <c r="M1543" s="15" t="s">
        <v>392</v>
      </c>
      <c r="N1543" s="15" t="s">
        <v>393</v>
      </c>
      <c r="O1543" s="15" t="s">
        <v>82</v>
      </c>
      <c r="P1543" s="15" t="s">
        <v>1497</v>
      </c>
      <c r="Q1543" s="15" t="s">
        <v>1498</v>
      </c>
      <c r="R1543" s="16">
        <v>44329</v>
      </c>
      <c r="S1543" s="17" t="s">
        <v>70</v>
      </c>
      <c r="T1543" s="20">
        <f>HYPERLINK("https://vnm.spiral.com.vn//uploaded/20210513/d8a10fab-5f81-4c91-aec1-24a56639ecb7.JPEG","11:12:48")</f>
      </c>
      <c r="U1543" s="20">
        <f>HYPERLINK("https://vnm.spiral.com.vn//uploaded/20210513/86a5c1bc-fc6e-49b2-aae6-02be1e4e40ee.JPEG","12:50:04")</f>
      </c>
      <c r="V1543" s="18">
        <v>0.0675462962962963</v>
      </c>
      <c r="W1543" s="15" t="s">
        <v>9313</v>
      </c>
      <c r="X1543" s="15" t="s">
        <v>9314</v>
      </c>
      <c r="Y1543" s="15" t="s">
        <v>35</v>
      </c>
      <c r="Z1543" s="19">
        <v>0</v>
      </c>
      <c r="AA1543" s="15">
        <v>0</v>
      </c>
      <c r="AB1543" s="15" t="s">
        <v>35</v>
      </c>
    </row>
    <row r="1544">
      <c r="A1544" s="15">
        <v>1540</v>
      </c>
      <c r="B1544" s="15" t="s">
        <v>87</v>
      </c>
      <c r="C1544" s="15" t="s">
        <v>88</v>
      </c>
      <c r="D1544" s="15" t="s">
        <v>35</v>
      </c>
      <c r="E1544" s="15" t="s">
        <v>35</v>
      </c>
      <c r="F1544" s="15" t="s">
        <v>35</v>
      </c>
      <c r="G1544" s="15" t="s">
        <v>74</v>
      </c>
      <c r="H1544" s="15" t="s">
        <v>9315</v>
      </c>
      <c r="I1544" s="15" t="s">
        <v>9316</v>
      </c>
      <c r="J1544" s="15" t="s">
        <v>9317</v>
      </c>
      <c r="K1544" s="15" t="s">
        <v>888</v>
      </c>
      <c r="L1544" s="15" t="s">
        <v>889</v>
      </c>
      <c r="M1544" s="15" t="s">
        <v>890</v>
      </c>
      <c r="N1544" s="15" t="s">
        <v>891</v>
      </c>
      <c r="O1544" s="15" t="s">
        <v>82</v>
      </c>
      <c r="P1544" s="15" t="s">
        <v>2094</v>
      </c>
      <c r="Q1544" s="15" t="s">
        <v>2095</v>
      </c>
      <c r="R1544" s="16">
        <v>44329</v>
      </c>
      <c r="S1544" s="17" t="s">
        <v>70</v>
      </c>
      <c r="T1544" s="20">
        <f>HYPERLINK("https://vnm.spiral.com.vn//uploaded/20210513/CAD2C5E1-582B-426F-AAF7-D899880633E0.jpg","12:27:56")</f>
      </c>
      <c r="U1544" s="20">
        <f>HYPERLINK("https://vnm.spiral.com.vn//uploaded/20210513/6EF7B4CF-3226-4BB6-AA4C-6773C78DA8BA.jpg","12:48:57")</f>
      </c>
      <c r="V1544" s="18">
        <v>0.014594907407407407</v>
      </c>
      <c r="W1544" s="15" t="s">
        <v>9318</v>
      </c>
      <c r="X1544" s="15" t="s">
        <v>9319</v>
      </c>
      <c r="Y1544" s="15" t="s">
        <v>35</v>
      </c>
      <c r="Z1544" s="19">
        <v>0</v>
      </c>
      <c r="AA1544" s="15">
        <v>0</v>
      </c>
      <c r="AB1544" s="15" t="s">
        <v>35</v>
      </c>
    </row>
    <row r="1545">
      <c r="A1545" s="15">
        <v>1541</v>
      </c>
      <c r="B1545" s="15" t="s">
        <v>87</v>
      </c>
      <c r="C1545" s="15" t="s">
        <v>88</v>
      </c>
      <c r="D1545" s="15" t="s">
        <v>35</v>
      </c>
      <c r="E1545" s="15" t="s">
        <v>35</v>
      </c>
      <c r="F1545" s="15" t="s">
        <v>4780</v>
      </c>
      <c r="G1545" s="15" t="s">
        <v>36</v>
      </c>
      <c r="H1545" s="15" t="s">
        <v>7170</v>
      </c>
      <c r="I1545" s="15" t="s">
        <v>7171</v>
      </c>
      <c r="J1545" s="15" t="s">
        <v>7172</v>
      </c>
      <c r="K1545" s="15" t="s">
        <v>40</v>
      </c>
      <c r="L1545" s="15" t="s">
        <v>41</v>
      </c>
      <c r="M1545" s="15" t="s">
        <v>810</v>
      </c>
      <c r="N1545" s="15" t="s">
        <v>811</v>
      </c>
      <c r="O1545" s="15" t="s">
        <v>44</v>
      </c>
      <c r="P1545" s="15" t="s">
        <v>7173</v>
      </c>
      <c r="Q1545" s="15" t="s">
        <v>7174</v>
      </c>
      <c r="R1545" s="16">
        <v>44329</v>
      </c>
      <c r="S1545" s="17" t="s">
        <v>317</v>
      </c>
      <c r="T1545" s="20">
        <f>HYPERLINK("https://vnm.spiral.com.vn//uploaded/20210513/10a3850d-bde7-45ac-a1e5-8f432569c4f7.JPEG","07:28:34")</f>
      </c>
      <c r="U1545" s="20">
        <f>HYPERLINK("https://vnm.spiral.com.vn//uploaded/20210513/03ee244c-b1f9-40b2-91f8-0be44c17291f.JPEG","12:48:56")</f>
      </c>
      <c r="V1545" s="18">
        <v>0.22247685185185184</v>
      </c>
      <c r="W1545" s="15" t="s">
        <v>9320</v>
      </c>
      <c r="X1545" s="15" t="s">
        <v>9321</v>
      </c>
      <c r="Y1545" s="15" t="s">
        <v>35</v>
      </c>
      <c r="Z1545" s="19">
        <v>0</v>
      </c>
      <c r="AA1545" s="15">
        <v>0</v>
      </c>
      <c r="AB1545" s="15" t="s">
        <v>35</v>
      </c>
    </row>
    <row r="1546">
      <c r="A1546" s="15">
        <v>1542</v>
      </c>
      <c r="B1546" s="15" t="s">
        <v>61</v>
      </c>
      <c r="C1546" s="15" t="s">
        <v>303</v>
      </c>
      <c r="D1546" s="15" t="s">
        <v>379</v>
      </c>
      <c r="E1546" s="15" t="s">
        <v>35</v>
      </c>
      <c r="F1546" s="15" t="s">
        <v>35</v>
      </c>
      <c r="G1546" s="15" t="s">
        <v>74</v>
      </c>
      <c r="H1546" s="15" t="s">
        <v>2029</v>
      </c>
      <c r="I1546" s="15" t="s">
        <v>2030</v>
      </c>
      <c r="J1546" s="15" t="s">
        <v>2031</v>
      </c>
      <c r="K1546" s="15" t="s">
        <v>309</v>
      </c>
      <c r="L1546" s="15" t="s">
        <v>310</v>
      </c>
      <c r="M1546" s="15" t="s">
        <v>311</v>
      </c>
      <c r="N1546" s="15" t="s">
        <v>312</v>
      </c>
      <c r="O1546" s="15" t="s">
        <v>156</v>
      </c>
      <c r="P1546" s="15" t="s">
        <v>9322</v>
      </c>
      <c r="Q1546" s="15" t="s">
        <v>9323</v>
      </c>
      <c r="R1546" s="16">
        <v>44329</v>
      </c>
      <c r="S1546" s="17" t="s">
        <v>8701</v>
      </c>
      <c r="T1546" s="20">
        <f>HYPERLINK("https://vnm.spiral.com.vn//uploaded/20210513/6b7b502d-d4b2-4746-8e0c-26e5ff879604.JPEG","12:48:56")</f>
      </c>
      <c r="U1546" s="18"/>
      <c r="V1546" s="18" t="s">
        <v>35</v>
      </c>
      <c r="W1546" s="15" t="s">
        <v>9324</v>
      </c>
      <c r="X1546" s="15" t="s">
        <v>35</v>
      </c>
      <c r="Y1546" s="15" t="s">
        <v>35</v>
      </c>
      <c r="Z1546" s="19">
        <v>0</v>
      </c>
      <c r="AA1546" s="15">
        <v>0</v>
      </c>
      <c r="AB1546" s="15" t="s">
        <v>35</v>
      </c>
    </row>
    <row r="1547">
      <c r="A1547" s="15">
        <v>1543</v>
      </c>
      <c r="B1547" s="15" t="s">
        <v>87</v>
      </c>
      <c r="C1547" s="15" t="s">
        <v>88</v>
      </c>
      <c r="D1547" s="15" t="s">
        <v>89</v>
      </c>
      <c r="E1547" s="15" t="s">
        <v>90</v>
      </c>
      <c r="F1547" s="15" t="s">
        <v>35</v>
      </c>
      <c r="G1547" s="15" t="s">
        <v>74</v>
      </c>
      <c r="H1547" s="15" t="s">
        <v>2525</v>
      </c>
      <c r="I1547" s="15" t="s">
        <v>2526</v>
      </c>
      <c r="J1547" s="15" t="s">
        <v>2527</v>
      </c>
      <c r="K1547" s="15" t="s">
        <v>1554</v>
      </c>
      <c r="L1547" s="15" t="s">
        <v>1555</v>
      </c>
      <c r="M1547" s="15" t="s">
        <v>2528</v>
      </c>
      <c r="N1547" s="15" t="s">
        <v>2529</v>
      </c>
      <c r="O1547" s="15" t="s">
        <v>156</v>
      </c>
      <c r="P1547" s="15" t="s">
        <v>9325</v>
      </c>
      <c r="Q1547" s="15" t="s">
        <v>9326</v>
      </c>
      <c r="R1547" s="16">
        <v>44329</v>
      </c>
      <c r="S1547" s="17" t="s">
        <v>1835</v>
      </c>
      <c r="T1547" s="20">
        <f>HYPERLINK("https://vnm.spiral.com.vn//uploaded/20210513/E8B94635-5DA0-479B-9A80-D0AD08907BAD.jpg","12:47:55")</f>
      </c>
      <c r="U1547" s="18"/>
      <c r="V1547" s="18" t="s">
        <v>35</v>
      </c>
      <c r="W1547" s="15" t="s">
        <v>9327</v>
      </c>
      <c r="X1547" s="15" t="s">
        <v>35</v>
      </c>
      <c r="Y1547" s="15" t="s">
        <v>35</v>
      </c>
      <c r="Z1547" s="19">
        <v>0</v>
      </c>
      <c r="AA1547" s="15">
        <v>0</v>
      </c>
      <c r="AB1547" s="15" t="s">
        <v>35</v>
      </c>
    </row>
    <row r="1548">
      <c r="A1548" s="15">
        <v>1544</v>
      </c>
      <c r="B1548" s="15" t="s">
        <v>61</v>
      </c>
      <c r="C1548" s="15" t="s">
        <v>737</v>
      </c>
      <c r="D1548" s="15" t="s">
        <v>35</v>
      </c>
      <c r="E1548" s="15" t="s">
        <v>35</v>
      </c>
      <c r="F1548" s="15" t="s">
        <v>35</v>
      </c>
      <c r="G1548" s="15" t="s">
        <v>36</v>
      </c>
      <c r="H1548" s="15" t="s">
        <v>5250</v>
      </c>
      <c r="I1548" s="15" t="s">
        <v>5251</v>
      </c>
      <c r="J1548" s="15" t="s">
        <v>5252</v>
      </c>
      <c r="K1548" s="15" t="s">
        <v>40</v>
      </c>
      <c r="L1548" s="15" t="s">
        <v>41</v>
      </c>
      <c r="M1548" s="15" t="s">
        <v>205</v>
      </c>
      <c r="N1548" s="15" t="s">
        <v>206</v>
      </c>
      <c r="O1548" s="15" t="s">
        <v>44</v>
      </c>
      <c r="P1548" s="15" t="s">
        <v>5253</v>
      </c>
      <c r="Q1548" s="15" t="s">
        <v>5254</v>
      </c>
      <c r="R1548" s="16">
        <v>44329</v>
      </c>
      <c r="S1548" s="17" t="s">
        <v>317</v>
      </c>
      <c r="T1548" s="20">
        <f>HYPERLINK("https://vnm.spiral.com.vn//uploaded/20210513/4796EC42-C604-4F01-A5BD-7B76F41BC37C.jpg","07:50:52")</f>
      </c>
      <c r="U1548" s="20">
        <f>HYPERLINK("https://vnm.spiral.com.vn//uploaded/20210513/445D09AA-E0F6-4991-9ED9-9D2452046DA3.jpg","12:47:49")</f>
      </c>
      <c r="V1548" s="18">
        <v>0.2062152777777778</v>
      </c>
      <c r="W1548" s="15" t="s">
        <v>9328</v>
      </c>
      <c r="X1548" s="15" t="s">
        <v>9329</v>
      </c>
      <c r="Y1548" s="15" t="s">
        <v>35</v>
      </c>
      <c r="Z1548" s="19">
        <v>0</v>
      </c>
      <c r="AA1548" s="15">
        <v>0</v>
      </c>
      <c r="AB1548" s="15" t="s">
        <v>35</v>
      </c>
    </row>
    <row r="1549">
      <c r="A1549" s="15">
        <v>1545</v>
      </c>
      <c r="B1549" s="15" t="s">
        <v>61</v>
      </c>
      <c r="C1549" s="15" t="s">
        <v>303</v>
      </c>
      <c r="D1549" s="15" t="s">
        <v>35</v>
      </c>
      <c r="E1549" s="15" t="s">
        <v>35</v>
      </c>
      <c r="F1549" s="15" t="s">
        <v>35</v>
      </c>
      <c r="G1549" s="15" t="s">
        <v>36</v>
      </c>
      <c r="H1549" s="15" t="s">
        <v>9330</v>
      </c>
      <c r="I1549" s="15" t="s">
        <v>9331</v>
      </c>
      <c r="J1549" s="15" t="s">
        <v>9332</v>
      </c>
      <c r="K1549" s="15" t="s">
        <v>40</v>
      </c>
      <c r="L1549" s="15" t="s">
        <v>41</v>
      </c>
      <c r="M1549" s="15" t="s">
        <v>205</v>
      </c>
      <c r="N1549" s="15" t="s">
        <v>206</v>
      </c>
      <c r="O1549" s="15" t="s">
        <v>44</v>
      </c>
      <c r="P1549" s="15" t="s">
        <v>9333</v>
      </c>
      <c r="Q1549" s="15" t="s">
        <v>9334</v>
      </c>
      <c r="R1549" s="16">
        <v>44329</v>
      </c>
      <c r="S1549" s="17" t="s">
        <v>317</v>
      </c>
      <c r="T1549" s="20">
        <f>HYPERLINK("https://vnm.spiral.com.vn//uploaded/20210513/8d95a4cd-a142-45c9-a2a9-84d79425d9bc.JPEG","08:29:50")</f>
      </c>
      <c r="U1549" s="20">
        <f>HYPERLINK("https://vnm.spiral.com.vn//uploaded/20210513/22b30bed-12c7-41f3-bdaa-322d066f53b2.JPEG","12:46:56")</f>
      </c>
      <c r="V1549" s="18">
        <v>0.17854166666666665</v>
      </c>
      <c r="W1549" s="15" t="s">
        <v>9335</v>
      </c>
      <c r="X1549" s="15" t="s">
        <v>9336</v>
      </c>
      <c r="Y1549" s="15" t="s">
        <v>35</v>
      </c>
      <c r="Z1549" s="19">
        <v>0</v>
      </c>
      <c r="AA1549" s="15">
        <v>0</v>
      </c>
      <c r="AB1549" s="15" t="s">
        <v>35</v>
      </c>
    </row>
    <row r="1550">
      <c r="A1550" s="15">
        <v>1546</v>
      </c>
      <c r="B1550" s="15" t="s">
        <v>103</v>
      </c>
      <c r="C1550" s="15" t="s">
        <v>104</v>
      </c>
      <c r="D1550" s="15" t="s">
        <v>135</v>
      </c>
      <c r="E1550" s="15" t="s">
        <v>116</v>
      </c>
      <c r="F1550" s="15" t="s">
        <v>35</v>
      </c>
      <c r="G1550" s="15" t="s">
        <v>74</v>
      </c>
      <c r="H1550" s="15" t="s">
        <v>9337</v>
      </c>
      <c r="I1550" s="15" t="s">
        <v>9338</v>
      </c>
      <c r="J1550" s="15" t="s">
        <v>9339</v>
      </c>
      <c r="K1550" s="15" t="s">
        <v>460</v>
      </c>
      <c r="L1550" s="15" t="s">
        <v>461</v>
      </c>
      <c r="M1550" s="15" t="s">
        <v>462</v>
      </c>
      <c r="N1550" s="15" t="s">
        <v>463</v>
      </c>
      <c r="O1550" s="15" t="s">
        <v>82</v>
      </c>
      <c r="P1550" s="15" t="s">
        <v>464</v>
      </c>
      <c r="Q1550" s="15" t="s">
        <v>465</v>
      </c>
      <c r="R1550" s="16">
        <v>44329</v>
      </c>
      <c r="S1550" s="17" t="s">
        <v>70</v>
      </c>
      <c r="T1550" s="20">
        <f>HYPERLINK("https://vnm.spiral.com.vn//uploaded/20210513/6720b4c0-167f-4caa-bd31-8f2bcf2a560b.JPEG","11:48:51")</f>
      </c>
      <c r="U1550" s="20">
        <f>HYPERLINK("https://vnm.spiral.com.vn//uploaded/20210513/e9e39668-ea4a-4d36-95e6-b293158146ba.JPEG","12:46:51")</f>
      </c>
      <c r="V1550" s="18">
        <v>0.04027777777777778</v>
      </c>
      <c r="W1550" s="15" t="s">
        <v>9340</v>
      </c>
      <c r="X1550" s="15" t="s">
        <v>9341</v>
      </c>
      <c r="Y1550" s="15" t="s">
        <v>35</v>
      </c>
      <c r="Z1550" s="19">
        <v>0</v>
      </c>
      <c r="AA1550" s="15">
        <v>0</v>
      </c>
      <c r="AB1550" s="15" t="s">
        <v>35</v>
      </c>
    </row>
    <row r="1551">
      <c r="A1551" s="15">
        <v>1547</v>
      </c>
      <c r="B1551" s="15" t="s">
        <v>87</v>
      </c>
      <c r="C1551" s="15" t="s">
        <v>88</v>
      </c>
      <c r="D1551" s="15" t="s">
        <v>89</v>
      </c>
      <c r="E1551" s="15" t="s">
        <v>90</v>
      </c>
      <c r="F1551" s="15" t="s">
        <v>35</v>
      </c>
      <c r="G1551" s="15" t="s">
        <v>74</v>
      </c>
      <c r="H1551" s="15" t="s">
        <v>2732</v>
      </c>
      <c r="I1551" s="15" t="s">
        <v>2733</v>
      </c>
      <c r="J1551" s="15" t="s">
        <v>2734</v>
      </c>
      <c r="K1551" s="15" t="s">
        <v>96</v>
      </c>
      <c r="L1551" s="15" t="s">
        <v>97</v>
      </c>
      <c r="M1551" s="15" t="s">
        <v>706</v>
      </c>
      <c r="N1551" s="15" t="s">
        <v>707</v>
      </c>
      <c r="O1551" s="15" t="s">
        <v>156</v>
      </c>
      <c r="P1551" s="15" t="s">
        <v>9342</v>
      </c>
      <c r="Q1551" s="15" t="s">
        <v>9343</v>
      </c>
      <c r="R1551" s="16">
        <v>44329</v>
      </c>
      <c r="S1551" s="17" t="s">
        <v>1835</v>
      </c>
      <c r="T1551" s="20">
        <f>HYPERLINK("https://vnm.spiral.com.vn//uploaded/20210513/6eb43e55-8b9c-4307-8cde-ce58547d1379.JPEG","12:45:35")</f>
      </c>
      <c r="U1551" s="18"/>
      <c r="V1551" s="18" t="s">
        <v>35</v>
      </c>
      <c r="W1551" s="15" t="s">
        <v>9344</v>
      </c>
      <c r="X1551" s="15" t="s">
        <v>35</v>
      </c>
      <c r="Y1551" s="15" t="s">
        <v>35</v>
      </c>
      <c r="Z1551" s="19">
        <v>0</v>
      </c>
      <c r="AA1551" s="15">
        <v>0</v>
      </c>
      <c r="AB1551" s="15" t="s">
        <v>35</v>
      </c>
    </row>
    <row r="1552">
      <c r="A1552" s="15">
        <v>1548</v>
      </c>
      <c r="B1552" s="15" t="s">
        <v>103</v>
      </c>
      <c r="C1552" s="15" t="s">
        <v>104</v>
      </c>
      <c r="D1552" s="15" t="s">
        <v>35</v>
      </c>
      <c r="E1552" s="15" t="s">
        <v>35</v>
      </c>
      <c r="F1552" s="15" t="s">
        <v>35</v>
      </c>
      <c r="G1552" s="15" t="s">
        <v>35</v>
      </c>
      <c r="H1552" s="15" t="s">
        <v>9345</v>
      </c>
      <c r="I1552" s="15" t="s">
        <v>9346</v>
      </c>
      <c r="J1552" s="15" t="s">
        <v>9347</v>
      </c>
      <c r="K1552" s="15" t="s">
        <v>40</v>
      </c>
      <c r="L1552" s="15" t="s">
        <v>41</v>
      </c>
      <c r="M1552" s="15" t="s">
        <v>108</v>
      </c>
      <c r="N1552" s="15" t="s">
        <v>109</v>
      </c>
      <c r="O1552" s="15" t="s">
        <v>44</v>
      </c>
      <c r="P1552" s="15" t="s">
        <v>9348</v>
      </c>
      <c r="Q1552" s="15" t="s">
        <v>9349</v>
      </c>
      <c r="R1552" s="16">
        <v>44329</v>
      </c>
      <c r="S1552" s="17" t="s">
        <v>9350</v>
      </c>
      <c r="T1552" s="20">
        <f>HYPERLINK("https://vnm.spiral.com.vn//uploaded/20210513/5456C454-2C36-4EC8-A4C2-803035C6C76E.jpg","12:45:33")</f>
      </c>
      <c r="U1552" s="18"/>
      <c r="V1552" s="18" t="s">
        <v>35</v>
      </c>
      <c r="W1552" s="15" t="s">
        <v>9351</v>
      </c>
      <c r="X1552" s="15" t="s">
        <v>35</v>
      </c>
      <c r="Y1552" s="15" t="s">
        <v>35</v>
      </c>
      <c r="Z1552" s="19">
        <v>0</v>
      </c>
      <c r="AA1552" s="15">
        <v>0</v>
      </c>
      <c r="AB1552" s="15" t="s">
        <v>35</v>
      </c>
    </row>
    <row r="1553">
      <c r="A1553" s="15">
        <v>1549</v>
      </c>
      <c r="B1553" s="15" t="s">
        <v>87</v>
      </c>
      <c r="C1553" s="15" t="s">
        <v>88</v>
      </c>
      <c r="D1553" s="15" t="s">
        <v>89</v>
      </c>
      <c r="E1553" s="15" t="s">
        <v>90</v>
      </c>
      <c r="F1553" s="15" t="s">
        <v>35</v>
      </c>
      <c r="G1553" s="15" t="s">
        <v>74</v>
      </c>
      <c r="H1553" s="15" t="s">
        <v>1276</v>
      </c>
      <c r="I1553" s="15" t="s">
        <v>1277</v>
      </c>
      <c r="J1553" s="15" t="s">
        <v>1278</v>
      </c>
      <c r="K1553" s="15" t="s">
        <v>96</v>
      </c>
      <c r="L1553" s="15" t="s">
        <v>97</v>
      </c>
      <c r="M1553" s="15" t="s">
        <v>1279</v>
      </c>
      <c r="N1553" s="15" t="s">
        <v>1280</v>
      </c>
      <c r="O1553" s="15" t="s">
        <v>156</v>
      </c>
      <c r="P1553" s="15" t="s">
        <v>9352</v>
      </c>
      <c r="Q1553" s="15" t="s">
        <v>333</v>
      </c>
      <c r="R1553" s="16">
        <v>44329</v>
      </c>
      <c r="S1553" s="17" t="s">
        <v>1835</v>
      </c>
      <c r="T1553" s="20">
        <f>HYPERLINK("https://vnm.spiral.com.vn//uploaded/20210513/DF2F400A-6E40-4F8F-88C2-11AF821EC9CB.jpg","12:45:25")</f>
      </c>
      <c r="U1553" s="18"/>
      <c r="V1553" s="18" t="s">
        <v>35</v>
      </c>
      <c r="W1553" s="15" t="s">
        <v>9353</v>
      </c>
      <c r="X1553" s="15" t="s">
        <v>35</v>
      </c>
      <c r="Y1553" s="15" t="s">
        <v>35</v>
      </c>
      <c r="Z1553" s="19">
        <v>0</v>
      </c>
      <c r="AA1553" s="15">
        <v>0</v>
      </c>
      <c r="AB1553" s="15" t="s">
        <v>35</v>
      </c>
    </row>
    <row r="1554">
      <c r="A1554" s="15">
        <v>1550</v>
      </c>
      <c r="B1554" s="15" t="s">
        <v>49</v>
      </c>
      <c r="C1554" s="15" t="s">
        <v>369</v>
      </c>
      <c r="D1554" s="15" t="s">
        <v>35</v>
      </c>
      <c r="E1554" s="15" t="s">
        <v>35</v>
      </c>
      <c r="F1554" s="15" t="s">
        <v>35</v>
      </c>
      <c r="G1554" s="15" t="s">
        <v>35</v>
      </c>
      <c r="H1554" s="15" t="s">
        <v>9354</v>
      </c>
      <c r="I1554" s="15" t="s">
        <v>9355</v>
      </c>
      <c r="J1554" s="15" t="s">
        <v>9356</v>
      </c>
      <c r="K1554" s="15" t="s">
        <v>40</v>
      </c>
      <c r="L1554" s="15" t="s">
        <v>41</v>
      </c>
      <c r="M1554" s="15" t="s">
        <v>55</v>
      </c>
      <c r="N1554" s="15" t="s">
        <v>56</v>
      </c>
      <c r="O1554" s="15" t="s">
        <v>44</v>
      </c>
      <c r="P1554" s="15" t="s">
        <v>6501</v>
      </c>
      <c r="Q1554" s="15" t="s">
        <v>6502</v>
      </c>
      <c r="R1554" s="16">
        <v>44329</v>
      </c>
      <c r="S1554" s="17" t="s">
        <v>9084</v>
      </c>
      <c r="T1554" s="20">
        <f>HYPERLINK("https://vnm.spiral.com.vn//uploaded/20210513/37340161-E099-47B2-A280-8159B457DFC0.jpg","08:34:27")</f>
      </c>
      <c r="U1554" s="20">
        <f>HYPERLINK("https://vnm.spiral.com.vn//uploaded/20210513/15FD20F2-DD78-4797-A874-808AB613A858.jpg","12:45:14")</f>
      </c>
      <c r="V1554" s="18">
        <v>0.1741550925925926</v>
      </c>
      <c r="W1554" s="15" t="s">
        <v>9357</v>
      </c>
      <c r="X1554" s="15" t="s">
        <v>9358</v>
      </c>
      <c r="Y1554" s="15" t="s">
        <v>35</v>
      </c>
      <c r="Z1554" s="19">
        <v>0</v>
      </c>
      <c r="AA1554" s="15">
        <v>0</v>
      </c>
      <c r="AB1554" s="15" t="s">
        <v>35</v>
      </c>
    </row>
    <row r="1555">
      <c r="A1555" s="15">
        <v>1551</v>
      </c>
      <c r="B1555" s="15" t="s">
        <v>343</v>
      </c>
      <c r="C1555" s="15" t="s">
        <v>344</v>
      </c>
      <c r="D1555" s="15" t="s">
        <v>35</v>
      </c>
      <c r="E1555" s="15" t="s">
        <v>35</v>
      </c>
      <c r="F1555" s="15" t="s">
        <v>35</v>
      </c>
      <c r="G1555" s="15" t="s">
        <v>74</v>
      </c>
      <c r="H1555" s="15" t="s">
        <v>9359</v>
      </c>
      <c r="I1555" s="15" t="s">
        <v>9360</v>
      </c>
      <c r="J1555" s="15" t="s">
        <v>9361</v>
      </c>
      <c r="K1555" s="15" t="s">
        <v>584</v>
      </c>
      <c r="L1555" s="15" t="s">
        <v>585</v>
      </c>
      <c r="M1555" s="15" t="s">
        <v>827</v>
      </c>
      <c r="N1555" s="15" t="s">
        <v>828</v>
      </c>
      <c r="O1555" s="15" t="s">
        <v>82</v>
      </c>
      <c r="P1555" s="15" t="s">
        <v>2319</v>
      </c>
      <c r="Q1555" s="15" t="s">
        <v>2320</v>
      </c>
      <c r="R1555" s="16">
        <v>44329</v>
      </c>
      <c r="S1555" s="17" t="s">
        <v>70</v>
      </c>
      <c r="T1555" s="20">
        <f>HYPERLINK("https://vnm.spiral.com.vn//uploaded/20210513/E8DE3EF4-CF52-4E45-A5D7-767AFC43B4BF.jpg","12:26:28")</f>
      </c>
      <c r="U1555" s="20">
        <f>HYPERLINK("https://vnm.spiral.com.vn//uploaded/20210513/B49A8F2F-0781-4F42-BAFB-77322F244F2B.jpg","12:45:02")</f>
      </c>
      <c r="V1555" s="18">
        <v>0.012893518518518518</v>
      </c>
      <c r="W1555" s="15" t="s">
        <v>9362</v>
      </c>
      <c r="X1555" s="15" t="s">
        <v>9363</v>
      </c>
      <c r="Y1555" s="15" t="s">
        <v>35</v>
      </c>
      <c r="Z1555" s="19">
        <v>0</v>
      </c>
      <c r="AA1555" s="15">
        <v>0</v>
      </c>
      <c r="AB1555" s="15" t="s">
        <v>35</v>
      </c>
    </row>
    <row r="1556">
      <c r="A1556" s="15">
        <v>1552</v>
      </c>
      <c r="B1556" s="15" t="s">
        <v>343</v>
      </c>
      <c r="C1556" s="15" t="s">
        <v>344</v>
      </c>
      <c r="D1556" s="15" t="s">
        <v>35</v>
      </c>
      <c r="E1556" s="15" t="s">
        <v>35</v>
      </c>
      <c r="F1556" s="15" t="s">
        <v>35</v>
      </c>
      <c r="G1556" s="15" t="s">
        <v>36</v>
      </c>
      <c r="H1556" s="15" t="s">
        <v>4379</v>
      </c>
      <c r="I1556" s="15" t="s">
        <v>4380</v>
      </c>
      <c r="J1556" s="15" t="s">
        <v>4381</v>
      </c>
      <c r="K1556" s="15" t="s">
        <v>40</v>
      </c>
      <c r="L1556" s="15" t="s">
        <v>41</v>
      </c>
      <c r="M1556" s="15" t="s">
        <v>409</v>
      </c>
      <c r="N1556" s="15" t="s">
        <v>410</v>
      </c>
      <c r="O1556" s="15" t="s">
        <v>44</v>
      </c>
      <c r="P1556" s="15" t="s">
        <v>4382</v>
      </c>
      <c r="Q1556" s="15" t="s">
        <v>4383</v>
      </c>
      <c r="R1556" s="16">
        <v>44329</v>
      </c>
      <c r="S1556" s="17" t="s">
        <v>9084</v>
      </c>
      <c r="T1556" s="20">
        <f>HYPERLINK("https://vnm.spiral.com.vn//uploaded/20210513/13EB29E3-C25F-43BB-AAC7-8781BD33DC9E.jpg","08:27:26")</f>
      </c>
      <c r="U1556" s="20">
        <f>HYPERLINK("https://vnm.spiral.com.vn//uploaded/20210513/4DFB1E88-BFE3-4A26-B4E1-858DBCFB6081.jpg","12:44:34")</f>
      </c>
      <c r="V1556" s="18">
        <v>0.17856481481481482</v>
      </c>
      <c r="W1556" s="15" t="s">
        <v>9364</v>
      </c>
      <c r="X1556" s="15" t="s">
        <v>9365</v>
      </c>
      <c r="Y1556" s="15" t="s">
        <v>35</v>
      </c>
      <c r="Z1556" s="19">
        <v>0</v>
      </c>
      <c r="AA1556" s="15">
        <v>0</v>
      </c>
      <c r="AB1556" s="15" t="s">
        <v>35</v>
      </c>
    </row>
    <row r="1557">
      <c r="A1557" s="15">
        <v>1553</v>
      </c>
      <c r="B1557" s="15" t="s">
        <v>103</v>
      </c>
      <c r="C1557" s="15" t="s">
        <v>104</v>
      </c>
      <c r="D1557" s="15" t="s">
        <v>35</v>
      </c>
      <c r="E1557" s="15" t="s">
        <v>35</v>
      </c>
      <c r="F1557" s="15" t="s">
        <v>35</v>
      </c>
      <c r="G1557" s="15" t="s">
        <v>36</v>
      </c>
      <c r="H1557" s="15" t="s">
        <v>9366</v>
      </c>
      <c r="I1557" s="15" t="s">
        <v>9367</v>
      </c>
      <c r="J1557" s="15" t="s">
        <v>9368</v>
      </c>
      <c r="K1557" s="15" t="s">
        <v>40</v>
      </c>
      <c r="L1557" s="15" t="s">
        <v>41</v>
      </c>
      <c r="M1557" s="15" t="s">
        <v>108</v>
      </c>
      <c r="N1557" s="15" t="s">
        <v>109</v>
      </c>
      <c r="O1557" s="15" t="s">
        <v>44</v>
      </c>
      <c r="P1557" s="15" t="s">
        <v>9369</v>
      </c>
      <c r="Q1557" s="15" t="s">
        <v>9370</v>
      </c>
      <c r="R1557" s="16">
        <v>44329</v>
      </c>
      <c r="S1557" s="17" t="s">
        <v>2925</v>
      </c>
      <c r="T1557" s="20">
        <f>HYPERLINK("https://vnm.spiral.com.vn//uploaded/20210513/85b5f225-215a-4f03-a552-bba710ab34e8.JPEG","12:44:03")</f>
      </c>
      <c r="U1557" s="18"/>
      <c r="V1557" s="18" t="s">
        <v>35</v>
      </c>
      <c r="W1557" s="15" t="s">
        <v>9371</v>
      </c>
      <c r="X1557" s="15" t="s">
        <v>35</v>
      </c>
      <c r="Y1557" s="15" t="s">
        <v>35</v>
      </c>
      <c r="Z1557" s="19">
        <v>0</v>
      </c>
      <c r="AA1557" s="15">
        <v>0</v>
      </c>
      <c r="AB1557" s="15" t="s">
        <v>35</v>
      </c>
    </row>
    <row r="1558">
      <c r="A1558" s="15">
        <v>1554</v>
      </c>
      <c r="B1558" s="15" t="s">
        <v>246</v>
      </c>
      <c r="C1558" s="15" t="s">
        <v>259</v>
      </c>
      <c r="D1558" s="15" t="s">
        <v>35</v>
      </c>
      <c r="E1558" s="15" t="s">
        <v>35</v>
      </c>
      <c r="F1558" s="15" t="s">
        <v>943</v>
      </c>
      <c r="G1558" s="15" t="s">
        <v>36</v>
      </c>
      <c r="H1558" s="15" t="s">
        <v>9372</v>
      </c>
      <c r="I1558" s="15" t="s">
        <v>9373</v>
      </c>
      <c r="J1558" s="15" t="s">
        <v>9374</v>
      </c>
      <c r="K1558" s="15" t="s">
        <v>40</v>
      </c>
      <c r="L1558" s="15" t="s">
        <v>41</v>
      </c>
      <c r="M1558" s="15" t="s">
        <v>252</v>
      </c>
      <c r="N1558" s="15" t="s">
        <v>253</v>
      </c>
      <c r="O1558" s="15" t="s">
        <v>44</v>
      </c>
      <c r="P1558" s="15" t="s">
        <v>9375</v>
      </c>
      <c r="Q1558" s="15" t="s">
        <v>2529</v>
      </c>
      <c r="R1558" s="16">
        <v>44329</v>
      </c>
      <c r="S1558" s="17" t="s">
        <v>317</v>
      </c>
      <c r="T1558" s="20">
        <f>HYPERLINK("https://vnm.spiral.com.vn//uploaded/20210513/b1c3f6b9-1c2f-46c7-a803-32038382bc4f.JPEG","12:43:39")</f>
      </c>
      <c r="U1558" s="20">
        <f>HYPERLINK("https://vnm.spiral.com.vn//uploaded/20210513/de2674d7-aacc-48b0-8712-43ccf9203391.JPEG","12:43:55")</f>
      </c>
      <c r="V1558" s="18">
        <v>0.00018518518518518518</v>
      </c>
      <c r="W1558" s="15" t="s">
        <v>9376</v>
      </c>
      <c r="X1558" s="15" t="s">
        <v>9377</v>
      </c>
      <c r="Y1558" s="15" t="s">
        <v>35</v>
      </c>
      <c r="Z1558" s="19">
        <v>0</v>
      </c>
      <c r="AA1558" s="15">
        <v>0</v>
      </c>
      <c r="AB1558" s="15" t="s">
        <v>35</v>
      </c>
    </row>
    <row r="1559">
      <c r="A1559" s="15">
        <v>1555</v>
      </c>
      <c r="B1559" s="15" t="s">
        <v>343</v>
      </c>
      <c r="C1559" s="15" t="s">
        <v>344</v>
      </c>
      <c r="D1559" s="15" t="s">
        <v>35</v>
      </c>
      <c r="E1559" s="15" t="s">
        <v>35</v>
      </c>
      <c r="F1559" s="15" t="s">
        <v>35</v>
      </c>
      <c r="G1559" s="15" t="s">
        <v>74</v>
      </c>
      <c r="H1559" s="15" t="s">
        <v>4555</v>
      </c>
      <c r="I1559" s="15" t="s">
        <v>4556</v>
      </c>
      <c r="J1559" s="15" t="s">
        <v>4557</v>
      </c>
      <c r="K1559" s="15" t="s">
        <v>897</v>
      </c>
      <c r="L1559" s="15" t="s">
        <v>898</v>
      </c>
      <c r="M1559" s="15" t="s">
        <v>4558</v>
      </c>
      <c r="N1559" s="15" t="s">
        <v>4559</v>
      </c>
      <c r="O1559" s="15" t="s">
        <v>156</v>
      </c>
      <c r="P1559" s="15" t="s">
        <v>9378</v>
      </c>
      <c r="Q1559" s="15" t="s">
        <v>9379</v>
      </c>
      <c r="R1559" s="16">
        <v>44329</v>
      </c>
      <c r="S1559" s="17" t="s">
        <v>8687</v>
      </c>
      <c r="T1559" s="20">
        <f>HYPERLINK("https://vnm.spiral.com.vn//uploaded/20210513/25BB57D7-7DB6-41EE-A294-15F87EF16BF3.jpg","12:43:36")</f>
      </c>
      <c r="U1559" s="18"/>
      <c r="V1559" s="18" t="s">
        <v>35</v>
      </c>
      <c r="W1559" s="15" t="s">
        <v>9380</v>
      </c>
      <c r="X1559" s="15" t="s">
        <v>35</v>
      </c>
      <c r="Y1559" s="15" t="s">
        <v>35</v>
      </c>
      <c r="Z1559" s="19">
        <v>0</v>
      </c>
      <c r="AA1559" s="15">
        <v>0</v>
      </c>
      <c r="AB1559" s="15" t="s">
        <v>35</v>
      </c>
    </row>
    <row r="1560">
      <c r="A1560" s="15">
        <v>1556</v>
      </c>
      <c r="B1560" s="15" t="s">
        <v>87</v>
      </c>
      <c r="C1560" s="15" t="s">
        <v>88</v>
      </c>
      <c r="D1560" s="15" t="s">
        <v>135</v>
      </c>
      <c r="E1560" s="15" t="s">
        <v>116</v>
      </c>
      <c r="F1560" s="15" t="s">
        <v>35</v>
      </c>
      <c r="G1560" s="15" t="s">
        <v>74</v>
      </c>
      <c r="H1560" s="15" t="s">
        <v>9381</v>
      </c>
      <c r="I1560" s="15" t="s">
        <v>9382</v>
      </c>
      <c r="J1560" s="15" t="s">
        <v>9383</v>
      </c>
      <c r="K1560" s="15" t="s">
        <v>390</v>
      </c>
      <c r="L1560" s="15" t="s">
        <v>391</v>
      </c>
      <c r="M1560" s="15" t="s">
        <v>392</v>
      </c>
      <c r="N1560" s="15" t="s">
        <v>393</v>
      </c>
      <c r="O1560" s="15" t="s">
        <v>82</v>
      </c>
      <c r="P1560" s="15" t="s">
        <v>1415</v>
      </c>
      <c r="Q1560" s="15" t="s">
        <v>1416</v>
      </c>
      <c r="R1560" s="16">
        <v>44329</v>
      </c>
      <c r="S1560" s="17" t="s">
        <v>70</v>
      </c>
      <c r="T1560" s="20">
        <f>HYPERLINK("https://vnm.spiral.com.vn//uploaded/20210513/b7482f62-c757-4690-971d-93358c1c6cc2.jpg","12:07:55")</f>
      </c>
      <c r="U1560" s="20">
        <f>HYPERLINK("https://vnm.spiral.com.vn//uploaded/20210513/f497764a-9db8-4b30-9cd9-9f0e0271d674.jpg","12:43:20")</f>
      </c>
      <c r="V1560" s="18">
        <v>0.02459490740740741</v>
      </c>
      <c r="W1560" s="15" t="s">
        <v>9384</v>
      </c>
      <c r="X1560" s="15" t="s">
        <v>9385</v>
      </c>
      <c r="Y1560" s="15" t="s">
        <v>35</v>
      </c>
      <c r="Z1560" s="19">
        <v>0</v>
      </c>
      <c r="AA1560" s="15">
        <v>0</v>
      </c>
      <c r="AB1560" s="15" t="s">
        <v>35</v>
      </c>
    </row>
    <row r="1561">
      <c r="A1561" s="15">
        <v>1557</v>
      </c>
      <c r="B1561" s="15" t="s">
        <v>61</v>
      </c>
      <c r="C1561" s="15" t="s">
        <v>442</v>
      </c>
      <c r="D1561" s="15" t="s">
        <v>35</v>
      </c>
      <c r="E1561" s="15" t="s">
        <v>35</v>
      </c>
      <c r="F1561" s="15" t="s">
        <v>35</v>
      </c>
      <c r="G1561" s="15" t="s">
        <v>36</v>
      </c>
      <c r="H1561" s="15" t="s">
        <v>9386</v>
      </c>
      <c r="I1561" s="15" t="s">
        <v>9387</v>
      </c>
      <c r="J1561" s="15" t="s">
        <v>9388</v>
      </c>
      <c r="K1561" s="15" t="s">
        <v>40</v>
      </c>
      <c r="L1561" s="15" t="s">
        <v>41</v>
      </c>
      <c r="M1561" s="15" t="s">
        <v>205</v>
      </c>
      <c r="N1561" s="15" t="s">
        <v>206</v>
      </c>
      <c r="O1561" s="15" t="s">
        <v>44</v>
      </c>
      <c r="P1561" s="15" t="s">
        <v>9389</v>
      </c>
      <c r="Q1561" s="15" t="s">
        <v>9390</v>
      </c>
      <c r="R1561" s="16">
        <v>44329</v>
      </c>
      <c r="S1561" s="17" t="s">
        <v>59</v>
      </c>
      <c r="T1561" s="20">
        <f>HYPERLINK("https://vnm.spiral.com.vn//uploaded/20210513/6C86AED3-A245-4E7D-AEA1-D9AC4D582883.jpg","12:42:13")</f>
      </c>
      <c r="U1561" s="18"/>
      <c r="V1561" s="18" t="s">
        <v>35</v>
      </c>
      <c r="W1561" s="15" t="s">
        <v>9391</v>
      </c>
      <c r="X1561" s="15" t="s">
        <v>35</v>
      </c>
      <c r="Y1561" s="15" t="s">
        <v>35</v>
      </c>
      <c r="Z1561" s="19">
        <v>0</v>
      </c>
      <c r="AA1561" s="15">
        <v>0</v>
      </c>
      <c r="AB1561" s="15" t="s">
        <v>35</v>
      </c>
    </row>
    <row r="1562">
      <c r="A1562" s="15">
        <v>1558</v>
      </c>
      <c r="B1562" s="15" t="s">
        <v>103</v>
      </c>
      <c r="C1562" s="15" t="s">
        <v>186</v>
      </c>
      <c r="D1562" s="15" t="s">
        <v>432</v>
      </c>
      <c r="E1562" s="15" t="s">
        <v>116</v>
      </c>
      <c r="F1562" s="15" t="s">
        <v>35</v>
      </c>
      <c r="G1562" s="15" t="s">
        <v>74</v>
      </c>
      <c r="H1562" s="15" t="s">
        <v>9392</v>
      </c>
      <c r="I1562" s="15" t="s">
        <v>9393</v>
      </c>
      <c r="J1562" s="15" t="s">
        <v>9394</v>
      </c>
      <c r="K1562" s="15" t="s">
        <v>190</v>
      </c>
      <c r="L1562" s="15" t="s">
        <v>191</v>
      </c>
      <c r="M1562" s="15" t="s">
        <v>436</v>
      </c>
      <c r="N1562" s="15" t="s">
        <v>437</v>
      </c>
      <c r="O1562" s="15" t="s">
        <v>98</v>
      </c>
      <c r="P1562" s="15" t="s">
        <v>438</v>
      </c>
      <c r="Q1562" s="15" t="s">
        <v>439</v>
      </c>
      <c r="R1562" s="16">
        <v>44329</v>
      </c>
      <c r="S1562" s="17" t="s">
        <v>70</v>
      </c>
      <c r="T1562" s="20">
        <f>HYPERLINK("https://vnm.spiral.com.vn//uploaded/20210513/D322E951-AE8B-44EC-B258-30493D334E97.jpg","11:33:11")</f>
      </c>
      <c r="U1562" s="20">
        <f>HYPERLINK("https://vnm.spiral.com.vn//uploaded/20210513/64FF0DAE-5BAE-4051-BF0A-8FA482364ED2.jpg","12:41:48")</f>
      </c>
      <c r="V1562" s="18">
        <v>0.047650462962962964</v>
      </c>
      <c r="W1562" s="15" t="s">
        <v>9395</v>
      </c>
      <c r="X1562" s="15" t="s">
        <v>8876</v>
      </c>
      <c r="Y1562" s="15" t="s">
        <v>35</v>
      </c>
      <c r="Z1562" s="19">
        <v>0</v>
      </c>
      <c r="AA1562" s="15">
        <v>0</v>
      </c>
      <c r="AB1562" s="15" t="s">
        <v>35</v>
      </c>
    </row>
    <row r="1563">
      <c r="A1563" s="15">
        <v>1559</v>
      </c>
      <c r="B1563" s="15" t="s">
        <v>87</v>
      </c>
      <c r="C1563" s="15" t="s">
        <v>88</v>
      </c>
      <c r="D1563" s="15" t="s">
        <v>135</v>
      </c>
      <c r="E1563" s="15" t="s">
        <v>116</v>
      </c>
      <c r="F1563" s="15" t="s">
        <v>35</v>
      </c>
      <c r="G1563" s="15" t="s">
        <v>74</v>
      </c>
      <c r="H1563" s="15" t="s">
        <v>9396</v>
      </c>
      <c r="I1563" s="15" t="s">
        <v>9397</v>
      </c>
      <c r="J1563" s="15" t="s">
        <v>9398</v>
      </c>
      <c r="K1563" s="15" t="s">
        <v>390</v>
      </c>
      <c r="L1563" s="15" t="s">
        <v>391</v>
      </c>
      <c r="M1563" s="15" t="s">
        <v>392</v>
      </c>
      <c r="N1563" s="15" t="s">
        <v>393</v>
      </c>
      <c r="O1563" s="15" t="s">
        <v>82</v>
      </c>
      <c r="P1563" s="15" t="s">
        <v>1265</v>
      </c>
      <c r="Q1563" s="15" t="s">
        <v>1266</v>
      </c>
      <c r="R1563" s="16">
        <v>44329</v>
      </c>
      <c r="S1563" s="17" t="s">
        <v>70</v>
      </c>
      <c r="T1563" s="20">
        <f>HYPERLINK("https://vnm.spiral.com.vn//uploaded/20210513/b034946f-5e86-4a42-8b00-4599d990db84.JPEG","11:50:48")</f>
      </c>
      <c r="U1563" s="20">
        <f>HYPERLINK("https://vnm.spiral.com.vn//uploaded/20210513/f55df753-e479-4240-9afb-11ab0b441c55.JPEG","12:41:17")</f>
      </c>
      <c r="V1563" s="18">
        <v>0.03505787037037037</v>
      </c>
      <c r="W1563" s="15" t="s">
        <v>9399</v>
      </c>
      <c r="X1563" s="15" t="s">
        <v>9400</v>
      </c>
      <c r="Y1563" s="15" t="s">
        <v>35</v>
      </c>
      <c r="Z1563" s="19">
        <v>0</v>
      </c>
      <c r="AA1563" s="15">
        <v>0</v>
      </c>
      <c r="AB1563" s="15" t="s">
        <v>35</v>
      </c>
    </row>
    <row r="1564">
      <c r="A1564" s="15">
        <v>1560</v>
      </c>
      <c r="B1564" s="15" t="s">
        <v>343</v>
      </c>
      <c r="C1564" s="15" t="s">
        <v>344</v>
      </c>
      <c r="D1564" s="15" t="s">
        <v>432</v>
      </c>
      <c r="E1564" s="15" t="s">
        <v>116</v>
      </c>
      <c r="F1564" s="15" t="s">
        <v>35</v>
      </c>
      <c r="G1564" s="15" t="s">
        <v>74</v>
      </c>
      <c r="H1564" s="15" t="s">
        <v>9401</v>
      </c>
      <c r="I1564" s="15" t="s">
        <v>9402</v>
      </c>
      <c r="J1564" s="15" t="s">
        <v>9403</v>
      </c>
      <c r="K1564" s="15" t="s">
        <v>1168</v>
      </c>
      <c r="L1564" s="15" t="s">
        <v>1169</v>
      </c>
      <c r="M1564" s="15" t="s">
        <v>1170</v>
      </c>
      <c r="N1564" s="15" t="s">
        <v>1171</v>
      </c>
      <c r="O1564" s="15" t="s">
        <v>82</v>
      </c>
      <c r="P1564" s="15" t="s">
        <v>2597</v>
      </c>
      <c r="Q1564" s="15" t="s">
        <v>2598</v>
      </c>
      <c r="R1564" s="16">
        <v>44329</v>
      </c>
      <c r="S1564" s="17" t="s">
        <v>70</v>
      </c>
      <c r="T1564" s="20">
        <f>HYPERLINK("https://vnm.spiral.com.vn//uploaded/20210513/4a9aff4f-b1e2-4f76-883c-7d72b9cd48e2.JPEG","11:16:55")</f>
      </c>
      <c r="U1564" s="20">
        <f>HYPERLINK("https://vnm.spiral.com.vn//uploaded/20210513/0034df50-675d-466e-a418-31d039d090ec.JPEG","12:40:21")</f>
      </c>
      <c r="V1564" s="18">
        <v>0.05793981481481481</v>
      </c>
      <c r="W1564" s="15" t="s">
        <v>9404</v>
      </c>
      <c r="X1564" s="15" t="s">
        <v>9405</v>
      </c>
      <c r="Y1564" s="15" t="s">
        <v>35</v>
      </c>
      <c r="Z1564" s="19">
        <v>0</v>
      </c>
      <c r="AA1564" s="15">
        <v>0</v>
      </c>
      <c r="AB1564" s="15" t="s">
        <v>35</v>
      </c>
    </row>
    <row r="1565">
      <c r="A1565" s="15">
        <v>1561</v>
      </c>
      <c r="B1565" s="15" t="s">
        <v>61</v>
      </c>
      <c r="C1565" s="15" t="s">
        <v>442</v>
      </c>
      <c r="D1565" s="15" t="s">
        <v>35</v>
      </c>
      <c r="E1565" s="15" t="s">
        <v>35</v>
      </c>
      <c r="F1565" s="15" t="s">
        <v>35</v>
      </c>
      <c r="G1565" s="15" t="s">
        <v>36</v>
      </c>
      <c r="H1565" s="15" t="s">
        <v>9406</v>
      </c>
      <c r="I1565" s="15" t="s">
        <v>9407</v>
      </c>
      <c r="J1565" s="15" t="s">
        <v>9408</v>
      </c>
      <c r="K1565" s="15" t="s">
        <v>40</v>
      </c>
      <c r="L1565" s="15" t="s">
        <v>41</v>
      </c>
      <c r="M1565" s="15" t="s">
        <v>205</v>
      </c>
      <c r="N1565" s="15" t="s">
        <v>206</v>
      </c>
      <c r="O1565" s="15" t="s">
        <v>44</v>
      </c>
      <c r="P1565" s="15" t="s">
        <v>9409</v>
      </c>
      <c r="Q1565" s="15" t="s">
        <v>9410</v>
      </c>
      <c r="R1565" s="16">
        <v>44329</v>
      </c>
      <c r="S1565" s="17" t="s">
        <v>9411</v>
      </c>
      <c r="T1565" s="20">
        <f>HYPERLINK("https://vnm.spiral.com.vn//uploaded/20210513/5C5860D4-31D4-4952-8939-AC1AB60901D4.jpg","12:39:19")</f>
      </c>
      <c r="U1565" s="18"/>
      <c r="V1565" s="18" t="s">
        <v>35</v>
      </c>
      <c r="W1565" s="15" t="s">
        <v>9412</v>
      </c>
      <c r="X1565" s="15" t="s">
        <v>35</v>
      </c>
      <c r="Y1565" s="15" t="s">
        <v>35</v>
      </c>
      <c r="Z1565" s="19">
        <v>0</v>
      </c>
      <c r="AA1565" s="15">
        <v>0</v>
      </c>
      <c r="AB1565" s="15" t="s">
        <v>35</v>
      </c>
    </row>
    <row r="1566">
      <c r="A1566" s="15">
        <v>1562</v>
      </c>
      <c r="B1566" s="15" t="s">
        <v>103</v>
      </c>
      <c r="C1566" s="15" t="s">
        <v>186</v>
      </c>
      <c r="D1566" s="15" t="s">
        <v>35</v>
      </c>
      <c r="E1566" s="15" t="s">
        <v>35</v>
      </c>
      <c r="F1566" s="15" t="s">
        <v>35</v>
      </c>
      <c r="G1566" s="15" t="s">
        <v>36</v>
      </c>
      <c r="H1566" s="15" t="s">
        <v>7160</v>
      </c>
      <c r="I1566" s="15" t="s">
        <v>7161</v>
      </c>
      <c r="J1566" s="15" t="s">
        <v>7162</v>
      </c>
      <c r="K1566" s="15" t="s">
        <v>40</v>
      </c>
      <c r="L1566" s="15" t="s">
        <v>41</v>
      </c>
      <c r="M1566" s="15" t="s">
        <v>565</v>
      </c>
      <c r="N1566" s="15" t="s">
        <v>566</v>
      </c>
      <c r="O1566" s="15" t="s">
        <v>44</v>
      </c>
      <c r="P1566" s="15" t="s">
        <v>7163</v>
      </c>
      <c r="Q1566" s="15" t="s">
        <v>2685</v>
      </c>
      <c r="R1566" s="16">
        <v>44329</v>
      </c>
      <c r="S1566" s="17" t="s">
        <v>9084</v>
      </c>
      <c r="T1566" s="20">
        <f>HYPERLINK("https://vnm.spiral.com.vn//uploaded/20210513/44647b21-faeb-42fc-b78a-d37c700d2e4c.JPEG","08:19:02")</f>
      </c>
      <c r="U1566" s="20">
        <f>HYPERLINK("https://vnm.spiral.com.vn//uploaded/20210513/99661b68-2cb5-420c-ba85-e6f30f85ae2c.JPEG","12:38:50")</f>
      </c>
      <c r="V1566" s="18">
        <v>0.18041666666666667</v>
      </c>
      <c r="W1566" s="15" t="s">
        <v>9413</v>
      </c>
      <c r="X1566" s="15" t="s">
        <v>9414</v>
      </c>
      <c r="Y1566" s="15" t="s">
        <v>35</v>
      </c>
      <c r="Z1566" s="19">
        <v>0</v>
      </c>
      <c r="AA1566" s="15">
        <v>0</v>
      </c>
      <c r="AB1566" s="15" t="s">
        <v>35</v>
      </c>
    </row>
    <row r="1567">
      <c r="A1567" s="15">
        <v>1563</v>
      </c>
      <c r="B1567" s="15" t="s">
        <v>87</v>
      </c>
      <c r="C1567" s="15" t="s">
        <v>88</v>
      </c>
      <c r="D1567" s="15" t="s">
        <v>610</v>
      </c>
      <c r="E1567" s="15" t="s">
        <v>90</v>
      </c>
      <c r="F1567" s="15" t="s">
        <v>35</v>
      </c>
      <c r="G1567" s="15" t="s">
        <v>74</v>
      </c>
      <c r="H1567" s="15" t="s">
        <v>9415</v>
      </c>
      <c r="I1567" s="15" t="s">
        <v>9416</v>
      </c>
      <c r="J1567" s="15" t="s">
        <v>9417</v>
      </c>
      <c r="K1567" s="15" t="s">
        <v>614</v>
      </c>
      <c r="L1567" s="15" t="s">
        <v>615</v>
      </c>
      <c r="M1567" s="15" t="s">
        <v>616</v>
      </c>
      <c r="N1567" s="15" t="s">
        <v>617</v>
      </c>
      <c r="O1567" s="15" t="s">
        <v>82</v>
      </c>
      <c r="P1567" s="15" t="s">
        <v>1251</v>
      </c>
      <c r="Q1567" s="15" t="s">
        <v>1252</v>
      </c>
      <c r="R1567" s="16">
        <v>44329</v>
      </c>
      <c r="S1567" s="17" t="s">
        <v>70</v>
      </c>
      <c r="T1567" s="20">
        <f>HYPERLINK("https://vnm.spiral.com.vn//uploaded/20210513/C9C47D77-B6A8-4D4D-846B-684DC4A4E0E4.jpg","12:23:15")</f>
      </c>
      <c r="U1567" s="20">
        <f>HYPERLINK("https://vnm.spiral.com.vn//uploaded/20210513/FC7641B7-EC7A-45E6-8199-80BFE341B5E7.jpg","12:38:23")</f>
      </c>
      <c r="V1567" s="18">
        <v>0.01050925925925926</v>
      </c>
      <c r="W1567" s="15" t="s">
        <v>9418</v>
      </c>
      <c r="X1567" s="15" t="s">
        <v>9419</v>
      </c>
      <c r="Y1567" s="15" t="s">
        <v>35</v>
      </c>
      <c r="Z1567" s="19">
        <v>0</v>
      </c>
      <c r="AA1567" s="15">
        <v>0</v>
      </c>
      <c r="AB1567" s="15" t="s">
        <v>35</v>
      </c>
    </row>
    <row r="1568">
      <c r="A1568" s="15">
        <v>1564</v>
      </c>
      <c r="B1568" s="15" t="s">
        <v>87</v>
      </c>
      <c r="C1568" s="15" t="s">
        <v>88</v>
      </c>
      <c r="D1568" s="15" t="s">
        <v>135</v>
      </c>
      <c r="E1568" s="15" t="s">
        <v>116</v>
      </c>
      <c r="F1568" s="15" t="s">
        <v>35</v>
      </c>
      <c r="G1568" s="15" t="s">
        <v>74</v>
      </c>
      <c r="H1568" s="15" t="s">
        <v>9420</v>
      </c>
      <c r="I1568" s="15" t="s">
        <v>9421</v>
      </c>
      <c r="J1568" s="15" t="s">
        <v>9422</v>
      </c>
      <c r="K1568" s="15" t="s">
        <v>390</v>
      </c>
      <c r="L1568" s="15" t="s">
        <v>391</v>
      </c>
      <c r="M1568" s="15" t="s">
        <v>392</v>
      </c>
      <c r="N1568" s="15" t="s">
        <v>393</v>
      </c>
      <c r="O1568" s="15" t="s">
        <v>82</v>
      </c>
      <c r="P1568" s="15" t="s">
        <v>5125</v>
      </c>
      <c r="Q1568" s="15" t="s">
        <v>5126</v>
      </c>
      <c r="R1568" s="16">
        <v>44329</v>
      </c>
      <c r="S1568" s="17" t="s">
        <v>70</v>
      </c>
      <c r="T1568" s="20">
        <f>HYPERLINK("https://vnm.spiral.com.vn//uploaded/20210513/91e421b4-c673-412c-a308-06b73d5d8ad6.JPEG","11:48:08")</f>
      </c>
      <c r="U1568" s="20">
        <f>HYPERLINK("https://vnm.spiral.com.vn//uploaded/20210513/6c98cb1f-9107-4051-9bbd-1b1099f74188.JPEG","12:38:02")</f>
      </c>
      <c r="V1568" s="18">
        <v>0.034652777777777775</v>
      </c>
      <c r="W1568" s="15" t="s">
        <v>9423</v>
      </c>
      <c r="X1568" s="15" t="s">
        <v>9424</v>
      </c>
      <c r="Y1568" s="15" t="s">
        <v>35</v>
      </c>
      <c r="Z1568" s="19">
        <v>0</v>
      </c>
      <c r="AA1568" s="15">
        <v>0</v>
      </c>
      <c r="AB1568" s="15" t="s">
        <v>35</v>
      </c>
    </row>
    <row r="1569">
      <c r="A1569" s="15">
        <v>1565</v>
      </c>
      <c r="B1569" s="15" t="s">
        <v>87</v>
      </c>
      <c r="C1569" s="15" t="s">
        <v>88</v>
      </c>
      <c r="D1569" s="15" t="s">
        <v>135</v>
      </c>
      <c r="E1569" s="15" t="s">
        <v>116</v>
      </c>
      <c r="F1569" s="15" t="s">
        <v>35</v>
      </c>
      <c r="G1569" s="15" t="s">
        <v>74</v>
      </c>
      <c r="H1569" s="15" t="s">
        <v>9425</v>
      </c>
      <c r="I1569" s="15" t="s">
        <v>9426</v>
      </c>
      <c r="J1569" s="15" t="s">
        <v>9427</v>
      </c>
      <c r="K1569" s="15" t="s">
        <v>390</v>
      </c>
      <c r="L1569" s="15" t="s">
        <v>391</v>
      </c>
      <c r="M1569" s="15" t="s">
        <v>392</v>
      </c>
      <c r="N1569" s="15" t="s">
        <v>393</v>
      </c>
      <c r="O1569" s="15" t="s">
        <v>82</v>
      </c>
      <c r="P1569" s="15" t="s">
        <v>481</v>
      </c>
      <c r="Q1569" s="15" t="s">
        <v>482</v>
      </c>
      <c r="R1569" s="16">
        <v>44329</v>
      </c>
      <c r="S1569" s="17" t="s">
        <v>70</v>
      </c>
      <c r="T1569" s="20">
        <f>HYPERLINK("https://vnm.spiral.com.vn//uploaded/20210513/1b1034a0-7e77-42a3-8cd8-70d3f1660a8f.JPEG","11:36:53")</f>
      </c>
      <c r="U1569" s="20">
        <f>HYPERLINK("https://vnm.spiral.com.vn//uploaded/20210513/70aa6155-b5ba-4d90-8802-becd9008ee49.JPEG","12:37:11")</f>
      </c>
      <c r="V1569" s="18">
        <v>0.041875</v>
      </c>
      <c r="W1569" s="15" t="s">
        <v>9428</v>
      </c>
      <c r="X1569" s="15" t="s">
        <v>9429</v>
      </c>
      <c r="Y1569" s="15" t="s">
        <v>35</v>
      </c>
      <c r="Z1569" s="19">
        <v>0</v>
      </c>
      <c r="AA1569" s="15">
        <v>0</v>
      </c>
      <c r="AB1569" s="15" t="s">
        <v>35</v>
      </c>
    </row>
    <row r="1570">
      <c r="A1570" s="15">
        <v>1566</v>
      </c>
      <c r="B1570" s="15" t="s">
        <v>49</v>
      </c>
      <c r="C1570" s="15" t="s">
        <v>162</v>
      </c>
      <c r="D1570" s="15" t="s">
        <v>35</v>
      </c>
      <c r="E1570" s="15" t="s">
        <v>35</v>
      </c>
      <c r="F1570" s="15" t="s">
        <v>1221</v>
      </c>
      <c r="G1570" s="15" t="s">
        <v>36</v>
      </c>
      <c r="H1570" s="15" t="s">
        <v>8347</v>
      </c>
      <c r="I1570" s="15" t="s">
        <v>8348</v>
      </c>
      <c r="J1570" s="15" t="s">
        <v>1224</v>
      </c>
      <c r="K1570" s="15" t="s">
        <v>40</v>
      </c>
      <c r="L1570" s="15" t="s">
        <v>41</v>
      </c>
      <c r="M1570" s="15" t="s">
        <v>55</v>
      </c>
      <c r="N1570" s="15" t="s">
        <v>56</v>
      </c>
      <c r="O1570" s="15" t="s">
        <v>44</v>
      </c>
      <c r="P1570" s="15" t="s">
        <v>8349</v>
      </c>
      <c r="Q1570" s="15" t="s">
        <v>8350</v>
      </c>
      <c r="R1570" s="16">
        <v>44329</v>
      </c>
      <c r="S1570" s="17" t="s">
        <v>317</v>
      </c>
      <c r="T1570" s="20">
        <f>HYPERLINK("https://vnm.spiral.com.vn//uploaded/20210513/63c7c0dd-f64a-4f47-a987-47f461a93544.JPEG","08:02:47")</f>
      </c>
      <c r="U1570" s="20">
        <f>HYPERLINK("https://vnm.spiral.com.vn//uploaded/20210513/2d6ea949-cb1a-4ade-b620-83573d584bee.JPEG","12:37:03")</f>
      </c>
      <c r="V1570" s="18">
        <v>0.19046296296296297</v>
      </c>
      <c r="W1570" s="15" t="s">
        <v>8351</v>
      </c>
      <c r="X1570" s="15" t="s">
        <v>8351</v>
      </c>
      <c r="Y1570" s="15" t="s">
        <v>35</v>
      </c>
      <c r="Z1570" s="19">
        <v>0</v>
      </c>
      <c r="AA1570" s="15">
        <v>0</v>
      </c>
      <c r="AB1570" s="15" t="s">
        <v>35</v>
      </c>
    </row>
    <row r="1571">
      <c r="A1571" s="15">
        <v>1567</v>
      </c>
      <c r="B1571" s="15" t="s">
        <v>87</v>
      </c>
      <c r="C1571" s="15" t="s">
        <v>88</v>
      </c>
      <c r="D1571" s="15" t="s">
        <v>115</v>
      </c>
      <c r="E1571" s="15" t="s">
        <v>116</v>
      </c>
      <c r="F1571" s="15" t="s">
        <v>35</v>
      </c>
      <c r="G1571" s="15" t="s">
        <v>74</v>
      </c>
      <c r="H1571" s="15" t="s">
        <v>9430</v>
      </c>
      <c r="I1571" s="15" t="s">
        <v>9431</v>
      </c>
      <c r="J1571" s="15" t="s">
        <v>9432</v>
      </c>
      <c r="K1571" s="15" t="s">
        <v>120</v>
      </c>
      <c r="L1571" s="15" t="s">
        <v>121</v>
      </c>
      <c r="M1571" s="15" t="s">
        <v>122</v>
      </c>
      <c r="N1571" s="15" t="s">
        <v>123</v>
      </c>
      <c r="O1571" s="15" t="s">
        <v>82</v>
      </c>
      <c r="P1571" s="15" t="s">
        <v>2356</v>
      </c>
      <c r="Q1571" s="15" t="s">
        <v>2357</v>
      </c>
      <c r="R1571" s="16">
        <v>44329</v>
      </c>
      <c r="S1571" s="17" t="s">
        <v>70</v>
      </c>
      <c r="T1571" s="20">
        <f>HYPERLINK("https://vnm.spiral.com.vn//uploaded/20210513/B2978D4B-DF82-48CF-9504-87247B3A9A0E.jpg","11:12:24")</f>
      </c>
      <c r="U1571" s="20">
        <f>HYPERLINK("https://vnm.spiral.com.vn//uploaded/20210513/5F20DD63-F150-47D4-8E89-105A0E80844E.jpg","12:36:46")</f>
      </c>
      <c r="V1571" s="18">
        <v>0.05858796296296296</v>
      </c>
      <c r="W1571" s="15" t="s">
        <v>9433</v>
      </c>
      <c r="X1571" s="15" t="s">
        <v>9434</v>
      </c>
      <c r="Y1571" s="15" t="s">
        <v>35</v>
      </c>
      <c r="Z1571" s="19">
        <v>0</v>
      </c>
      <c r="AA1571" s="15">
        <v>0</v>
      </c>
      <c r="AB1571" s="15" t="s">
        <v>35</v>
      </c>
    </row>
    <row r="1572">
      <c r="A1572" s="15">
        <v>1568</v>
      </c>
      <c r="B1572" s="15" t="s">
        <v>103</v>
      </c>
      <c r="C1572" s="15" t="s">
        <v>104</v>
      </c>
      <c r="D1572" s="15" t="s">
        <v>35</v>
      </c>
      <c r="E1572" s="15" t="s">
        <v>35</v>
      </c>
      <c r="F1572" s="15" t="s">
        <v>35</v>
      </c>
      <c r="G1572" s="15" t="s">
        <v>36</v>
      </c>
      <c r="H1572" s="15" t="s">
        <v>9435</v>
      </c>
      <c r="I1572" s="15" t="s">
        <v>9436</v>
      </c>
      <c r="J1572" s="15" t="s">
        <v>9437</v>
      </c>
      <c r="K1572" s="15" t="s">
        <v>40</v>
      </c>
      <c r="L1572" s="15" t="s">
        <v>41</v>
      </c>
      <c r="M1572" s="15" t="s">
        <v>108</v>
      </c>
      <c r="N1572" s="15" t="s">
        <v>109</v>
      </c>
      <c r="O1572" s="15" t="s">
        <v>44</v>
      </c>
      <c r="P1572" s="15" t="s">
        <v>9438</v>
      </c>
      <c r="Q1572" s="15" t="s">
        <v>9439</v>
      </c>
      <c r="R1572" s="16">
        <v>44329</v>
      </c>
      <c r="S1572" s="17" t="s">
        <v>1835</v>
      </c>
      <c r="T1572" s="20">
        <f>HYPERLINK("https://vnm.spiral.com.vn//uploaded/20210513/8ecf1692-f511-4c85-ad01-85325d9d303b.JPEG","12:36:44")</f>
      </c>
      <c r="U1572" s="18"/>
      <c r="V1572" s="18" t="s">
        <v>35</v>
      </c>
      <c r="W1572" s="15" t="s">
        <v>9440</v>
      </c>
      <c r="X1572" s="15" t="s">
        <v>35</v>
      </c>
      <c r="Y1572" s="15" t="s">
        <v>35</v>
      </c>
      <c r="Z1572" s="19">
        <v>0</v>
      </c>
      <c r="AA1572" s="15">
        <v>0</v>
      </c>
      <c r="AB1572" s="15" t="s">
        <v>35</v>
      </c>
    </row>
    <row r="1573">
      <c r="A1573" s="15">
        <v>1569</v>
      </c>
      <c r="B1573" s="15" t="s">
        <v>343</v>
      </c>
      <c r="C1573" s="15" t="s">
        <v>344</v>
      </c>
      <c r="D1573" s="15" t="s">
        <v>35</v>
      </c>
      <c r="E1573" s="15" t="s">
        <v>35</v>
      </c>
      <c r="F1573" s="15" t="s">
        <v>35</v>
      </c>
      <c r="G1573" s="15" t="s">
        <v>74</v>
      </c>
      <c r="H1573" s="15" t="s">
        <v>9441</v>
      </c>
      <c r="I1573" s="15" t="s">
        <v>9442</v>
      </c>
      <c r="J1573" s="15" t="s">
        <v>9443</v>
      </c>
      <c r="K1573" s="15" t="s">
        <v>584</v>
      </c>
      <c r="L1573" s="15" t="s">
        <v>585</v>
      </c>
      <c r="M1573" s="15" t="s">
        <v>827</v>
      </c>
      <c r="N1573" s="15" t="s">
        <v>828</v>
      </c>
      <c r="O1573" s="15" t="s">
        <v>82</v>
      </c>
      <c r="P1573" s="15" t="s">
        <v>7778</v>
      </c>
      <c r="Q1573" s="15" t="s">
        <v>7779</v>
      </c>
      <c r="R1573" s="16">
        <v>44329</v>
      </c>
      <c r="S1573" s="17" t="s">
        <v>70</v>
      </c>
      <c r="T1573" s="20">
        <f>HYPERLINK("https://vnm.spiral.com.vn//uploaded/20210513/76411482-CB3A-4919-87CB-EAF4D94F3A62.jpg","12:19:43")</f>
      </c>
      <c r="U1573" s="20">
        <f>HYPERLINK("https://vnm.spiral.com.vn//uploaded/20210513/E9A45446-5055-48D4-AE80-2962B7BCA958.jpg","12:36:07")</f>
      </c>
      <c r="V1573" s="18">
        <v>0.01138888888888889</v>
      </c>
      <c r="W1573" s="15" t="s">
        <v>9444</v>
      </c>
      <c r="X1573" s="15" t="s">
        <v>9445</v>
      </c>
      <c r="Y1573" s="15" t="s">
        <v>35</v>
      </c>
      <c r="Z1573" s="19">
        <v>0</v>
      </c>
      <c r="AA1573" s="15">
        <v>0</v>
      </c>
      <c r="AB1573" s="15" t="s">
        <v>35</v>
      </c>
    </row>
    <row r="1574">
      <c r="A1574" s="15">
        <v>1570</v>
      </c>
      <c r="B1574" s="15" t="s">
        <v>33</v>
      </c>
      <c r="C1574" s="15" t="s">
        <v>765</v>
      </c>
      <c r="D1574" s="15" t="s">
        <v>35</v>
      </c>
      <c r="E1574" s="15" t="s">
        <v>35</v>
      </c>
      <c r="F1574" s="15" t="s">
        <v>35</v>
      </c>
      <c r="G1574" s="15" t="s">
        <v>36</v>
      </c>
      <c r="H1574" s="15" t="s">
        <v>7695</v>
      </c>
      <c r="I1574" s="15" t="s">
        <v>7696</v>
      </c>
      <c r="J1574" s="15" t="s">
        <v>7697</v>
      </c>
      <c r="K1574" s="15" t="s">
        <v>40</v>
      </c>
      <c r="L1574" s="15" t="s">
        <v>41</v>
      </c>
      <c r="M1574" s="15" t="s">
        <v>42</v>
      </c>
      <c r="N1574" s="15" t="s">
        <v>43</v>
      </c>
      <c r="O1574" s="15" t="s">
        <v>44</v>
      </c>
      <c r="P1574" s="15" t="s">
        <v>7698</v>
      </c>
      <c r="Q1574" s="15" t="s">
        <v>7699</v>
      </c>
      <c r="R1574" s="16">
        <v>44329</v>
      </c>
      <c r="S1574" s="17" t="s">
        <v>317</v>
      </c>
      <c r="T1574" s="20">
        <f>HYPERLINK("https://vnm.spiral.com.vn//uploaded/20210513/846BBB0E-D0D9-41BC-96B9-AAEA42876F10.jpg","07:46:19")</f>
      </c>
      <c r="U1574" s="20">
        <f>HYPERLINK("https://vnm.spiral.com.vn//uploaded/20210513/2E0E3810-DDD8-4BFA-81BE-C6CCBD42D1D1.jpg","12:35:59")</f>
      </c>
      <c r="V1574" s="18">
        <v>0.2011574074074074</v>
      </c>
      <c r="W1574" s="15" t="s">
        <v>9446</v>
      </c>
      <c r="X1574" s="15" t="s">
        <v>9447</v>
      </c>
      <c r="Y1574" s="15" t="s">
        <v>35</v>
      </c>
      <c r="Z1574" s="19">
        <v>0</v>
      </c>
      <c r="AA1574" s="15">
        <v>0</v>
      </c>
      <c r="AB1574" s="15" t="s">
        <v>35</v>
      </c>
    </row>
    <row r="1575">
      <c r="A1575" s="15">
        <v>1571</v>
      </c>
      <c r="B1575" s="15" t="s">
        <v>87</v>
      </c>
      <c r="C1575" s="15" t="s">
        <v>88</v>
      </c>
      <c r="D1575" s="15" t="s">
        <v>35</v>
      </c>
      <c r="E1575" s="15" t="s">
        <v>35</v>
      </c>
      <c r="F1575" s="15" t="s">
        <v>2667</v>
      </c>
      <c r="G1575" s="15" t="s">
        <v>36</v>
      </c>
      <c r="H1575" s="15" t="s">
        <v>3399</v>
      </c>
      <c r="I1575" s="15" t="s">
        <v>3400</v>
      </c>
      <c r="J1575" s="15" t="s">
        <v>3401</v>
      </c>
      <c r="K1575" s="15" t="s">
        <v>40</v>
      </c>
      <c r="L1575" s="15" t="s">
        <v>41</v>
      </c>
      <c r="M1575" s="15" t="s">
        <v>1195</v>
      </c>
      <c r="N1575" s="15" t="s">
        <v>1196</v>
      </c>
      <c r="O1575" s="15" t="s">
        <v>44</v>
      </c>
      <c r="P1575" s="15" t="s">
        <v>3402</v>
      </c>
      <c r="Q1575" s="15" t="s">
        <v>3403</v>
      </c>
      <c r="R1575" s="16">
        <v>44329</v>
      </c>
      <c r="S1575" s="17" t="s">
        <v>9084</v>
      </c>
      <c r="T1575" s="20">
        <f>HYPERLINK("https://vnm.spiral.com.vn//uploaded/20210513/7e45c204-e144-4f83-b6fd-632862ff3737.JPEG","08:32:13")</f>
      </c>
      <c r="U1575" s="20">
        <f>HYPERLINK("https://vnm.spiral.com.vn//uploaded/20210513/19d95f6f-46fe-43c1-8bdc-7af03566d4b0.JPEG","12:35:44")</f>
      </c>
      <c r="V1575" s="18">
        <v>0.1691087962962963</v>
      </c>
      <c r="W1575" s="15" t="s">
        <v>9448</v>
      </c>
      <c r="X1575" s="15" t="s">
        <v>9449</v>
      </c>
      <c r="Y1575" s="15" t="s">
        <v>35</v>
      </c>
      <c r="Z1575" s="19">
        <v>0</v>
      </c>
      <c r="AA1575" s="15">
        <v>0</v>
      </c>
      <c r="AB1575" s="15" t="s">
        <v>35</v>
      </c>
    </row>
    <row r="1576">
      <c r="A1576" s="15">
        <v>1572</v>
      </c>
      <c r="B1576" s="15" t="s">
        <v>61</v>
      </c>
      <c r="C1576" s="15" t="s">
        <v>303</v>
      </c>
      <c r="D1576" s="15" t="s">
        <v>35</v>
      </c>
      <c r="E1576" s="15" t="s">
        <v>35</v>
      </c>
      <c r="F1576" s="15" t="s">
        <v>35</v>
      </c>
      <c r="G1576" s="15" t="s">
        <v>36</v>
      </c>
      <c r="H1576" s="15" t="s">
        <v>9450</v>
      </c>
      <c r="I1576" s="15" t="s">
        <v>9451</v>
      </c>
      <c r="J1576" s="15" t="s">
        <v>9452</v>
      </c>
      <c r="K1576" s="15" t="s">
        <v>40</v>
      </c>
      <c r="L1576" s="15" t="s">
        <v>41</v>
      </c>
      <c r="M1576" s="15" t="s">
        <v>205</v>
      </c>
      <c r="N1576" s="15" t="s">
        <v>206</v>
      </c>
      <c r="O1576" s="15" t="s">
        <v>44</v>
      </c>
      <c r="P1576" s="15" t="s">
        <v>9453</v>
      </c>
      <c r="Q1576" s="15" t="s">
        <v>9454</v>
      </c>
      <c r="R1576" s="16">
        <v>44329</v>
      </c>
      <c r="S1576" s="17" t="s">
        <v>9455</v>
      </c>
      <c r="T1576" s="20">
        <f>HYPERLINK("https://vnm.spiral.com.vn//uploaded/20210513/6f9e1eb4-ef3a-4cb6-992b-620d89520515.JPEG","12:35:33")</f>
      </c>
      <c r="U1576" s="18"/>
      <c r="V1576" s="18" t="s">
        <v>35</v>
      </c>
      <c r="W1576" s="15" t="s">
        <v>9456</v>
      </c>
      <c r="X1576" s="15" t="s">
        <v>35</v>
      </c>
      <c r="Y1576" s="15" t="s">
        <v>35</v>
      </c>
      <c r="Z1576" s="19">
        <v>0</v>
      </c>
      <c r="AA1576" s="15">
        <v>0</v>
      </c>
      <c r="AB1576" s="15" t="s">
        <v>35</v>
      </c>
    </row>
    <row r="1577">
      <c r="A1577" s="15">
        <v>1573</v>
      </c>
      <c r="B1577" s="15" t="s">
        <v>87</v>
      </c>
      <c r="C1577" s="15" t="s">
        <v>88</v>
      </c>
      <c r="D1577" s="15" t="s">
        <v>115</v>
      </c>
      <c r="E1577" s="15" t="s">
        <v>116</v>
      </c>
      <c r="F1577" s="15" t="s">
        <v>35</v>
      </c>
      <c r="G1577" s="15" t="s">
        <v>74</v>
      </c>
      <c r="H1577" s="15" t="s">
        <v>9457</v>
      </c>
      <c r="I1577" s="15" t="s">
        <v>9458</v>
      </c>
      <c r="J1577" s="15" t="s">
        <v>9459</v>
      </c>
      <c r="K1577" s="15" t="s">
        <v>120</v>
      </c>
      <c r="L1577" s="15" t="s">
        <v>121</v>
      </c>
      <c r="M1577" s="15" t="s">
        <v>122</v>
      </c>
      <c r="N1577" s="15" t="s">
        <v>123</v>
      </c>
      <c r="O1577" s="15" t="s">
        <v>82</v>
      </c>
      <c r="P1577" s="15" t="s">
        <v>3647</v>
      </c>
      <c r="Q1577" s="15" t="s">
        <v>3648</v>
      </c>
      <c r="R1577" s="16">
        <v>44329</v>
      </c>
      <c r="S1577" s="17" t="s">
        <v>70</v>
      </c>
      <c r="T1577" s="20">
        <f>HYPERLINK("https://vnm.spiral.com.vn//uploaded/20210513/6e919793-5cce-4470-a43d-1302085f06bc.jpg","11:06:02")</f>
      </c>
      <c r="U1577" s="20">
        <f>HYPERLINK("https://vnm.spiral.com.vn//uploaded/20210513/71fa255c-2eb1-4752-b108-ef1103f8a4e5.jpg","12:35:03")</f>
      </c>
      <c r="V1577" s="18">
        <v>0.06181712962962963</v>
      </c>
      <c r="W1577" s="15" t="s">
        <v>9460</v>
      </c>
      <c r="X1577" s="15" t="s">
        <v>9461</v>
      </c>
      <c r="Y1577" s="15" t="s">
        <v>35</v>
      </c>
      <c r="Z1577" s="19">
        <v>0</v>
      </c>
      <c r="AA1577" s="15">
        <v>0</v>
      </c>
      <c r="AB1577" s="15" t="s">
        <v>35</v>
      </c>
    </row>
    <row r="1578">
      <c r="A1578" s="15">
        <v>1574</v>
      </c>
      <c r="B1578" s="15" t="s">
        <v>87</v>
      </c>
      <c r="C1578" s="15" t="s">
        <v>88</v>
      </c>
      <c r="D1578" s="15" t="s">
        <v>35</v>
      </c>
      <c r="E1578" s="15" t="s">
        <v>35</v>
      </c>
      <c r="F1578" s="15" t="s">
        <v>2667</v>
      </c>
      <c r="G1578" s="15" t="s">
        <v>36</v>
      </c>
      <c r="H1578" s="15" t="s">
        <v>4061</v>
      </c>
      <c r="I1578" s="15" t="s">
        <v>4062</v>
      </c>
      <c r="J1578" s="15" t="s">
        <v>4063</v>
      </c>
      <c r="K1578" s="15" t="s">
        <v>40</v>
      </c>
      <c r="L1578" s="15" t="s">
        <v>41</v>
      </c>
      <c r="M1578" s="15" t="s">
        <v>1195</v>
      </c>
      <c r="N1578" s="15" t="s">
        <v>1196</v>
      </c>
      <c r="O1578" s="15" t="s">
        <v>44</v>
      </c>
      <c r="P1578" s="15" t="s">
        <v>4064</v>
      </c>
      <c r="Q1578" s="15" t="s">
        <v>4065</v>
      </c>
      <c r="R1578" s="16">
        <v>44329</v>
      </c>
      <c r="S1578" s="17" t="s">
        <v>9084</v>
      </c>
      <c r="T1578" s="20">
        <f>HYPERLINK("https://vnm.spiral.com.vn//uploaded/20210513/5CF2938F-4757-48DA-9160-2DF24182A9CF.jpg","08:14:31")</f>
      </c>
      <c r="U1578" s="20">
        <f>HYPERLINK("https://vnm.spiral.com.vn//uploaded/20210513/577DECD3-0F40-4EEF-9CA3-BED349AA7E9A.jpg","12:33:18")</f>
      </c>
      <c r="V1578" s="18">
        <v>0.17971064814814816</v>
      </c>
      <c r="W1578" s="15" t="s">
        <v>9462</v>
      </c>
      <c r="X1578" s="15" t="s">
        <v>9463</v>
      </c>
      <c r="Y1578" s="15" t="s">
        <v>35</v>
      </c>
      <c r="Z1578" s="19">
        <v>0</v>
      </c>
      <c r="AA1578" s="15">
        <v>0</v>
      </c>
      <c r="AB1578" s="15" t="s">
        <v>35</v>
      </c>
    </row>
    <row r="1579">
      <c r="A1579" s="15">
        <v>1575</v>
      </c>
      <c r="B1579" s="15" t="s">
        <v>87</v>
      </c>
      <c r="C1579" s="15" t="s">
        <v>88</v>
      </c>
      <c r="D1579" s="15" t="s">
        <v>610</v>
      </c>
      <c r="E1579" s="15" t="s">
        <v>90</v>
      </c>
      <c r="F1579" s="15" t="s">
        <v>35</v>
      </c>
      <c r="G1579" s="15" t="s">
        <v>74</v>
      </c>
      <c r="H1579" s="15" t="s">
        <v>9464</v>
      </c>
      <c r="I1579" s="15" t="s">
        <v>9465</v>
      </c>
      <c r="J1579" s="15" t="s">
        <v>9466</v>
      </c>
      <c r="K1579" s="15" t="s">
        <v>94</v>
      </c>
      <c r="L1579" s="15" t="s">
        <v>95</v>
      </c>
      <c r="M1579" s="15" t="s">
        <v>614</v>
      </c>
      <c r="N1579" s="15" t="s">
        <v>615</v>
      </c>
      <c r="O1579" s="15" t="s">
        <v>82</v>
      </c>
      <c r="P1579" s="15" t="s">
        <v>2583</v>
      </c>
      <c r="Q1579" s="15" t="s">
        <v>2584</v>
      </c>
      <c r="R1579" s="16">
        <v>44329</v>
      </c>
      <c r="S1579" s="17" t="s">
        <v>70</v>
      </c>
      <c r="T1579" s="20">
        <f>HYPERLINK("https://vnm.spiral.com.vn//uploaded/20210513/934fed62-4c81-478c-82df-33ae6ffe4a3e.JPEG","11:43:44")</f>
      </c>
      <c r="U1579" s="20">
        <f>HYPERLINK("https://vnm.spiral.com.vn//uploaded/20210513/9c2bb5a7-19cb-4628-8fe9-14f3f45f27d4.JPEG","12:33:04")</f>
      </c>
      <c r="V1579" s="18">
        <v>0.03425925925925926</v>
      </c>
      <c r="W1579" s="15" t="s">
        <v>9467</v>
      </c>
      <c r="X1579" s="15" t="s">
        <v>8603</v>
      </c>
      <c r="Y1579" s="15" t="s">
        <v>35</v>
      </c>
      <c r="Z1579" s="19">
        <v>0</v>
      </c>
      <c r="AA1579" s="15">
        <v>0</v>
      </c>
      <c r="AB1579" s="15" t="s">
        <v>35</v>
      </c>
    </row>
    <row r="1580">
      <c r="A1580" s="15">
        <v>1576</v>
      </c>
      <c r="B1580" s="15" t="s">
        <v>87</v>
      </c>
      <c r="C1580" s="15" t="s">
        <v>88</v>
      </c>
      <c r="D1580" s="15" t="s">
        <v>35</v>
      </c>
      <c r="E1580" s="15" t="s">
        <v>35</v>
      </c>
      <c r="F1580" s="15" t="s">
        <v>35</v>
      </c>
      <c r="G1580" s="15" t="s">
        <v>36</v>
      </c>
      <c r="H1580" s="15" t="s">
        <v>6723</v>
      </c>
      <c r="I1580" s="15" t="s">
        <v>6724</v>
      </c>
      <c r="J1580" s="15" t="s">
        <v>6725</v>
      </c>
      <c r="K1580" s="15" t="s">
        <v>40</v>
      </c>
      <c r="L1580" s="15" t="s">
        <v>41</v>
      </c>
      <c r="M1580" s="15" t="s">
        <v>289</v>
      </c>
      <c r="N1580" s="15" t="s">
        <v>290</v>
      </c>
      <c r="O1580" s="15" t="s">
        <v>44</v>
      </c>
      <c r="P1580" s="15" t="s">
        <v>6726</v>
      </c>
      <c r="Q1580" s="15" t="s">
        <v>6727</v>
      </c>
      <c r="R1580" s="16">
        <v>44329</v>
      </c>
      <c r="S1580" s="17" t="s">
        <v>9468</v>
      </c>
      <c r="T1580" s="20">
        <f>HYPERLINK("https://vnm.spiral.com.vn//uploaded/20210513/CF571598-EFDB-458F-8F48-580D29805ACC.jpg","07:00:34")</f>
      </c>
      <c r="U1580" s="20">
        <f>HYPERLINK("https://vnm.spiral.com.vn//uploaded/20210513/82917214-B423-4496-9D27-4E36B31EAA20.jpg","12:32:49")</f>
      </c>
      <c r="V1580" s="18">
        <v>0.23072916666666668</v>
      </c>
      <c r="W1580" s="15" t="s">
        <v>9469</v>
      </c>
      <c r="X1580" s="15" t="s">
        <v>9470</v>
      </c>
      <c r="Y1580" s="15" t="s">
        <v>35</v>
      </c>
      <c r="Z1580" s="19">
        <v>0</v>
      </c>
      <c r="AA1580" s="15">
        <v>0</v>
      </c>
      <c r="AB1580" s="15" t="s">
        <v>35</v>
      </c>
    </row>
    <row r="1581">
      <c r="A1581" s="15">
        <v>1577</v>
      </c>
      <c r="B1581" s="15" t="s">
        <v>103</v>
      </c>
      <c r="C1581" s="15" t="s">
        <v>2116</v>
      </c>
      <c r="D1581" s="15" t="s">
        <v>89</v>
      </c>
      <c r="E1581" s="15" t="s">
        <v>90</v>
      </c>
      <c r="F1581" s="15" t="s">
        <v>35</v>
      </c>
      <c r="G1581" s="15" t="s">
        <v>74</v>
      </c>
      <c r="H1581" s="15" t="s">
        <v>9471</v>
      </c>
      <c r="I1581" s="15" t="s">
        <v>9472</v>
      </c>
      <c r="J1581" s="15" t="s">
        <v>9473</v>
      </c>
      <c r="K1581" s="15" t="s">
        <v>178</v>
      </c>
      <c r="L1581" s="15" t="s">
        <v>179</v>
      </c>
      <c r="M1581" s="15" t="s">
        <v>2120</v>
      </c>
      <c r="N1581" s="15" t="s">
        <v>2121</v>
      </c>
      <c r="O1581" s="15" t="s">
        <v>156</v>
      </c>
      <c r="P1581" s="15" t="s">
        <v>9474</v>
      </c>
      <c r="Q1581" s="15" t="s">
        <v>820</v>
      </c>
      <c r="R1581" s="16">
        <v>44329</v>
      </c>
      <c r="S1581" s="17" t="s">
        <v>9411</v>
      </c>
      <c r="T1581" s="20">
        <f>HYPERLINK("https://vnm.spiral.com.vn//uploaded/20210513/812EC05D-36C6-4DA3-BF53-8EFCF3FE40E7.jpg","12:32:41")</f>
      </c>
      <c r="U1581" s="18"/>
      <c r="V1581" s="18" t="s">
        <v>35</v>
      </c>
      <c r="W1581" s="15" t="s">
        <v>9475</v>
      </c>
      <c r="X1581" s="15" t="s">
        <v>35</v>
      </c>
      <c r="Y1581" s="15" t="s">
        <v>35</v>
      </c>
      <c r="Z1581" s="19">
        <v>0</v>
      </c>
      <c r="AA1581" s="15">
        <v>0</v>
      </c>
      <c r="AB1581" s="15" t="s">
        <v>35</v>
      </c>
    </row>
    <row r="1582">
      <c r="A1582" s="15">
        <v>1578</v>
      </c>
      <c r="B1582" s="15" t="s">
        <v>61</v>
      </c>
      <c r="C1582" s="15" t="s">
        <v>398</v>
      </c>
      <c r="D1582" s="15" t="s">
        <v>35</v>
      </c>
      <c r="E1582" s="15" t="s">
        <v>35</v>
      </c>
      <c r="F1582" s="15" t="s">
        <v>35</v>
      </c>
      <c r="G1582" s="15" t="s">
        <v>36</v>
      </c>
      <c r="H1582" s="15" t="s">
        <v>9476</v>
      </c>
      <c r="I1582" s="15" t="s">
        <v>9477</v>
      </c>
      <c r="J1582" s="15" t="s">
        <v>9478</v>
      </c>
      <c r="K1582" s="15" t="s">
        <v>40</v>
      </c>
      <c r="L1582" s="15" t="s">
        <v>41</v>
      </c>
      <c r="M1582" s="15" t="s">
        <v>66</v>
      </c>
      <c r="N1582" s="15" t="s">
        <v>67</v>
      </c>
      <c r="O1582" s="15" t="s">
        <v>44</v>
      </c>
      <c r="P1582" s="15" t="s">
        <v>9479</v>
      </c>
      <c r="Q1582" s="15" t="s">
        <v>9480</v>
      </c>
      <c r="R1582" s="16">
        <v>44329</v>
      </c>
      <c r="S1582" s="17" t="s">
        <v>4131</v>
      </c>
      <c r="T1582" s="20">
        <f>HYPERLINK("https://vnm.spiral.com.vn//uploaded/20210513/e13fab06-1ed5-45ef-91d9-c31f1106651c.JPEG","12:31:31")</f>
      </c>
      <c r="U1582" s="18"/>
      <c r="V1582" s="18" t="s">
        <v>35</v>
      </c>
      <c r="W1582" s="15" t="s">
        <v>9481</v>
      </c>
      <c r="X1582" s="15" t="s">
        <v>35</v>
      </c>
      <c r="Y1582" s="15" t="s">
        <v>35</v>
      </c>
      <c r="Z1582" s="19">
        <v>0</v>
      </c>
      <c r="AA1582" s="15">
        <v>0</v>
      </c>
      <c r="AB1582" s="15" t="s">
        <v>35</v>
      </c>
    </row>
    <row r="1583">
      <c r="A1583" s="15">
        <v>1579</v>
      </c>
      <c r="B1583" s="15" t="s">
        <v>61</v>
      </c>
      <c r="C1583" s="15" t="s">
        <v>1106</v>
      </c>
      <c r="D1583" s="15" t="s">
        <v>89</v>
      </c>
      <c r="E1583" s="15" t="s">
        <v>90</v>
      </c>
      <c r="F1583" s="15" t="s">
        <v>35</v>
      </c>
      <c r="G1583" s="15" t="s">
        <v>74</v>
      </c>
      <c r="H1583" s="15" t="s">
        <v>4445</v>
      </c>
      <c r="I1583" s="15" t="s">
        <v>4446</v>
      </c>
      <c r="J1583" s="15" t="s">
        <v>4447</v>
      </c>
      <c r="K1583" s="15" t="s">
        <v>154</v>
      </c>
      <c r="L1583" s="15" t="s">
        <v>155</v>
      </c>
      <c r="M1583" s="15" t="s">
        <v>2458</v>
      </c>
      <c r="N1583" s="15" t="s">
        <v>2459</v>
      </c>
      <c r="O1583" s="15" t="s">
        <v>156</v>
      </c>
      <c r="P1583" s="15" t="s">
        <v>9482</v>
      </c>
      <c r="Q1583" s="15" t="s">
        <v>9483</v>
      </c>
      <c r="R1583" s="16">
        <v>44329</v>
      </c>
      <c r="S1583" s="17" t="s">
        <v>9484</v>
      </c>
      <c r="T1583" s="20">
        <f>HYPERLINK("https://vnm.spiral.com.vn//uploaded/20210513/8b1097cc-7b11-4c83-ae77-e0141d2c43fa.JPEG","12:31:21")</f>
      </c>
      <c r="U1583" s="18"/>
      <c r="V1583" s="18" t="s">
        <v>35</v>
      </c>
      <c r="W1583" s="15" t="s">
        <v>9485</v>
      </c>
      <c r="X1583" s="15" t="s">
        <v>35</v>
      </c>
      <c r="Y1583" s="15" t="s">
        <v>35</v>
      </c>
      <c r="Z1583" s="19">
        <v>0</v>
      </c>
      <c r="AA1583" s="15">
        <v>0</v>
      </c>
      <c r="AB1583" s="15" t="s">
        <v>35</v>
      </c>
    </row>
    <row r="1584">
      <c r="A1584" s="15">
        <v>1580</v>
      </c>
      <c r="B1584" s="15" t="s">
        <v>49</v>
      </c>
      <c r="C1584" s="15" t="s">
        <v>50</v>
      </c>
      <c r="D1584" s="15" t="s">
        <v>35</v>
      </c>
      <c r="E1584" s="15" t="s">
        <v>35</v>
      </c>
      <c r="F1584" s="15" t="s">
        <v>51</v>
      </c>
      <c r="G1584" s="15" t="s">
        <v>36</v>
      </c>
      <c r="H1584" s="15" t="s">
        <v>9486</v>
      </c>
      <c r="I1584" s="15" t="s">
        <v>9487</v>
      </c>
      <c r="J1584" s="15" t="s">
        <v>9488</v>
      </c>
      <c r="K1584" s="15" t="s">
        <v>40</v>
      </c>
      <c r="L1584" s="15" t="s">
        <v>41</v>
      </c>
      <c r="M1584" s="15" t="s">
        <v>55</v>
      </c>
      <c r="N1584" s="15" t="s">
        <v>56</v>
      </c>
      <c r="O1584" s="15" t="s">
        <v>44</v>
      </c>
      <c r="P1584" s="15" t="s">
        <v>9489</v>
      </c>
      <c r="Q1584" s="15" t="s">
        <v>9490</v>
      </c>
      <c r="R1584" s="16">
        <v>44329</v>
      </c>
      <c r="S1584" s="17" t="s">
        <v>317</v>
      </c>
      <c r="T1584" s="20">
        <f>HYPERLINK("https://vnm.spiral.com.vn//uploaded/20210513/34b49a27-b105-4afb-92d0-3ad24cc5a98e.JPEG","07:50:38")</f>
      </c>
      <c r="U1584" s="20">
        <f>HYPERLINK("https://vnm.spiral.com.vn//uploaded/20210513/e7f71fd3-6e87-44d1-9768-72a82eec023f.JPEG","12:31:04")</f>
      </c>
      <c r="V1584" s="18">
        <v>0.19474537037037037</v>
      </c>
      <c r="W1584" s="15" t="s">
        <v>9491</v>
      </c>
      <c r="X1584" s="15" t="s">
        <v>9492</v>
      </c>
      <c r="Y1584" s="15" t="s">
        <v>35</v>
      </c>
      <c r="Z1584" s="19">
        <v>0</v>
      </c>
      <c r="AA1584" s="15">
        <v>0</v>
      </c>
      <c r="AB1584" s="15" t="s">
        <v>35</v>
      </c>
    </row>
    <row r="1585">
      <c r="A1585" s="15">
        <v>1581</v>
      </c>
      <c r="B1585" s="15" t="s">
        <v>87</v>
      </c>
      <c r="C1585" s="15" t="s">
        <v>88</v>
      </c>
      <c r="D1585" s="15" t="s">
        <v>35</v>
      </c>
      <c r="E1585" s="15" t="s">
        <v>35</v>
      </c>
      <c r="F1585" s="15" t="s">
        <v>2789</v>
      </c>
      <c r="G1585" s="15" t="s">
        <v>36</v>
      </c>
      <c r="H1585" s="15" t="s">
        <v>4668</v>
      </c>
      <c r="I1585" s="15" t="s">
        <v>4669</v>
      </c>
      <c r="J1585" s="15" t="s">
        <v>4670</v>
      </c>
      <c r="K1585" s="15" t="s">
        <v>40</v>
      </c>
      <c r="L1585" s="15" t="s">
        <v>41</v>
      </c>
      <c r="M1585" s="15" t="s">
        <v>289</v>
      </c>
      <c r="N1585" s="15" t="s">
        <v>290</v>
      </c>
      <c r="O1585" s="15" t="s">
        <v>44</v>
      </c>
      <c r="P1585" s="15" t="s">
        <v>4671</v>
      </c>
      <c r="Q1585" s="15" t="s">
        <v>4672</v>
      </c>
      <c r="R1585" s="16">
        <v>44329</v>
      </c>
      <c r="S1585" s="17" t="s">
        <v>317</v>
      </c>
      <c r="T1585" s="20">
        <f>HYPERLINK("https://vnm.spiral.com.vn//uploaded/20210513/E42D76F9-A733-4577-98B8-1CEBCA6CFFAB.jpg","08:08:34")</f>
      </c>
      <c r="U1585" s="20">
        <f>HYPERLINK("https://vnm.spiral.com.vn//uploaded/20210513/A9D246A4-F319-4690-979B-47585DF8C927.jpg","12:30:50")</f>
      </c>
      <c r="V1585" s="18">
        <v>0.18212962962962964</v>
      </c>
      <c r="W1585" s="15" t="s">
        <v>9493</v>
      </c>
      <c r="X1585" s="15" t="s">
        <v>9494</v>
      </c>
      <c r="Y1585" s="15" t="s">
        <v>35</v>
      </c>
      <c r="Z1585" s="19">
        <v>0</v>
      </c>
      <c r="AA1585" s="15">
        <v>0</v>
      </c>
      <c r="AB1585" s="15" t="s">
        <v>35</v>
      </c>
    </row>
    <row r="1586">
      <c r="A1586" s="15">
        <v>1582</v>
      </c>
      <c r="B1586" s="15" t="s">
        <v>343</v>
      </c>
      <c r="C1586" s="15" t="s">
        <v>721</v>
      </c>
      <c r="D1586" s="15" t="s">
        <v>35</v>
      </c>
      <c r="E1586" s="15" t="s">
        <v>35</v>
      </c>
      <c r="F1586" s="15" t="s">
        <v>7483</v>
      </c>
      <c r="G1586" s="15" t="s">
        <v>36</v>
      </c>
      <c r="H1586" s="15" t="s">
        <v>7484</v>
      </c>
      <c r="I1586" s="15" t="s">
        <v>7485</v>
      </c>
      <c r="J1586" s="15" t="s">
        <v>7486</v>
      </c>
      <c r="K1586" s="15" t="s">
        <v>40</v>
      </c>
      <c r="L1586" s="15" t="s">
        <v>41</v>
      </c>
      <c r="M1586" s="15" t="s">
        <v>595</v>
      </c>
      <c r="N1586" s="15" t="s">
        <v>596</v>
      </c>
      <c r="O1586" s="15" t="s">
        <v>44</v>
      </c>
      <c r="P1586" s="15" t="s">
        <v>7487</v>
      </c>
      <c r="Q1586" s="15" t="s">
        <v>7488</v>
      </c>
      <c r="R1586" s="16">
        <v>44329</v>
      </c>
      <c r="S1586" s="17" t="s">
        <v>9084</v>
      </c>
      <c r="T1586" s="20">
        <f>HYPERLINK("https://vnm.spiral.com.vn//uploaded/20210513/15279521-5778-4628-8114-16CE8FAE8AE4.jpg","08:32:58")</f>
      </c>
      <c r="U1586" s="20">
        <f>HYPERLINK("https://vnm.spiral.com.vn//uploaded/20210513/3D0CD4E6-D062-405D-8D1E-494484C4DC69.jpg","12:30:39")</f>
      </c>
      <c r="V1586" s="18">
        <v>0.16505787037037037</v>
      </c>
      <c r="W1586" s="15" t="s">
        <v>9495</v>
      </c>
      <c r="X1586" s="15" t="s">
        <v>9496</v>
      </c>
      <c r="Y1586" s="15" t="s">
        <v>35</v>
      </c>
      <c r="Z1586" s="19">
        <v>0</v>
      </c>
      <c r="AA1586" s="15">
        <v>0</v>
      </c>
      <c r="AB1586" s="15" t="s">
        <v>35</v>
      </c>
    </row>
    <row r="1587">
      <c r="A1587" s="15">
        <v>1583</v>
      </c>
      <c r="B1587" s="15" t="s">
        <v>87</v>
      </c>
      <c r="C1587" s="15" t="s">
        <v>88</v>
      </c>
      <c r="D1587" s="15" t="s">
        <v>135</v>
      </c>
      <c r="E1587" s="15" t="s">
        <v>116</v>
      </c>
      <c r="F1587" s="15" t="s">
        <v>35</v>
      </c>
      <c r="G1587" s="15" t="s">
        <v>74</v>
      </c>
      <c r="H1587" s="15" t="s">
        <v>9497</v>
      </c>
      <c r="I1587" s="15" t="s">
        <v>9498</v>
      </c>
      <c r="J1587" s="15" t="s">
        <v>9499</v>
      </c>
      <c r="K1587" s="15" t="s">
        <v>139</v>
      </c>
      <c r="L1587" s="15" t="s">
        <v>140</v>
      </c>
      <c r="M1587" s="15" t="s">
        <v>530</v>
      </c>
      <c r="N1587" s="15" t="s">
        <v>531</v>
      </c>
      <c r="O1587" s="15" t="s">
        <v>82</v>
      </c>
      <c r="P1587" s="15" t="s">
        <v>2108</v>
      </c>
      <c r="Q1587" s="15" t="s">
        <v>2109</v>
      </c>
      <c r="R1587" s="16">
        <v>44329</v>
      </c>
      <c r="S1587" s="17" t="s">
        <v>70</v>
      </c>
      <c r="T1587" s="20">
        <f>HYPERLINK("https://vnm.spiral.com.vn//uploaded/20210513/84084199-202d-454b-873f-cb885b4c53db.JPEG","11:05:41")</f>
      </c>
      <c r="U1587" s="20">
        <f>HYPERLINK("https://vnm.spiral.com.vn//uploaded/20210513/27212bb9-a297-47fc-b79c-71e677b8f4a9.JPEG","12:30:22")</f>
      </c>
      <c r="V1587" s="18">
        <v>0.05880787037037037</v>
      </c>
      <c r="W1587" s="15" t="s">
        <v>9500</v>
      </c>
      <c r="X1587" s="15" t="s">
        <v>9501</v>
      </c>
      <c r="Y1587" s="15" t="s">
        <v>35</v>
      </c>
      <c r="Z1587" s="19">
        <v>0</v>
      </c>
      <c r="AA1587" s="15">
        <v>0</v>
      </c>
      <c r="AB1587" s="15" t="s">
        <v>35</v>
      </c>
    </row>
    <row r="1588">
      <c r="A1588" s="15">
        <v>1584</v>
      </c>
      <c r="B1588" s="15" t="s">
        <v>49</v>
      </c>
      <c r="C1588" s="15" t="s">
        <v>468</v>
      </c>
      <c r="D1588" s="15" t="s">
        <v>35</v>
      </c>
      <c r="E1588" s="15" t="s">
        <v>35</v>
      </c>
      <c r="F1588" s="15" t="s">
        <v>3311</v>
      </c>
      <c r="G1588" s="15" t="s">
        <v>36</v>
      </c>
      <c r="H1588" s="15" t="s">
        <v>7267</v>
      </c>
      <c r="I1588" s="15" t="s">
        <v>7268</v>
      </c>
      <c r="J1588" s="15" t="s">
        <v>7269</v>
      </c>
      <c r="K1588" s="15" t="s">
        <v>40</v>
      </c>
      <c r="L1588" s="15" t="s">
        <v>41</v>
      </c>
      <c r="M1588" s="15" t="s">
        <v>55</v>
      </c>
      <c r="N1588" s="15" t="s">
        <v>56</v>
      </c>
      <c r="O1588" s="15" t="s">
        <v>44</v>
      </c>
      <c r="P1588" s="15" t="s">
        <v>7270</v>
      </c>
      <c r="Q1588" s="15" t="s">
        <v>7271</v>
      </c>
      <c r="R1588" s="16">
        <v>44329</v>
      </c>
      <c r="S1588" s="17" t="s">
        <v>9084</v>
      </c>
      <c r="T1588" s="20">
        <f>HYPERLINK("https://vnm.spiral.com.vn//uploaded/20210513/1b3d7d7e-2d9f-430c-a162-4b79ca295c04.JPEG","08:29:39")</f>
      </c>
      <c r="U1588" s="20">
        <f>HYPERLINK("https://vnm.spiral.com.vn//uploaded/20210513/e1ef2a59-9c2a-4769-ba4a-95889ab2e4fb.JPEG","12:30:14")</f>
      </c>
      <c r="V1588" s="18">
        <v>0.16707175925925927</v>
      </c>
      <c r="W1588" s="15" t="s">
        <v>9502</v>
      </c>
      <c r="X1588" s="15" t="s">
        <v>9503</v>
      </c>
      <c r="Y1588" s="15" t="s">
        <v>35</v>
      </c>
      <c r="Z1588" s="19">
        <v>0</v>
      </c>
      <c r="AA1588" s="15">
        <v>0</v>
      </c>
      <c r="AB1588" s="15" t="s">
        <v>35</v>
      </c>
    </row>
    <row r="1589">
      <c r="A1589" s="15">
        <v>1585</v>
      </c>
      <c r="B1589" s="15" t="s">
        <v>87</v>
      </c>
      <c r="C1589" s="15" t="s">
        <v>88</v>
      </c>
      <c r="D1589" s="15" t="s">
        <v>35</v>
      </c>
      <c r="E1589" s="15" t="s">
        <v>35</v>
      </c>
      <c r="F1589" s="15" t="s">
        <v>2077</v>
      </c>
      <c r="G1589" s="15" t="s">
        <v>36</v>
      </c>
      <c r="H1589" s="15" t="s">
        <v>3318</v>
      </c>
      <c r="I1589" s="15" t="s">
        <v>3319</v>
      </c>
      <c r="J1589" s="15" t="s">
        <v>3320</v>
      </c>
      <c r="K1589" s="15" t="s">
        <v>40</v>
      </c>
      <c r="L1589" s="15" t="s">
        <v>41</v>
      </c>
      <c r="M1589" s="15" t="s">
        <v>289</v>
      </c>
      <c r="N1589" s="15" t="s">
        <v>290</v>
      </c>
      <c r="O1589" s="15" t="s">
        <v>44</v>
      </c>
      <c r="P1589" s="15" t="s">
        <v>3321</v>
      </c>
      <c r="Q1589" s="15" t="s">
        <v>3322</v>
      </c>
      <c r="R1589" s="16">
        <v>44329</v>
      </c>
      <c r="S1589" s="17" t="s">
        <v>9504</v>
      </c>
      <c r="T1589" s="20">
        <f>HYPERLINK("https://vnm.spiral.com.vn//uploaded/20210513/b30a0972-0937-401a-a538-1fbac3119dd4.JPEG","09:37:06")</f>
      </c>
      <c r="U1589" s="20">
        <f>HYPERLINK("https://vnm.spiral.com.vn//uploaded/20210513/ed0c6b66-830a-4203-97eb-cbd98db2ae19.JPEG","12:30:06")</f>
      </c>
      <c r="V1589" s="18">
        <v>0.12013888888888889</v>
      </c>
      <c r="W1589" s="15" t="s">
        <v>9505</v>
      </c>
      <c r="X1589" s="15" t="s">
        <v>9506</v>
      </c>
      <c r="Y1589" s="15" t="s">
        <v>35</v>
      </c>
      <c r="Z1589" s="19">
        <v>0</v>
      </c>
      <c r="AA1589" s="15">
        <v>0</v>
      </c>
      <c r="AB1589" s="15" t="s">
        <v>35</v>
      </c>
    </row>
    <row r="1590">
      <c r="A1590" s="15">
        <v>1586</v>
      </c>
      <c r="B1590" s="15" t="s">
        <v>87</v>
      </c>
      <c r="C1590" s="15" t="s">
        <v>88</v>
      </c>
      <c r="D1590" s="15" t="s">
        <v>115</v>
      </c>
      <c r="E1590" s="15" t="s">
        <v>116</v>
      </c>
      <c r="F1590" s="15" t="s">
        <v>35</v>
      </c>
      <c r="G1590" s="15" t="s">
        <v>74</v>
      </c>
      <c r="H1590" s="15" t="s">
        <v>9507</v>
      </c>
      <c r="I1590" s="15" t="s">
        <v>9508</v>
      </c>
      <c r="J1590" s="15" t="s">
        <v>9509</v>
      </c>
      <c r="K1590" s="15" t="s">
        <v>120</v>
      </c>
      <c r="L1590" s="15" t="s">
        <v>121</v>
      </c>
      <c r="M1590" s="15" t="s">
        <v>122</v>
      </c>
      <c r="N1590" s="15" t="s">
        <v>123</v>
      </c>
      <c r="O1590" s="15" t="s">
        <v>82</v>
      </c>
      <c r="P1590" s="15" t="s">
        <v>962</v>
      </c>
      <c r="Q1590" s="15" t="s">
        <v>963</v>
      </c>
      <c r="R1590" s="16">
        <v>44329</v>
      </c>
      <c r="S1590" s="17" t="s">
        <v>70</v>
      </c>
      <c r="T1590" s="20">
        <f>HYPERLINK("https://vnm.spiral.com.vn//uploaded/20210513/577e58ff-e5d1-4b8b-a851-a11dfd57936a.jpg","11:22:20")</f>
      </c>
      <c r="U1590" s="20">
        <f>HYPERLINK("https://vnm.spiral.com.vn//uploaded/20210513/36071124-3bed-4f18-9981-014004fae4ef.jpg","12:29:53")</f>
      </c>
      <c r="V1590" s="18">
        <v>0.04690972222222222</v>
      </c>
      <c r="W1590" s="15" t="s">
        <v>9510</v>
      </c>
      <c r="X1590" s="15" t="s">
        <v>9511</v>
      </c>
      <c r="Y1590" s="15" t="s">
        <v>35</v>
      </c>
      <c r="Z1590" s="19">
        <v>0</v>
      </c>
      <c r="AA1590" s="15">
        <v>0</v>
      </c>
      <c r="AB1590" s="15" t="s">
        <v>35</v>
      </c>
    </row>
    <row r="1591">
      <c r="A1591" s="15">
        <v>1587</v>
      </c>
      <c r="B1591" s="15" t="s">
        <v>343</v>
      </c>
      <c r="C1591" s="15" t="s">
        <v>645</v>
      </c>
      <c r="D1591" s="15" t="s">
        <v>35</v>
      </c>
      <c r="E1591" s="15" t="s">
        <v>35</v>
      </c>
      <c r="F1591" s="15" t="s">
        <v>35</v>
      </c>
      <c r="G1591" s="15" t="s">
        <v>36</v>
      </c>
      <c r="H1591" s="15" t="s">
        <v>6799</v>
      </c>
      <c r="I1591" s="15" t="s">
        <v>6800</v>
      </c>
      <c r="J1591" s="15" t="s">
        <v>6801</v>
      </c>
      <c r="K1591" s="15" t="s">
        <v>40</v>
      </c>
      <c r="L1591" s="15" t="s">
        <v>41</v>
      </c>
      <c r="M1591" s="15" t="s">
        <v>42</v>
      </c>
      <c r="N1591" s="15" t="s">
        <v>43</v>
      </c>
      <c r="O1591" s="15" t="s">
        <v>44</v>
      </c>
      <c r="P1591" s="15" t="s">
        <v>6802</v>
      </c>
      <c r="Q1591" s="15" t="s">
        <v>6803</v>
      </c>
      <c r="R1591" s="16">
        <v>44329</v>
      </c>
      <c r="S1591" s="17" t="s">
        <v>317</v>
      </c>
      <c r="T1591" s="20">
        <f>HYPERLINK("https://vnm.spiral.com.vn//uploaded/20210513/704d12b1-061d-4197-8ce1-0be48a9efbd9.JPEG","07:57:05")</f>
      </c>
      <c r="U1591" s="20">
        <f>HYPERLINK("https://vnm.spiral.com.vn//uploaded/20210513/dbfe780e-c903-4b2a-8094-7f7283c54913.JPEG","12:29:48")</f>
      </c>
      <c r="V1591" s="18">
        <v>0.18938657407407408</v>
      </c>
      <c r="W1591" s="15" t="s">
        <v>9512</v>
      </c>
      <c r="X1591" s="15" t="s">
        <v>9513</v>
      </c>
      <c r="Y1591" s="15" t="s">
        <v>35</v>
      </c>
      <c r="Z1591" s="19">
        <v>0</v>
      </c>
      <c r="AA1591" s="15">
        <v>0</v>
      </c>
      <c r="AB1591" s="15" t="s">
        <v>35</v>
      </c>
    </row>
    <row r="1592">
      <c r="A1592" s="15">
        <v>1588</v>
      </c>
      <c r="B1592" s="15" t="s">
        <v>343</v>
      </c>
      <c r="C1592" s="15" t="s">
        <v>344</v>
      </c>
      <c r="D1592" s="15" t="s">
        <v>432</v>
      </c>
      <c r="E1592" s="15" t="s">
        <v>116</v>
      </c>
      <c r="F1592" s="15" t="s">
        <v>35</v>
      </c>
      <c r="G1592" s="15" t="s">
        <v>74</v>
      </c>
      <c r="H1592" s="15" t="s">
        <v>9514</v>
      </c>
      <c r="I1592" s="15" t="s">
        <v>9515</v>
      </c>
      <c r="J1592" s="15" t="s">
        <v>9516</v>
      </c>
      <c r="K1592" s="15" t="s">
        <v>1168</v>
      </c>
      <c r="L1592" s="15" t="s">
        <v>1169</v>
      </c>
      <c r="M1592" s="15" t="s">
        <v>1170</v>
      </c>
      <c r="N1592" s="15" t="s">
        <v>1171</v>
      </c>
      <c r="O1592" s="15" t="s">
        <v>82</v>
      </c>
      <c r="P1592" s="15" t="s">
        <v>4370</v>
      </c>
      <c r="Q1592" s="15" t="s">
        <v>4371</v>
      </c>
      <c r="R1592" s="16">
        <v>44329</v>
      </c>
      <c r="S1592" s="17" t="s">
        <v>70</v>
      </c>
      <c r="T1592" s="20">
        <f>HYPERLINK("https://vnm.spiral.com.vn//uploaded/20210513/75FFCF24-A7CF-4E39-886E-C5CE186ED9A2.jpg","11:55:59")</f>
      </c>
      <c r="U1592" s="20">
        <f>HYPERLINK("https://vnm.spiral.com.vn//uploaded/20210513/258A2145-0D67-4BAE-ABB0-371E58CD5D10.jpg","12:29:31")</f>
      </c>
      <c r="V1592" s="18">
        <v>0.023287037037037037</v>
      </c>
      <c r="W1592" s="15" t="s">
        <v>9517</v>
      </c>
      <c r="X1592" s="15" t="s">
        <v>9518</v>
      </c>
      <c r="Y1592" s="15" t="s">
        <v>35</v>
      </c>
      <c r="Z1592" s="19">
        <v>0</v>
      </c>
      <c r="AA1592" s="15">
        <v>0</v>
      </c>
      <c r="AB1592" s="15" t="s">
        <v>35</v>
      </c>
    </row>
    <row r="1593">
      <c r="A1593" s="15">
        <v>1589</v>
      </c>
      <c r="B1593" s="15" t="s">
        <v>49</v>
      </c>
      <c r="C1593" s="15" t="s">
        <v>756</v>
      </c>
      <c r="D1593" s="15" t="s">
        <v>35</v>
      </c>
      <c r="E1593" s="15" t="s">
        <v>35</v>
      </c>
      <c r="F1593" s="15" t="s">
        <v>4536</v>
      </c>
      <c r="G1593" s="15" t="s">
        <v>36</v>
      </c>
      <c r="H1593" s="15" t="s">
        <v>5833</v>
      </c>
      <c r="I1593" s="15" t="s">
        <v>5834</v>
      </c>
      <c r="J1593" s="15" t="s">
        <v>5835</v>
      </c>
      <c r="K1593" s="15" t="s">
        <v>40</v>
      </c>
      <c r="L1593" s="15" t="s">
        <v>41</v>
      </c>
      <c r="M1593" s="15" t="s">
        <v>55</v>
      </c>
      <c r="N1593" s="15" t="s">
        <v>56</v>
      </c>
      <c r="O1593" s="15" t="s">
        <v>44</v>
      </c>
      <c r="P1593" s="15" t="s">
        <v>5836</v>
      </c>
      <c r="Q1593" s="15" t="s">
        <v>5837</v>
      </c>
      <c r="R1593" s="16">
        <v>44329</v>
      </c>
      <c r="S1593" s="17" t="s">
        <v>317</v>
      </c>
      <c r="T1593" s="20">
        <f>HYPERLINK("https://vnm.spiral.com.vn//uploaded/20210513/f268ac0f-bb3c-49d8-8016-70b2fef431dd.JPEG","08:01:30")</f>
      </c>
      <c r="U1593" s="20">
        <f>HYPERLINK("https://vnm.spiral.com.vn//uploaded/20210513/df2d29ea-5235-4d51-8da7-04b24e965eac.JPEG","12:28:24")</f>
      </c>
      <c r="V1593" s="18">
        <v>0.18534722222222222</v>
      </c>
      <c r="W1593" s="15" t="s">
        <v>9519</v>
      </c>
      <c r="X1593" s="15" t="s">
        <v>9520</v>
      </c>
      <c r="Y1593" s="15" t="s">
        <v>35</v>
      </c>
      <c r="Z1593" s="19">
        <v>0</v>
      </c>
      <c r="AA1593" s="15">
        <v>0</v>
      </c>
      <c r="AB1593" s="15" t="s">
        <v>35</v>
      </c>
    </row>
    <row r="1594">
      <c r="A1594" s="15">
        <v>1590</v>
      </c>
      <c r="B1594" s="15" t="s">
        <v>87</v>
      </c>
      <c r="C1594" s="15" t="s">
        <v>88</v>
      </c>
      <c r="D1594" s="15" t="s">
        <v>135</v>
      </c>
      <c r="E1594" s="15" t="s">
        <v>116</v>
      </c>
      <c r="F1594" s="15" t="s">
        <v>35</v>
      </c>
      <c r="G1594" s="15" t="s">
        <v>74</v>
      </c>
      <c r="H1594" s="15" t="s">
        <v>9521</v>
      </c>
      <c r="I1594" s="15" t="s">
        <v>9522</v>
      </c>
      <c r="J1594" s="15" t="s">
        <v>9523</v>
      </c>
      <c r="K1594" s="15" t="s">
        <v>94</v>
      </c>
      <c r="L1594" s="15" t="s">
        <v>95</v>
      </c>
      <c r="M1594" s="15" t="s">
        <v>139</v>
      </c>
      <c r="N1594" s="15" t="s">
        <v>140</v>
      </c>
      <c r="O1594" s="15" t="s">
        <v>98</v>
      </c>
      <c r="P1594" s="15" t="s">
        <v>530</v>
      </c>
      <c r="Q1594" s="15" t="s">
        <v>531</v>
      </c>
      <c r="R1594" s="16">
        <v>44329</v>
      </c>
      <c r="S1594" s="17" t="s">
        <v>70</v>
      </c>
      <c r="T1594" s="20">
        <f>HYPERLINK("https://vnm.spiral.com.vn//uploaded/20210513/D0577771-BA1C-4A24-BA4B-61B1075B83B1.jpg","12:28:05")</f>
      </c>
      <c r="U1594" s="18"/>
      <c r="V1594" s="18" t="s">
        <v>35</v>
      </c>
      <c r="W1594" s="15" t="s">
        <v>9524</v>
      </c>
      <c r="X1594" s="15" t="s">
        <v>35</v>
      </c>
      <c r="Y1594" s="15" t="s">
        <v>35</v>
      </c>
      <c r="Z1594" s="19">
        <v>0</v>
      </c>
      <c r="AA1594" s="15">
        <v>0</v>
      </c>
      <c r="AB1594" s="15" t="s">
        <v>35</v>
      </c>
    </row>
    <row r="1595">
      <c r="A1595" s="15">
        <v>1591</v>
      </c>
      <c r="B1595" s="15" t="s">
        <v>61</v>
      </c>
      <c r="C1595" s="15" t="s">
        <v>303</v>
      </c>
      <c r="D1595" s="15" t="s">
        <v>35</v>
      </c>
      <c r="E1595" s="15" t="s">
        <v>35</v>
      </c>
      <c r="F1595" s="15" t="s">
        <v>35</v>
      </c>
      <c r="G1595" s="15" t="s">
        <v>36</v>
      </c>
      <c r="H1595" s="15" t="s">
        <v>9241</v>
      </c>
      <c r="I1595" s="15" t="s">
        <v>3627</v>
      </c>
      <c r="J1595" s="15" t="s">
        <v>9242</v>
      </c>
      <c r="K1595" s="15" t="s">
        <v>40</v>
      </c>
      <c r="L1595" s="15" t="s">
        <v>41</v>
      </c>
      <c r="M1595" s="15" t="s">
        <v>205</v>
      </c>
      <c r="N1595" s="15" t="s">
        <v>206</v>
      </c>
      <c r="O1595" s="15" t="s">
        <v>44</v>
      </c>
      <c r="P1595" s="15" t="s">
        <v>9243</v>
      </c>
      <c r="Q1595" s="15" t="s">
        <v>9244</v>
      </c>
      <c r="R1595" s="16">
        <v>44329</v>
      </c>
      <c r="S1595" s="17" t="s">
        <v>317</v>
      </c>
      <c r="T1595" s="20">
        <f>HYPERLINK("https://vnm.spiral.com.vn//uploaded/20210513/6ccca562-ba93-4461-8853-69c58c642834.JPEG","08:01:28")</f>
      </c>
      <c r="U1595" s="20">
        <f>HYPERLINK("https://vnm.spiral.com.vn//uploaded/20210513/8afe7423-bc1f-40e9-94ef-4715ca736037.JPEG","12:27:40")</f>
      </c>
      <c r="V1595" s="18">
        <v>0.18486111111111111</v>
      </c>
      <c r="W1595" s="15" t="s">
        <v>9525</v>
      </c>
      <c r="X1595" s="15" t="s">
        <v>9526</v>
      </c>
      <c r="Y1595" s="15" t="s">
        <v>35</v>
      </c>
      <c r="Z1595" s="19">
        <v>0</v>
      </c>
      <c r="AA1595" s="15">
        <v>0</v>
      </c>
      <c r="AB1595" s="15" t="s">
        <v>35</v>
      </c>
    </row>
    <row r="1596">
      <c r="A1596" s="15">
        <v>1592</v>
      </c>
      <c r="B1596" s="15" t="s">
        <v>87</v>
      </c>
      <c r="C1596" s="15" t="s">
        <v>88</v>
      </c>
      <c r="D1596" s="15" t="s">
        <v>35</v>
      </c>
      <c r="E1596" s="15" t="s">
        <v>35</v>
      </c>
      <c r="F1596" s="15" t="s">
        <v>35</v>
      </c>
      <c r="G1596" s="15" t="s">
        <v>74</v>
      </c>
      <c r="H1596" s="15" t="s">
        <v>9527</v>
      </c>
      <c r="I1596" s="15" t="s">
        <v>9528</v>
      </c>
      <c r="J1596" s="15" t="s">
        <v>9529</v>
      </c>
      <c r="K1596" s="15" t="s">
        <v>888</v>
      </c>
      <c r="L1596" s="15" t="s">
        <v>889</v>
      </c>
      <c r="M1596" s="15" t="s">
        <v>890</v>
      </c>
      <c r="N1596" s="15" t="s">
        <v>891</v>
      </c>
      <c r="O1596" s="15" t="s">
        <v>82</v>
      </c>
      <c r="P1596" s="15" t="s">
        <v>1914</v>
      </c>
      <c r="Q1596" s="15" t="s">
        <v>1915</v>
      </c>
      <c r="R1596" s="16">
        <v>44329</v>
      </c>
      <c r="S1596" s="17" t="s">
        <v>70</v>
      </c>
      <c r="T1596" s="20">
        <f>HYPERLINK("https://vnm.spiral.com.vn//uploaded/20210513/50A11E1F-32CA-4489-9B4A-77AF10DF7566.jpg","11:33:52")</f>
      </c>
      <c r="U1596" s="20">
        <f>HYPERLINK("https://vnm.spiral.com.vn//uploaded/20210513/2CE7E67F-622F-4F84-9A24-C739A8117625.jpg","12:27:32")</f>
      </c>
      <c r="V1596" s="18">
        <v>0.03726851851851852</v>
      </c>
      <c r="W1596" s="15" t="s">
        <v>9530</v>
      </c>
      <c r="X1596" s="15" t="s">
        <v>9531</v>
      </c>
      <c r="Y1596" s="15" t="s">
        <v>35</v>
      </c>
      <c r="Z1596" s="19">
        <v>0</v>
      </c>
      <c r="AA1596" s="15">
        <v>0</v>
      </c>
      <c r="AB1596" s="15" t="s">
        <v>35</v>
      </c>
    </row>
    <row r="1597">
      <c r="A1597" s="15">
        <v>1593</v>
      </c>
      <c r="B1597" s="15" t="s">
        <v>61</v>
      </c>
      <c r="C1597" s="15" t="s">
        <v>303</v>
      </c>
      <c r="D1597" s="15" t="s">
        <v>35</v>
      </c>
      <c r="E1597" s="15" t="s">
        <v>35</v>
      </c>
      <c r="F1597" s="15" t="s">
        <v>1947</v>
      </c>
      <c r="G1597" s="15" t="s">
        <v>36</v>
      </c>
      <c r="H1597" s="15" t="s">
        <v>9532</v>
      </c>
      <c r="I1597" s="15" t="s">
        <v>8502</v>
      </c>
      <c r="J1597" s="15" t="s">
        <v>9533</v>
      </c>
      <c r="K1597" s="15" t="s">
        <v>40</v>
      </c>
      <c r="L1597" s="15" t="s">
        <v>41</v>
      </c>
      <c r="M1597" s="15" t="s">
        <v>205</v>
      </c>
      <c r="N1597" s="15" t="s">
        <v>206</v>
      </c>
      <c r="O1597" s="15" t="s">
        <v>44</v>
      </c>
      <c r="P1597" s="15" t="s">
        <v>9534</v>
      </c>
      <c r="Q1597" s="15" t="s">
        <v>9535</v>
      </c>
      <c r="R1597" s="16">
        <v>44329</v>
      </c>
      <c r="S1597" s="17" t="s">
        <v>9411</v>
      </c>
      <c r="T1597" s="20">
        <f>HYPERLINK("https://vnm.spiral.com.vn//uploaded/20210513/c3cf3d38-a42e-4ae7-829d-9fdda2f317cd.JPEG","12:26:47")</f>
      </c>
      <c r="U1597" s="18"/>
      <c r="V1597" s="18" t="s">
        <v>35</v>
      </c>
      <c r="W1597" s="15" t="s">
        <v>9536</v>
      </c>
      <c r="X1597" s="15" t="s">
        <v>35</v>
      </c>
      <c r="Y1597" s="15" t="s">
        <v>35</v>
      </c>
      <c r="Z1597" s="19">
        <v>0</v>
      </c>
      <c r="AA1597" s="15">
        <v>0</v>
      </c>
      <c r="AB1597" s="15" t="s">
        <v>35</v>
      </c>
    </row>
    <row r="1598">
      <c r="A1598" s="15">
        <v>1594</v>
      </c>
      <c r="B1598" s="15" t="s">
        <v>87</v>
      </c>
      <c r="C1598" s="15" t="s">
        <v>88</v>
      </c>
      <c r="D1598" s="15" t="s">
        <v>357</v>
      </c>
      <c r="E1598" s="15" t="s">
        <v>90</v>
      </c>
      <c r="F1598" s="15" t="s">
        <v>35</v>
      </c>
      <c r="G1598" s="15" t="s">
        <v>74</v>
      </c>
      <c r="H1598" s="15" t="s">
        <v>9537</v>
      </c>
      <c r="I1598" s="15" t="s">
        <v>9538</v>
      </c>
      <c r="J1598" s="15" t="s">
        <v>9539</v>
      </c>
      <c r="K1598" s="15" t="s">
        <v>1570</v>
      </c>
      <c r="L1598" s="15" t="s">
        <v>1571</v>
      </c>
      <c r="M1598" s="15" t="s">
        <v>2024</v>
      </c>
      <c r="N1598" s="15" t="s">
        <v>2025</v>
      </c>
      <c r="O1598" s="15" t="s">
        <v>82</v>
      </c>
      <c r="P1598" s="15" t="s">
        <v>2172</v>
      </c>
      <c r="Q1598" s="15" t="s">
        <v>2173</v>
      </c>
      <c r="R1598" s="16">
        <v>44329</v>
      </c>
      <c r="S1598" s="17" t="s">
        <v>70</v>
      </c>
      <c r="T1598" s="20">
        <f>HYPERLINK("https://vnm.spiral.com.vn//uploaded/20210513/77c52719-3552-4ed9-9b34-57e5647315e2.JPEG","11:31:05")</f>
      </c>
      <c r="U1598" s="20">
        <f>HYPERLINK("https://vnm.spiral.com.vn//uploaded/20210513/bb985e94-ef69-4b65-a903-5931a97fa1f9.JPEG","12:26:42")</f>
      </c>
      <c r="V1598" s="18">
        <v>0.038622685185185184</v>
      </c>
      <c r="W1598" s="15" t="s">
        <v>9540</v>
      </c>
      <c r="X1598" s="15" t="s">
        <v>9541</v>
      </c>
      <c r="Y1598" s="15" t="s">
        <v>35</v>
      </c>
      <c r="Z1598" s="19">
        <v>0</v>
      </c>
      <c r="AA1598" s="15">
        <v>0</v>
      </c>
      <c r="AB1598" s="15" t="s">
        <v>35</v>
      </c>
    </row>
    <row r="1599">
      <c r="A1599" s="15">
        <v>1595</v>
      </c>
      <c r="B1599" s="15" t="s">
        <v>87</v>
      </c>
      <c r="C1599" s="15" t="s">
        <v>88</v>
      </c>
      <c r="D1599" s="15" t="s">
        <v>357</v>
      </c>
      <c r="E1599" s="15" t="s">
        <v>90</v>
      </c>
      <c r="F1599" s="15" t="s">
        <v>35</v>
      </c>
      <c r="G1599" s="15" t="s">
        <v>74</v>
      </c>
      <c r="H1599" s="15" t="s">
        <v>9542</v>
      </c>
      <c r="I1599" s="15" t="s">
        <v>9543</v>
      </c>
      <c r="J1599" s="15" t="s">
        <v>9544</v>
      </c>
      <c r="K1599" s="15" t="s">
        <v>1570</v>
      </c>
      <c r="L1599" s="15" t="s">
        <v>1571</v>
      </c>
      <c r="M1599" s="15" t="s">
        <v>1572</v>
      </c>
      <c r="N1599" s="15" t="s">
        <v>1573</v>
      </c>
      <c r="O1599" s="15" t="s">
        <v>82</v>
      </c>
      <c r="P1599" s="15" t="s">
        <v>1579</v>
      </c>
      <c r="Q1599" s="15" t="s">
        <v>1580</v>
      </c>
      <c r="R1599" s="16">
        <v>44329</v>
      </c>
      <c r="S1599" s="17" t="s">
        <v>70</v>
      </c>
      <c r="T1599" s="20">
        <f>HYPERLINK("https://vnm.spiral.com.vn//uploaded/20210513/67750EC9-03B0-4E2D-BFE8-409D2C2F0F18.jpg","11:43:22")</f>
      </c>
      <c r="U1599" s="20">
        <f>HYPERLINK("https://vnm.spiral.com.vn//uploaded/20210513/7CA74E89-9980-458D-8D61-2B078E6A3394.jpg","12:25:54")</f>
      </c>
      <c r="V1599" s="18">
        <v>0.02953703703703704</v>
      </c>
      <c r="W1599" s="15" t="s">
        <v>9545</v>
      </c>
      <c r="X1599" s="15" t="s">
        <v>9546</v>
      </c>
      <c r="Y1599" s="15" t="s">
        <v>35</v>
      </c>
      <c r="Z1599" s="19">
        <v>0</v>
      </c>
      <c r="AA1599" s="15">
        <v>0</v>
      </c>
      <c r="AB1599" s="15" t="s">
        <v>35</v>
      </c>
    </row>
    <row r="1600">
      <c r="A1600" s="15">
        <v>1596</v>
      </c>
      <c r="B1600" s="15" t="s">
        <v>49</v>
      </c>
      <c r="C1600" s="15" t="s">
        <v>1389</v>
      </c>
      <c r="D1600" s="15" t="s">
        <v>35</v>
      </c>
      <c r="E1600" s="15" t="s">
        <v>35</v>
      </c>
      <c r="F1600" s="15" t="s">
        <v>4452</v>
      </c>
      <c r="G1600" s="15" t="s">
        <v>36</v>
      </c>
      <c r="H1600" s="15" t="s">
        <v>7970</v>
      </c>
      <c r="I1600" s="15" t="s">
        <v>7971</v>
      </c>
      <c r="J1600" s="15" t="s">
        <v>7972</v>
      </c>
      <c r="K1600" s="15" t="s">
        <v>40</v>
      </c>
      <c r="L1600" s="15" t="s">
        <v>41</v>
      </c>
      <c r="M1600" s="15" t="s">
        <v>55</v>
      </c>
      <c r="N1600" s="15" t="s">
        <v>56</v>
      </c>
      <c r="O1600" s="15" t="s">
        <v>44</v>
      </c>
      <c r="P1600" s="15" t="s">
        <v>7973</v>
      </c>
      <c r="Q1600" s="15" t="s">
        <v>7974</v>
      </c>
      <c r="R1600" s="16">
        <v>44329</v>
      </c>
      <c r="S1600" s="17" t="s">
        <v>317</v>
      </c>
      <c r="T1600" s="20">
        <f>HYPERLINK("https://vnm.spiral.com.vn//uploaded/20210513/02EEFFA2-068F-48EB-BE2A-49A471C192D5.jpg","08:18:24")</f>
      </c>
      <c r="U1600" s="20">
        <f>HYPERLINK("https://vnm.spiral.com.vn//uploaded/20210513/CECA5948-936C-4D53-A766-84365B393E0E.jpg","12:25:47")</f>
      </c>
      <c r="V1600" s="18">
        <v>0.17179398148148148</v>
      </c>
      <c r="W1600" s="15" t="s">
        <v>9547</v>
      </c>
      <c r="X1600" s="15" t="s">
        <v>9548</v>
      </c>
      <c r="Y1600" s="15" t="s">
        <v>35</v>
      </c>
      <c r="Z1600" s="19">
        <v>0</v>
      </c>
      <c r="AA1600" s="15">
        <v>0</v>
      </c>
      <c r="AB1600" s="15" t="s">
        <v>35</v>
      </c>
    </row>
    <row r="1601">
      <c r="A1601" s="15">
        <v>1597</v>
      </c>
      <c r="B1601" s="15" t="s">
        <v>103</v>
      </c>
      <c r="C1601" s="15" t="s">
        <v>1078</v>
      </c>
      <c r="D1601" s="15" t="s">
        <v>135</v>
      </c>
      <c r="E1601" s="15" t="s">
        <v>116</v>
      </c>
      <c r="F1601" s="15" t="s">
        <v>35</v>
      </c>
      <c r="G1601" s="15" t="s">
        <v>74</v>
      </c>
      <c r="H1601" s="15" t="s">
        <v>9549</v>
      </c>
      <c r="I1601" s="15" t="s">
        <v>9550</v>
      </c>
      <c r="J1601" s="15" t="s">
        <v>9551</v>
      </c>
      <c r="K1601" s="15" t="s">
        <v>436</v>
      </c>
      <c r="L1601" s="15" t="s">
        <v>437</v>
      </c>
      <c r="M1601" s="15" t="s">
        <v>1429</v>
      </c>
      <c r="N1601" s="15" t="s">
        <v>1430</v>
      </c>
      <c r="O1601" s="15" t="s">
        <v>82</v>
      </c>
      <c r="P1601" s="15" t="s">
        <v>2234</v>
      </c>
      <c r="Q1601" s="15" t="s">
        <v>2235</v>
      </c>
      <c r="R1601" s="16">
        <v>44329</v>
      </c>
      <c r="S1601" s="17" t="s">
        <v>70</v>
      </c>
      <c r="T1601" s="20">
        <f>HYPERLINK("https://vnm.spiral.com.vn//uploaded/20210513/3725E567-2BBB-47AB-AF79-9012D8A6572D.jpg","11:31:27")</f>
      </c>
      <c r="U1601" s="20">
        <f>HYPERLINK("https://vnm.spiral.com.vn//uploaded/20210513/45DA826C-E7AB-41C8-83CB-4C5E6E825BE3.jpg","12:25:35")</f>
      </c>
      <c r="V1601" s="18">
        <v>0.037592592592592594</v>
      </c>
      <c r="W1601" s="15" t="s">
        <v>9552</v>
      </c>
      <c r="X1601" s="15" t="s">
        <v>9553</v>
      </c>
      <c r="Y1601" s="15" t="s">
        <v>35</v>
      </c>
      <c r="Z1601" s="19">
        <v>0</v>
      </c>
      <c r="AA1601" s="15">
        <v>0</v>
      </c>
      <c r="AB1601" s="15" t="s">
        <v>35</v>
      </c>
    </row>
    <row r="1602">
      <c r="A1602" s="15">
        <v>1598</v>
      </c>
      <c r="B1602" s="15" t="s">
        <v>87</v>
      </c>
      <c r="C1602" s="15" t="s">
        <v>88</v>
      </c>
      <c r="D1602" s="15" t="s">
        <v>610</v>
      </c>
      <c r="E1602" s="15" t="s">
        <v>90</v>
      </c>
      <c r="F1602" s="15" t="s">
        <v>35</v>
      </c>
      <c r="G1602" s="15" t="s">
        <v>74</v>
      </c>
      <c r="H1602" s="15" t="s">
        <v>8595</v>
      </c>
      <c r="I1602" s="15" t="s">
        <v>8596</v>
      </c>
      <c r="J1602" s="15" t="s">
        <v>8597</v>
      </c>
      <c r="K1602" s="15" t="s">
        <v>614</v>
      </c>
      <c r="L1602" s="15" t="s">
        <v>615</v>
      </c>
      <c r="M1602" s="15" t="s">
        <v>616</v>
      </c>
      <c r="N1602" s="15" t="s">
        <v>617</v>
      </c>
      <c r="O1602" s="15" t="s">
        <v>82</v>
      </c>
      <c r="P1602" s="15" t="s">
        <v>618</v>
      </c>
      <c r="Q1602" s="15" t="s">
        <v>619</v>
      </c>
      <c r="R1602" s="16">
        <v>44329</v>
      </c>
      <c r="S1602" s="17" t="s">
        <v>70</v>
      </c>
      <c r="T1602" s="20">
        <f>HYPERLINK("https://vnm.spiral.com.vn//uploaded/20210513/09798601-B396-4742-9F5F-36710922ECA5.jpg","10:58:00")</f>
      </c>
      <c r="U1602" s="20">
        <f>HYPERLINK("https://vnm.spiral.com.vn//uploaded/20210513/08A4B923-3E77-436A-86AE-20827C864A34.jpg","12:25:31")</f>
      </c>
      <c r="V1602" s="18">
        <v>0.06077546296296296</v>
      </c>
      <c r="W1602" s="15" t="s">
        <v>9554</v>
      </c>
      <c r="X1602" s="15" t="s">
        <v>9555</v>
      </c>
      <c r="Y1602" s="15" t="s">
        <v>35</v>
      </c>
      <c r="Z1602" s="19">
        <v>0</v>
      </c>
      <c r="AA1602" s="15">
        <v>0</v>
      </c>
      <c r="AB1602" s="15" t="s">
        <v>35</v>
      </c>
    </row>
    <row r="1603">
      <c r="A1603" s="15">
        <v>1599</v>
      </c>
      <c r="B1603" s="15" t="s">
        <v>61</v>
      </c>
      <c r="C1603" s="15" t="s">
        <v>904</v>
      </c>
      <c r="D1603" s="15" t="s">
        <v>135</v>
      </c>
      <c r="E1603" s="15" t="s">
        <v>116</v>
      </c>
      <c r="F1603" s="15" t="s">
        <v>35</v>
      </c>
      <c r="G1603" s="15" t="s">
        <v>74</v>
      </c>
      <c r="H1603" s="15" t="s">
        <v>9556</v>
      </c>
      <c r="I1603" s="15" t="s">
        <v>9557</v>
      </c>
      <c r="J1603" s="15" t="s">
        <v>9558</v>
      </c>
      <c r="K1603" s="15" t="s">
        <v>152</v>
      </c>
      <c r="L1603" s="15" t="s">
        <v>153</v>
      </c>
      <c r="M1603" s="15" t="s">
        <v>1586</v>
      </c>
      <c r="N1603" s="15" t="s">
        <v>1587</v>
      </c>
      <c r="O1603" s="15" t="s">
        <v>98</v>
      </c>
      <c r="P1603" s="15" t="s">
        <v>1588</v>
      </c>
      <c r="Q1603" s="15" t="s">
        <v>1589</v>
      </c>
      <c r="R1603" s="16">
        <v>44329</v>
      </c>
      <c r="S1603" s="17" t="s">
        <v>70</v>
      </c>
      <c r="T1603" s="20">
        <f>HYPERLINK("https://vnm.spiral.com.vn//uploaded/20210513/828FC003-4B13-4312-978D-D45522F41A3F.jpg","10:40:21")</f>
      </c>
      <c r="U1603" s="20">
        <f>HYPERLINK("https://vnm.spiral.com.vn//uploaded/20210513/9FD9ACD5-6D09-4004-8656-726DD7B4AEE3.jpg","12:25:02")</f>
      </c>
      <c r="V1603" s="18">
        <v>0.07269675925925925</v>
      </c>
      <c r="W1603" s="15" t="s">
        <v>9559</v>
      </c>
      <c r="X1603" s="15" t="s">
        <v>9560</v>
      </c>
      <c r="Y1603" s="15" t="s">
        <v>35</v>
      </c>
      <c r="Z1603" s="19">
        <v>0</v>
      </c>
      <c r="AA1603" s="15">
        <v>0</v>
      </c>
      <c r="AB1603" s="15" t="s">
        <v>35</v>
      </c>
    </row>
    <row r="1604">
      <c r="A1604" s="15">
        <v>1600</v>
      </c>
      <c r="B1604" s="15" t="s">
        <v>49</v>
      </c>
      <c r="C1604" s="15" t="s">
        <v>50</v>
      </c>
      <c r="D1604" s="15" t="s">
        <v>35</v>
      </c>
      <c r="E1604" s="15" t="s">
        <v>35</v>
      </c>
      <c r="F1604" s="15" t="s">
        <v>51</v>
      </c>
      <c r="G1604" s="15" t="s">
        <v>36</v>
      </c>
      <c r="H1604" s="15" t="s">
        <v>52</v>
      </c>
      <c r="I1604" s="15" t="s">
        <v>53</v>
      </c>
      <c r="J1604" s="15" t="s">
        <v>54</v>
      </c>
      <c r="K1604" s="15" t="s">
        <v>40</v>
      </c>
      <c r="L1604" s="15" t="s">
        <v>41</v>
      </c>
      <c r="M1604" s="15" t="s">
        <v>55</v>
      </c>
      <c r="N1604" s="15" t="s">
        <v>56</v>
      </c>
      <c r="O1604" s="15" t="s">
        <v>44</v>
      </c>
      <c r="P1604" s="15" t="s">
        <v>57</v>
      </c>
      <c r="Q1604" s="15" t="s">
        <v>58</v>
      </c>
      <c r="R1604" s="16">
        <v>44329</v>
      </c>
      <c r="S1604" s="17" t="s">
        <v>317</v>
      </c>
      <c r="T1604" s="20">
        <f>HYPERLINK("https://vnm.spiral.com.vn//uploaded/20210513/46fe194a-cfd2-4f03-8852-16f250da6b42.JPEG","08:19:20")</f>
      </c>
      <c r="U1604" s="20">
        <f>HYPERLINK("https://vnm.spiral.com.vn//uploaded/20210513/0c4deb93-d80a-4a1d-9bef-e689bf2c4fbd.JPEG","12:24:59")</f>
      </c>
      <c r="V1604" s="18">
        <v>0.17059027777777777</v>
      </c>
      <c r="W1604" s="15" t="s">
        <v>9561</v>
      </c>
      <c r="X1604" s="15" t="s">
        <v>9562</v>
      </c>
      <c r="Y1604" s="15" t="s">
        <v>35</v>
      </c>
      <c r="Z1604" s="19">
        <v>0</v>
      </c>
      <c r="AA1604" s="15">
        <v>0</v>
      </c>
      <c r="AB1604" s="15" t="s">
        <v>35</v>
      </c>
    </row>
    <row r="1605">
      <c r="A1605" s="15">
        <v>1601</v>
      </c>
      <c r="B1605" s="15" t="s">
        <v>246</v>
      </c>
      <c r="C1605" s="15" t="s">
        <v>259</v>
      </c>
      <c r="D1605" s="15" t="s">
        <v>35</v>
      </c>
      <c r="E1605" s="15" t="s">
        <v>35</v>
      </c>
      <c r="F1605" s="15" t="s">
        <v>943</v>
      </c>
      <c r="G1605" s="15" t="s">
        <v>36</v>
      </c>
      <c r="H1605" s="15" t="s">
        <v>4146</v>
      </c>
      <c r="I1605" s="15" t="s">
        <v>4147</v>
      </c>
      <c r="J1605" s="15" t="s">
        <v>4148</v>
      </c>
      <c r="K1605" s="15" t="s">
        <v>40</v>
      </c>
      <c r="L1605" s="15" t="s">
        <v>41</v>
      </c>
      <c r="M1605" s="15" t="s">
        <v>252</v>
      </c>
      <c r="N1605" s="15" t="s">
        <v>253</v>
      </c>
      <c r="O1605" s="15" t="s">
        <v>44</v>
      </c>
      <c r="P1605" s="15" t="s">
        <v>4149</v>
      </c>
      <c r="Q1605" s="15" t="s">
        <v>4150</v>
      </c>
      <c r="R1605" s="16">
        <v>44329</v>
      </c>
      <c r="S1605" s="17" t="s">
        <v>317</v>
      </c>
      <c r="T1605" s="20">
        <f>HYPERLINK("https://vnm.spiral.com.vn//uploaded/20210513/08DCF6AD-B8A7-4A8C-95C2-0A634AE11BF4.jpg","08:10:12")</f>
      </c>
      <c r="U1605" s="20">
        <f>HYPERLINK("https://vnm.spiral.com.vn//uploaded/20210513/508DF9AA-9564-4E0F-9CFA-4076AAAC8BAF.jpg","12:24:51")</f>
      </c>
      <c r="V1605" s="18">
        <v>0.17684027777777778</v>
      </c>
      <c r="W1605" s="15" t="s">
        <v>9563</v>
      </c>
      <c r="X1605" s="15" t="s">
        <v>9564</v>
      </c>
      <c r="Y1605" s="15" t="s">
        <v>35</v>
      </c>
      <c r="Z1605" s="19">
        <v>0</v>
      </c>
      <c r="AA1605" s="15">
        <v>0</v>
      </c>
      <c r="AB1605" s="15" t="s">
        <v>35</v>
      </c>
    </row>
    <row r="1606">
      <c r="A1606" s="15">
        <v>1602</v>
      </c>
      <c r="B1606" s="15" t="s">
        <v>343</v>
      </c>
      <c r="C1606" s="15" t="s">
        <v>344</v>
      </c>
      <c r="D1606" s="15" t="s">
        <v>432</v>
      </c>
      <c r="E1606" s="15" t="s">
        <v>116</v>
      </c>
      <c r="F1606" s="15" t="s">
        <v>35</v>
      </c>
      <c r="G1606" s="15" t="s">
        <v>74</v>
      </c>
      <c r="H1606" s="15" t="s">
        <v>9565</v>
      </c>
      <c r="I1606" s="15" t="s">
        <v>9566</v>
      </c>
      <c r="J1606" s="15" t="s">
        <v>9567</v>
      </c>
      <c r="K1606" s="15" t="s">
        <v>512</v>
      </c>
      <c r="L1606" s="15" t="s">
        <v>513</v>
      </c>
      <c r="M1606" s="15" t="s">
        <v>514</v>
      </c>
      <c r="N1606" s="15" t="s">
        <v>515</v>
      </c>
      <c r="O1606" s="15" t="s">
        <v>82</v>
      </c>
      <c r="P1606" s="15" t="s">
        <v>2342</v>
      </c>
      <c r="Q1606" s="15" t="s">
        <v>2343</v>
      </c>
      <c r="R1606" s="16">
        <v>44329</v>
      </c>
      <c r="S1606" s="17" t="s">
        <v>70</v>
      </c>
      <c r="T1606" s="20">
        <f>HYPERLINK("https://vnm.spiral.com.vn//uploaded/20210513/3c343a44-9fe2-4327-b96a-5f1f2bf8f779.JPEG","11:22:18")</f>
      </c>
      <c r="U1606" s="20">
        <f>HYPERLINK("https://vnm.spiral.com.vn//uploaded/20210513/04fcf0ad-cd50-4583-a4f0-4b703480a8e5.JPEG","12:24:30")</f>
      </c>
      <c r="V1606" s="18">
        <v>0.043194444444444445</v>
      </c>
      <c r="W1606" s="15" t="s">
        <v>9568</v>
      </c>
      <c r="X1606" s="15" t="s">
        <v>9569</v>
      </c>
      <c r="Y1606" s="15" t="s">
        <v>35</v>
      </c>
      <c r="Z1606" s="19">
        <v>0</v>
      </c>
      <c r="AA1606" s="15">
        <v>0</v>
      </c>
      <c r="AB1606" s="15" t="s">
        <v>35</v>
      </c>
    </row>
    <row r="1607">
      <c r="A1607" s="15">
        <v>1603</v>
      </c>
      <c r="B1607" s="15" t="s">
        <v>103</v>
      </c>
      <c r="C1607" s="15" t="s">
        <v>104</v>
      </c>
      <c r="D1607" s="15" t="s">
        <v>1897</v>
      </c>
      <c r="E1607" s="15" t="s">
        <v>90</v>
      </c>
      <c r="F1607" s="15" t="s">
        <v>35</v>
      </c>
      <c r="G1607" s="15" t="s">
        <v>74</v>
      </c>
      <c r="H1607" s="15" t="s">
        <v>3553</v>
      </c>
      <c r="I1607" s="15" t="s">
        <v>3554</v>
      </c>
      <c r="J1607" s="15" t="s">
        <v>3555</v>
      </c>
      <c r="K1607" s="15" t="s">
        <v>460</v>
      </c>
      <c r="L1607" s="15" t="s">
        <v>461</v>
      </c>
      <c r="M1607" s="15" t="s">
        <v>3497</v>
      </c>
      <c r="N1607" s="15" t="s">
        <v>3498</v>
      </c>
      <c r="O1607" s="15" t="s">
        <v>156</v>
      </c>
      <c r="P1607" s="15" t="s">
        <v>9570</v>
      </c>
      <c r="Q1607" s="15" t="s">
        <v>9571</v>
      </c>
      <c r="R1607" s="16">
        <v>44329</v>
      </c>
      <c r="S1607" s="17" t="s">
        <v>9484</v>
      </c>
      <c r="T1607" s="20">
        <f>HYPERLINK("https://vnm.spiral.com.vn//uploaded/20210513/6CFC25A1-449B-4A8D-A54E-0542A7038B8B.jpg","12:24:25")</f>
      </c>
      <c r="U1607" s="18"/>
      <c r="V1607" s="18" t="s">
        <v>35</v>
      </c>
      <c r="W1607" s="15" t="s">
        <v>9572</v>
      </c>
      <c r="X1607" s="15" t="s">
        <v>35</v>
      </c>
      <c r="Y1607" s="15" t="s">
        <v>35</v>
      </c>
      <c r="Z1607" s="19">
        <v>0</v>
      </c>
      <c r="AA1607" s="15">
        <v>0</v>
      </c>
      <c r="AB1607" s="15" t="s">
        <v>35</v>
      </c>
    </row>
    <row r="1608">
      <c r="A1608" s="15">
        <v>1604</v>
      </c>
      <c r="B1608" s="15" t="s">
        <v>33</v>
      </c>
      <c r="C1608" s="15" t="s">
        <v>979</v>
      </c>
      <c r="D1608" s="15" t="s">
        <v>35</v>
      </c>
      <c r="E1608" s="15" t="s">
        <v>35</v>
      </c>
      <c r="F1608" s="15" t="s">
        <v>35</v>
      </c>
      <c r="G1608" s="15" t="s">
        <v>74</v>
      </c>
      <c r="H1608" s="15" t="s">
        <v>980</v>
      </c>
      <c r="I1608" s="15" t="s">
        <v>981</v>
      </c>
      <c r="J1608" s="15" t="s">
        <v>982</v>
      </c>
      <c r="K1608" s="15" t="s">
        <v>540</v>
      </c>
      <c r="L1608" s="15" t="s">
        <v>541</v>
      </c>
      <c r="M1608" s="15" t="s">
        <v>769</v>
      </c>
      <c r="N1608" s="15" t="s">
        <v>770</v>
      </c>
      <c r="O1608" s="15" t="s">
        <v>156</v>
      </c>
      <c r="P1608" s="15" t="s">
        <v>9573</v>
      </c>
      <c r="Q1608" s="15" t="s">
        <v>9574</v>
      </c>
      <c r="R1608" s="16">
        <v>44329</v>
      </c>
      <c r="S1608" s="17" t="s">
        <v>8701</v>
      </c>
      <c r="T1608" s="20">
        <f>HYPERLINK("https://vnm.spiral.com.vn//uploaded/20210513/bb789340-f03b-4521-af47-eee7754f3a6f.JPEG","12:24:00")</f>
      </c>
      <c r="U1608" s="18"/>
      <c r="V1608" s="18" t="s">
        <v>35</v>
      </c>
      <c r="W1608" s="15" t="s">
        <v>9575</v>
      </c>
      <c r="X1608" s="15" t="s">
        <v>35</v>
      </c>
      <c r="Y1608" s="15" t="s">
        <v>35</v>
      </c>
      <c r="Z1608" s="19">
        <v>0</v>
      </c>
      <c r="AA1608" s="15">
        <v>0</v>
      </c>
      <c r="AB1608" s="15" t="s">
        <v>35</v>
      </c>
    </row>
    <row r="1609">
      <c r="A1609" s="15">
        <v>1605</v>
      </c>
      <c r="B1609" s="15" t="s">
        <v>103</v>
      </c>
      <c r="C1609" s="15" t="s">
        <v>186</v>
      </c>
      <c r="D1609" s="15" t="s">
        <v>89</v>
      </c>
      <c r="E1609" s="15" t="s">
        <v>90</v>
      </c>
      <c r="F1609" s="15" t="s">
        <v>35</v>
      </c>
      <c r="G1609" s="15" t="s">
        <v>74</v>
      </c>
      <c r="H1609" s="15" t="s">
        <v>4896</v>
      </c>
      <c r="I1609" s="15" t="s">
        <v>4897</v>
      </c>
      <c r="J1609" s="15" t="s">
        <v>4898</v>
      </c>
      <c r="K1609" s="15" t="s">
        <v>178</v>
      </c>
      <c r="L1609" s="15" t="s">
        <v>179</v>
      </c>
      <c r="M1609" s="15" t="s">
        <v>2120</v>
      </c>
      <c r="N1609" s="15" t="s">
        <v>2121</v>
      </c>
      <c r="O1609" s="15" t="s">
        <v>156</v>
      </c>
      <c r="P1609" s="15" t="s">
        <v>9576</v>
      </c>
      <c r="Q1609" s="15" t="s">
        <v>9577</v>
      </c>
      <c r="R1609" s="16">
        <v>44329</v>
      </c>
      <c r="S1609" s="17" t="s">
        <v>9411</v>
      </c>
      <c r="T1609" s="20">
        <f>HYPERLINK("https://vnm.spiral.com.vn//uploaded/20210513/26EC5049-B30A-4593-9CFD-CC8C6209CA28.jpg","12:23:32")</f>
      </c>
      <c r="U1609" s="18"/>
      <c r="V1609" s="18" t="s">
        <v>35</v>
      </c>
      <c r="W1609" s="15" t="s">
        <v>9578</v>
      </c>
      <c r="X1609" s="15" t="s">
        <v>35</v>
      </c>
      <c r="Y1609" s="15" t="s">
        <v>35</v>
      </c>
      <c r="Z1609" s="19">
        <v>0</v>
      </c>
      <c r="AA1609" s="15">
        <v>0</v>
      </c>
      <c r="AB1609" s="15" t="s">
        <v>35</v>
      </c>
    </row>
    <row r="1610">
      <c r="A1610" s="15">
        <v>1606</v>
      </c>
      <c r="B1610" s="15" t="s">
        <v>61</v>
      </c>
      <c r="C1610" s="15" t="s">
        <v>1730</v>
      </c>
      <c r="D1610" s="15" t="s">
        <v>89</v>
      </c>
      <c r="E1610" s="15" t="s">
        <v>90</v>
      </c>
      <c r="F1610" s="15" t="s">
        <v>35</v>
      </c>
      <c r="G1610" s="15" t="s">
        <v>74</v>
      </c>
      <c r="H1610" s="15" t="s">
        <v>2753</v>
      </c>
      <c r="I1610" s="15" t="s">
        <v>2754</v>
      </c>
      <c r="J1610" s="15" t="s">
        <v>2755</v>
      </c>
      <c r="K1610" s="15" t="s">
        <v>309</v>
      </c>
      <c r="L1610" s="15" t="s">
        <v>310</v>
      </c>
      <c r="M1610" s="15" t="s">
        <v>778</v>
      </c>
      <c r="N1610" s="15" t="s">
        <v>779</v>
      </c>
      <c r="O1610" s="15" t="s">
        <v>156</v>
      </c>
      <c r="P1610" s="15" t="s">
        <v>9579</v>
      </c>
      <c r="Q1610" s="15" t="s">
        <v>9580</v>
      </c>
      <c r="R1610" s="16">
        <v>44329</v>
      </c>
      <c r="S1610" s="17" t="s">
        <v>9484</v>
      </c>
      <c r="T1610" s="20">
        <f>HYPERLINK("https://vnm.spiral.com.vn//uploaded/20210513/03E58CC2-F021-4D22-B287-06B721A6213C.jpg","12:23:29")</f>
      </c>
      <c r="U1610" s="18"/>
      <c r="V1610" s="18" t="s">
        <v>35</v>
      </c>
      <c r="W1610" s="15" t="s">
        <v>9581</v>
      </c>
      <c r="X1610" s="15" t="s">
        <v>35</v>
      </c>
      <c r="Y1610" s="15" t="s">
        <v>35</v>
      </c>
      <c r="Z1610" s="19">
        <v>0</v>
      </c>
      <c r="AA1610" s="15">
        <v>0</v>
      </c>
      <c r="AB1610" s="15" t="s">
        <v>35</v>
      </c>
    </row>
    <row r="1611">
      <c r="A1611" s="15">
        <v>1607</v>
      </c>
      <c r="B1611" s="15" t="s">
        <v>87</v>
      </c>
      <c r="C1611" s="15" t="s">
        <v>88</v>
      </c>
      <c r="D1611" s="15" t="s">
        <v>379</v>
      </c>
      <c r="E1611" s="15" t="s">
        <v>35</v>
      </c>
      <c r="F1611" s="15" t="s">
        <v>35</v>
      </c>
      <c r="G1611" s="15" t="s">
        <v>35</v>
      </c>
      <c r="H1611" s="15" t="s">
        <v>2399</v>
      </c>
      <c r="I1611" s="15" t="s">
        <v>2400</v>
      </c>
      <c r="J1611" s="15" t="s">
        <v>2401</v>
      </c>
      <c r="K1611" s="15" t="s">
        <v>748</v>
      </c>
      <c r="L1611" s="15" t="s">
        <v>749</v>
      </c>
      <c r="M1611" s="15" t="s">
        <v>2257</v>
      </c>
      <c r="N1611" s="15" t="s">
        <v>2258</v>
      </c>
      <c r="O1611" s="15" t="s">
        <v>156</v>
      </c>
      <c r="P1611" s="15" t="s">
        <v>9582</v>
      </c>
      <c r="Q1611" s="15" t="s">
        <v>9583</v>
      </c>
      <c r="R1611" s="16">
        <v>44329</v>
      </c>
      <c r="S1611" s="17" t="s">
        <v>4131</v>
      </c>
      <c r="T1611" s="20">
        <f>HYPERLINK("https://vnm.spiral.com.vn//uploaded/20210513/88C37D60-6CAF-4768-BF50-1DFA60550AA7.jpg","12:23:24")</f>
      </c>
      <c r="U1611" s="18"/>
      <c r="V1611" s="18" t="s">
        <v>35</v>
      </c>
      <c r="W1611" s="15" t="s">
        <v>9584</v>
      </c>
      <c r="X1611" s="15" t="s">
        <v>35</v>
      </c>
      <c r="Y1611" s="15" t="s">
        <v>35</v>
      </c>
      <c r="Z1611" s="19">
        <v>0</v>
      </c>
      <c r="AA1611" s="15">
        <v>0</v>
      </c>
      <c r="AB1611" s="15" t="s">
        <v>35</v>
      </c>
    </row>
    <row r="1612">
      <c r="A1612" s="15">
        <v>1608</v>
      </c>
      <c r="B1612" s="15" t="s">
        <v>103</v>
      </c>
      <c r="C1612" s="15" t="s">
        <v>104</v>
      </c>
      <c r="D1612" s="15" t="s">
        <v>35</v>
      </c>
      <c r="E1612" s="15" t="s">
        <v>35</v>
      </c>
      <c r="F1612" s="15" t="s">
        <v>5412</v>
      </c>
      <c r="G1612" s="15" t="s">
        <v>36</v>
      </c>
      <c r="H1612" s="15" t="s">
        <v>5413</v>
      </c>
      <c r="I1612" s="15" t="s">
        <v>5414</v>
      </c>
      <c r="J1612" s="15" t="s">
        <v>5415</v>
      </c>
      <c r="K1612" s="15" t="s">
        <v>40</v>
      </c>
      <c r="L1612" s="15" t="s">
        <v>41</v>
      </c>
      <c r="M1612" s="15" t="s">
        <v>108</v>
      </c>
      <c r="N1612" s="15" t="s">
        <v>109</v>
      </c>
      <c r="O1612" s="15" t="s">
        <v>44</v>
      </c>
      <c r="P1612" s="15" t="s">
        <v>5416</v>
      </c>
      <c r="Q1612" s="15" t="s">
        <v>5417</v>
      </c>
      <c r="R1612" s="16">
        <v>44329</v>
      </c>
      <c r="S1612" s="17" t="s">
        <v>317</v>
      </c>
      <c r="T1612" s="20">
        <f>HYPERLINK("https://vnm.spiral.com.vn//uploaded/20210513/AA37C1EB-59AC-48F2-9A23-77810331FD31.jpg","07:29:37")</f>
      </c>
      <c r="U1612" s="20">
        <f>HYPERLINK("https://vnm.spiral.com.vn//uploaded/20210513/A5AE4538-4C20-4868-BFB8-F35AB6795848.jpg","12:23:17")</f>
      </c>
      <c r="V1612" s="18">
        <v>0.2039351851851852</v>
      </c>
      <c r="W1612" s="15" t="s">
        <v>9585</v>
      </c>
      <c r="X1612" s="15" t="s">
        <v>9586</v>
      </c>
      <c r="Y1612" s="15" t="s">
        <v>35</v>
      </c>
      <c r="Z1612" s="19">
        <v>0</v>
      </c>
      <c r="AA1612" s="15">
        <v>0</v>
      </c>
      <c r="AB1612" s="15" t="s">
        <v>35</v>
      </c>
    </row>
    <row r="1613">
      <c r="A1613" s="15">
        <v>1609</v>
      </c>
      <c r="B1613" s="15" t="s">
        <v>87</v>
      </c>
      <c r="C1613" s="15" t="s">
        <v>88</v>
      </c>
      <c r="D1613" s="15" t="s">
        <v>35</v>
      </c>
      <c r="E1613" s="15" t="s">
        <v>35</v>
      </c>
      <c r="F1613" s="15" t="s">
        <v>35</v>
      </c>
      <c r="G1613" s="15" t="s">
        <v>36</v>
      </c>
      <c r="H1613" s="15" t="s">
        <v>4373</v>
      </c>
      <c r="I1613" s="15" t="s">
        <v>4374</v>
      </c>
      <c r="J1613" s="15" t="s">
        <v>4375</v>
      </c>
      <c r="K1613" s="15" t="s">
        <v>40</v>
      </c>
      <c r="L1613" s="15" t="s">
        <v>41</v>
      </c>
      <c r="M1613" s="15" t="s">
        <v>289</v>
      </c>
      <c r="N1613" s="15" t="s">
        <v>290</v>
      </c>
      <c r="O1613" s="15" t="s">
        <v>44</v>
      </c>
      <c r="P1613" s="15" t="s">
        <v>4376</v>
      </c>
      <c r="Q1613" s="15" t="s">
        <v>4377</v>
      </c>
      <c r="R1613" s="16">
        <v>44329</v>
      </c>
      <c r="S1613" s="17" t="s">
        <v>317</v>
      </c>
      <c r="T1613" s="20">
        <f>HYPERLINK("https://vnm.spiral.com.vn//uploaded/20210513/ea4547f6-295f-4824-919a-26f18112851b.JPEG","08:12:45")</f>
      </c>
      <c r="U1613" s="20">
        <f>HYPERLINK("https://vnm.spiral.com.vn//uploaded/20210513/add1c50f-d75b-403c-8aab-a6f4ba4f05fd.JPEG","12:22:59")</f>
      </c>
      <c r="V1613" s="18">
        <v>0.17377314814814815</v>
      </c>
      <c r="W1613" s="15" t="s">
        <v>9587</v>
      </c>
      <c r="X1613" s="15" t="s">
        <v>9587</v>
      </c>
      <c r="Y1613" s="15" t="s">
        <v>35</v>
      </c>
      <c r="Z1613" s="19">
        <v>0</v>
      </c>
      <c r="AA1613" s="15">
        <v>0</v>
      </c>
      <c r="AB1613" s="15" t="s">
        <v>35</v>
      </c>
    </row>
    <row r="1614">
      <c r="A1614" s="15">
        <v>1610</v>
      </c>
      <c r="B1614" s="15" t="s">
        <v>61</v>
      </c>
      <c r="C1614" s="15" t="s">
        <v>1106</v>
      </c>
      <c r="D1614" s="15" t="s">
        <v>89</v>
      </c>
      <c r="E1614" s="15" t="s">
        <v>90</v>
      </c>
      <c r="F1614" s="15" t="s">
        <v>35</v>
      </c>
      <c r="G1614" s="15" t="s">
        <v>74</v>
      </c>
      <c r="H1614" s="15" t="s">
        <v>9588</v>
      </c>
      <c r="I1614" s="15" t="s">
        <v>9589</v>
      </c>
      <c r="J1614" s="15" t="s">
        <v>9590</v>
      </c>
      <c r="K1614" s="15" t="s">
        <v>154</v>
      </c>
      <c r="L1614" s="15" t="s">
        <v>155</v>
      </c>
      <c r="M1614" s="15" t="s">
        <v>2458</v>
      </c>
      <c r="N1614" s="15" t="s">
        <v>2459</v>
      </c>
      <c r="O1614" s="15" t="s">
        <v>156</v>
      </c>
      <c r="P1614" s="15" t="s">
        <v>9591</v>
      </c>
      <c r="Q1614" s="15" t="s">
        <v>9592</v>
      </c>
      <c r="R1614" s="16">
        <v>44329</v>
      </c>
      <c r="S1614" s="17" t="s">
        <v>9484</v>
      </c>
      <c r="T1614" s="20">
        <f>HYPERLINK("https://vnm.spiral.com.vn//uploaded/20210513/FAE8877C-A8E4-4AA6-AC56-506166A00AE7.jpg","12:22:28")</f>
      </c>
      <c r="U1614" s="18"/>
      <c r="V1614" s="18" t="s">
        <v>35</v>
      </c>
      <c r="W1614" s="15" t="s">
        <v>9593</v>
      </c>
      <c r="X1614" s="15" t="s">
        <v>35</v>
      </c>
      <c r="Y1614" s="15" t="s">
        <v>35</v>
      </c>
      <c r="Z1614" s="19">
        <v>0</v>
      </c>
      <c r="AA1614" s="15">
        <v>0</v>
      </c>
      <c r="AB1614" s="15" t="s">
        <v>35</v>
      </c>
    </row>
    <row r="1615">
      <c r="A1615" s="15">
        <v>1611</v>
      </c>
      <c r="B1615" s="15" t="s">
        <v>87</v>
      </c>
      <c r="C1615" s="15" t="s">
        <v>88</v>
      </c>
      <c r="D1615" s="15" t="s">
        <v>35</v>
      </c>
      <c r="E1615" s="15" t="s">
        <v>35</v>
      </c>
      <c r="F1615" s="15" t="s">
        <v>2721</v>
      </c>
      <c r="G1615" s="15" t="s">
        <v>36</v>
      </c>
      <c r="H1615" s="15" t="s">
        <v>5601</v>
      </c>
      <c r="I1615" s="15" t="s">
        <v>5602</v>
      </c>
      <c r="J1615" s="15" t="s">
        <v>5603</v>
      </c>
      <c r="K1615" s="15" t="s">
        <v>40</v>
      </c>
      <c r="L1615" s="15" t="s">
        <v>41</v>
      </c>
      <c r="M1615" s="15" t="s">
        <v>1195</v>
      </c>
      <c r="N1615" s="15" t="s">
        <v>1196</v>
      </c>
      <c r="O1615" s="15" t="s">
        <v>44</v>
      </c>
      <c r="P1615" s="15" t="s">
        <v>5604</v>
      </c>
      <c r="Q1615" s="15" t="s">
        <v>5605</v>
      </c>
      <c r="R1615" s="16">
        <v>44329</v>
      </c>
      <c r="S1615" s="17" t="s">
        <v>317</v>
      </c>
      <c r="T1615" s="20">
        <f>HYPERLINK("https://vnm.spiral.com.vn//uploaded/20210513/8410A925-8D11-48F9-AD98-B7CF425A9FC0.jpg","08:08:00")</f>
      </c>
      <c r="U1615" s="20">
        <f>HYPERLINK("https://vnm.spiral.com.vn//uploaded/20210513/5E77148A-2D5F-46A4-834F-2013086A79B1.jpg","12:21:54")</f>
      </c>
      <c r="V1615" s="18">
        <v>0.17631944444444445</v>
      </c>
      <c r="W1615" s="15" t="s">
        <v>9594</v>
      </c>
      <c r="X1615" s="15" t="s">
        <v>9595</v>
      </c>
      <c r="Y1615" s="15" t="s">
        <v>35</v>
      </c>
      <c r="Z1615" s="19">
        <v>0</v>
      </c>
      <c r="AA1615" s="15">
        <v>0</v>
      </c>
      <c r="AB1615" s="15" t="s">
        <v>35</v>
      </c>
    </row>
    <row r="1616">
      <c r="A1616" s="15">
        <v>1612</v>
      </c>
      <c r="B1616" s="15" t="s">
        <v>61</v>
      </c>
      <c r="C1616" s="15" t="s">
        <v>320</v>
      </c>
      <c r="D1616" s="15" t="s">
        <v>35</v>
      </c>
      <c r="E1616" s="15" t="s">
        <v>35</v>
      </c>
      <c r="F1616" s="15" t="s">
        <v>35</v>
      </c>
      <c r="G1616" s="15" t="s">
        <v>36</v>
      </c>
      <c r="H1616" s="15" t="s">
        <v>6620</v>
      </c>
      <c r="I1616" s="15" t="s">
        <v>6621</v>
      </c>
      <c r="J1616" s="15" t="s">
        <v>6622</v>
      </c>
      <c r="K1616" s="15" t="s">
        <v>40</v>
      </c>
      <c r="L1616" s="15" t="s">
        <v>41</v>
      </c>
      <c r="M1616" s="15" t="s">
        <v>205</v>
      </c>
      <c r="N1616" s="15" t="s">
        <v>206</v>
      </c>
      <c r="O1616" s="15" t="s">
        <v>44</v>
      </c>
      <c r="P1616" s="15" t="s">
        <v>6623</v>
      </c>
      <c r="Q1616" s="15" t="s">
        <v>6624</v>
      </c>
      <c r="R1616" s="16">
        <v>44329</v>
      </c>
      <c r="S1616" s="17" t="s">
        <v>317</v>
      </c>
      <c r="T1616" s="20">
        <f>HYPERLINK("https://vnm.spiral.com.vn//uploaded/20210513/50d06dba-93a2-4be0-8c6a-febeae90af78.JPEG","07:53:39")</f>
      </c>
      <c r="U1616" s="20">
        <f>HYPERLINK("https://vnm.spiral.com.vn//uploaded/20210513/3860cee0-4cdd-452d-88a5-301251d763d1.JPEG","12:21:22")</f>
      </c>
      <c r="V1616" s="18">
        <v>0.18591435185185184</v>
      </c>
      <c r="W1616" s="15" t="s">
        <v>9596</v>
      </c>
      <c r="X1616" s="15" t="s">
        <v>9597</v>
      </c>
      <c r="Y1616" s="15" t="s">
        <v>35</v>
      </c>
      <c r="Z1616" s="19">
        <v>0</v>
      </c>
      <c r="AA1616" s="15">
        <v>0</v>
      </c>
      <c r="AB1616" s="15" t="s">
        <v>35</v>
      </c>
    </row>
    <row r="1617">
      <c r="A1617" s="15">
        <v>1613</v>
      </c>
      <c r="B1617" s="15" t="s">
        <v>61</v>
      </c>
      <c r="C1617" s="15" t="s">
        <v>1730</v>
      </c>
      <c r="D1617" s="15" t="s">
        <v>432</v>
      </c>
      <c r="E1617" s="15" t="s">
        <v>116</v>
      </c>
      <c r="F1617" s="15" t="s">
        <v>35</v>
      </c>
      <c r="G1617" s="15" t="s">
        <v>74</v>
      </c>
      <c r="H1617" s="15" t="s">
        <v>9598</v>
      </c>
      <c r="I1617" s="15" t="s">
        <v>9599</v>
      </c>
      <c r="J1617" s="15" t="s">
        <v>9600</v>
      </c>
      <c r="K1617" s="15" t="s">
        <v>152</v>
      </c>
      <c r="L1617" s="15" t="s">
        <v>153</v>
      </c>
      <c r="M1617" s="15" t="s">
        <v>309</v>
      </c>
      <c r="N1617" s="15" t="s">
        <v>310</v>
      </c>
      <c r="O1617" s="15" t="s">
        <v>98</v>
      </c>
      <c r="P1617" s="15" t="s">
        <v>778</v>
      </c>
      <c r="Q1617" s="15" t="s">
        <v>779</v>
      </c>
      <c r="R1617" s="16">
        <v>44329</v>
      </c>
      <c r="S1617" s="17" t="s">
        <v>70</v>
      </c>
      <c r="T1617" s="20">
        <f>HYPERLINK("https://vnm.spiral.com.vn//uploaded/20210513/815EC9A9-8151-4EF5-9C5E-228B587CA073.jpg","11:48:08")</f>
      </c>
      <c r="U1617" s="20">
        <f>HYPERLINK("https://vnm.spiral.com.vn//uploaded/20210513/903EC690-B844-4DBF-9808-D8C7D14280E7.jpg","12:21:18")</f>
      </c>
      <c r="V1617" s="18">
        <v>0.023032407407407408</v>
      </c>
      <c r="W1617" s="15" t="s">
        <v>9601</v>
      </c>
      <c r="X1617" s="15" t="s">
        <v>9602</v>
      </c>
      <c r="Y1617" s="15" t="s">
        <v>35</v>
      </c>
      <c r="Z1617" s="19">
        <v>0</v>
      </c>
      <c r="AA1617" s="15">
        <v>0</v>
      </c>
      <c r="AB1617" s="15" t="s">
        <v>35</v>
      </c>
    </row>
    <row r="1618">
      <c r="A1618" s="15">
        <v>1614</v>
      </c>
      <c r="B1618" s="15" t="s">
        <v>87</v>
      </c>
      <c r="C1618" s="15" t="s">
        <v>88</v>
      </c>
      <c r="D1618" s="15" t="s">
        <v>115</v>
      </c>
      <c r="E1618" s="15" t="s">
        <v>116</v>
      </c>
      <c r="F1618" s="15" t="s">
        <v>35</v>
      </c>
      <c r="G1618" s="15" t="s">
        <v>74</v>
      </c>
      <c r="H1618" s="15" t="s">
        <v>9603</v>
      </c>
      <c r="I1618" s="15" t="s">
        <v>9604</v>
      </c>
      <c r="J1618" s="15" t="s">
        <v>9605</v>
      </c>
      <c r="K1618" s="15" t="s">
        <v>120</v>
      </c>
      <c r="L1618" s="15" t="s">
        <v>121</v>
      </c>
      <c r="M1618" s="15" t="s">
        <v>122</v>
      </c>
      <c r="N1618" s="15" t="s">
        <v>123</v>
      </c>
      <c r="O1618" s="15" t="s">
        <v>82</v>
      </c>
      <c r="P1618" s="15" t="s">
        <v>7564</v>
      </c>
      <c r="Q1618" s="15" t="s">
        <v>7565</v>
      </c>
      <c r="R1618" s="16">
        <v>44329</v>
      </c>
      <c r="S1618" s="17" t="s">
        <v>70</v>
      </c>
      <c r="T1618" s="20">
        <f>HYPERLINK("https://vnm.spiral.com.vn//uploaded/20210513/AB0B8DD8-4EC1-413D-9EA9-726E87DDDF28.jpg","11:46:31")</f>
      </c>
      <c r="U1618" s="20">
        <f>HYPERLINK("https://vnm.spiral.com.vn//uploaded/20210513/C221B6E6-FD48-40B3-837B-476643B48D9E.jpg","12:21:11")</f>
      </c>
      <c r="V1618" s="18">
        <v>0.024074074074074074</v>
      </c>
      <c r="W1618" s="15" t="s">
        <v>9606</v>
      </c>
      <c r="X1618" s="15" t="s">
        <v>9607</v>
      </c>
      <c r="Y1618" s="15" t="s">
        <v>35</v>
      </c>
      <c r="Z1618" s="19">
        <v>0</v>
      </c>
      <c r="AA1618" s="15">
        <v>0</v>
      </c>
      <c r="AB1618" s="15" t="s">
        <v>35</v>
      </c>
    </row>
    <row r="1619">
      <c r="A1619" s="15">
        <v>1615</v>
      </c>
      <c r="B1619" s="15" t="s">
        <v>87</v>
      </c>
      <c r="C1619" s="15" t="s">
        <v>88</v>
      </c>
      <c r="D1619" s="15" t="s">
        <v>35</v>
      </c>
      <c r="E1619" s="15" t="s">
        <v>35</v>
      </c>
      <c r="F1619" s="15" t="s">
        <v>2077</v>
      </c>
      <c r="G1619" s="15" t="s">
        <v>36</v>
      </c>
      <c r="H1619" s="15" t="s">
        <v>3632</v>
      </c>
      <c r="I1619" s="15" t="s">
        <v>3633</v>
      </c>
      <c r="J1619" s="15" t="s">
        <v>3634</v>
      </c>
      <c r="K1619" s="15" t="s">
        <v>40</v>
      </c>
      <c r="L1619" s="15" t="s">
        <v>41</v>
      </c>
      <c r="M1619" s="15" t="s">
        <v>289</v>
      </c>
      <c r="N1619" s="15" t="s">
        <v>290</v>
      </c>
      <c r="O1619" s="15" t="s">
        <v>44</v>
      </c>
      <c r="P1619" s="15" t="s">
        <v>3635</v>
      </c>
      <c r="Q1619" s="15" t="s">
        <v>1641</v>
      </c>
      <c r="R1619" s="16">
        <v>44329</v>
      </c>
      <c r="S1619" s="17" t="s">
        <v>317</v>
      </c>
      <c r="T1619" s="20">
        <f>HYPERLINK("https://vnm.spiral.com.vn//uploaded/20210513/111867f1-41b2-4f86-ad7c-8edea9ce9d4c.JPEG","08:26:57")</f>
      </c>
      <c r="U1619" s="20">
        <f>HYPERLINK("https://vnm.spiral.com.vn//uploaded/20210513/dbeb5f53-caf2-4ef9-9e93-6a2aae78a3d3.JPEG","12:20:56")</f>
      </c>
      <c r="V1619" s="18">
        <v>0.16248842592592594</v>
      </c>
      <c r="W1619" s="15" t="s">
        <v>9608</v>
      </c>
      <c r="X1619" s="15" t="s">
        <v>9609</v>
      </c>
      <c r="Y1619" s="15" t="s">
        <v>35</v>
      </c>
      <c r="Z1619" s="19">
        <v>0</v>
      </c>
      <c r="AA1619" s="15">
        <v>0</v>
      </c>
      <c r="AB1619" s="15" t="s">
        <v>35</v>
      </c>
    </row>
    <row r="1620">
      <c r="A1620" s="15">
        <v>1616</v>
      </c>
      <c r="B1620" s="15" t="s">
        <v>103</v>
      </c>
      <c r="C1620" s="15" t="s">
        <v>186</v>
      </c>
      <c r="D1620" s="15" t="s">
        <v>35</v>
      </c>
      <c r="E1620" s="15" t="s">
        <v>35</v>
      </c>
      <c r="F1620" s="15" t="s">
        <v>6735</v>
      </c>
      <c r="G1620" s="15" t="s">
        <v>36</v>
      </c>
      <c r="H1620" s="15" t="s">
        <v>6736</v>
      </c>
      <c r="I1620" s="15" t="s">
        <v>6737</v>
      </c>
      <c r="J1620" s="15" t="s">
        <v>6738</v>
      </c>
      <c r="K1620" s="15" t="s">
        <v>40</v>
      </c>
      <c r="L1620" s="15" t="s">
        <v>41</v>
      </c>
      <c r="M1620" s="15" t="s">
        <v>565</v>
      </c>
      <c r="N1620" s="15" t="s">
        <v>566</v>
      </c>
      <c r="O1620" s="15" t="s">
        <v>44</v>
      </c>
      <c r="P1620" s="15" t="s">
        <v>6739</v>
      </c>
      <c r="Q1620" s="15" t="s">
        <v>6740</v>
      </c>
      <c r="R1620" s="16">
        <v>44329</v>
      </c>
      <c r="S1620" s="17" t="s">
        <v>317</v>
      </c>
      <c r="T1620" s="20">
        <f>HYPERLINK("https://vnm.spiral.com.vn//uploaded/20210513/b6cc65d2-1c9d-4bff-a434-aa848546948e.JPEG","07:56:02")</f>
      </c>
      <c r="U1620" s="20">
        <f>HYPERLINK("https://vnm.spiral.com.vn//uploaded/20210513/bcb187c0-8d5a-49c4-9ddb-374b8a55bbae.JPEG","12:20:48")</f>
      </c>
      <c r="V1620" s="18">
        <v>0.18386574074074075</v>
      </c>
      <c r="W1620" s="15" t="s">
        <v>9610</v>
      </c>
      <c r="X1620" s="15" t="s">
        <v>9611</v>
      </c>
      <c r="Y1620" s="15" t="s">
        <v>35</v>
      </c>
      <c r="Z1620" s="19">
        <v>0</v>
      </c>
      <c r="AA1620" s="15">
        <v>0</v>
      </c>
      <c r="AB1620" s="15" t="s">
        <v>35</v>
      </c>
    </row>
    <row r="1621">
      <c r="A1621" s="15">
        <v>1617</v>
      </c>
      <c r="B1621" s="15" t="s">
        <v>87</v>
      </c>
      <c r="C1621" s="15" t="s">
        <v>88</v>
      </c>
      <c r="D1621" s="15" t="s">
        <v>89</v>
      </c>
      <c r="E1621" s="15" t="s">
        <v>90</v>
      </c>
      <c r="F1621" s="15" t="s">
        <v>35</v>
      </c>
      <c r="G1621" s="15" t="s">
        <v>74</v>
      </c>
      <c r="H1621" s="15" t="s">
        <v>9612</v>
      </c>
      <c r="I1621" s="15" t="s">
        <v>9613</v>
      </c>
      <c r="J1621" s="15" t="s">
        <v>9614</v>
      </c>
      <c r="K1621" s="15" t="s">
        <v>94</v>
      </c>
      <c r="L1621" s="15" t="s">
        <v>95</v>
      </c>
      <c r="M1621" s="15" t="s">
        <v>96</v>
      </c>
      <c r="N1621" s="15" t="s">
        <v>97</v>
      </c>
      <c r="O1621" s="15" t="s">
        <v>98</v>
      </c>
      <c r="P1621" s="15" t="s">
        <v>99</v>
      </c>
      <c r="Q1621" s="15" t="s">
        <v>100</v>
      </c>
      <c r="R1621" s="16">
        <v>44329</v>
      </c>
      <c r="S1621" s="17" t="s">
        <v>70</v>
      </c>
      <c r="T1621" s="20">
        <f>HYPERLINK("https://vnm.spiral.com.vn//uploaded/20210513/e566b9c5-dca8-46ec-91b4-6eada56f3555.JPEG","08:39:57")</f>
      </c>
      <c r="U1621" s="20">
        <f>HYPERLINK("https://vnm.spiral.com.vn//uploaded/20210513/930df3ea-486f-4558-a4fe-01dbd9df497a.JPEG","12:20:30")</f>
      </c>
      <c r="V1621" s="18">
        <v>0.1531597222222222</v>
      </c>
      <c r="W1621" s="15" t="s">
        <v>9615</v>
      </c>
      <c r="X1621" s="15" t="s">
        <v>9616</v>
      </c>
      <c r="Y1621" s="15" t="s">
        <v>35</v>
      </c>
      <c r="Z1621" s="19">
        <v>0</v>
      </c>
      <c r="AA1621" s="15">
        <v>0</v>
      </c>
      <c r="AB1621" s="15" t="s">
        <v>35</v>
      </c>
    </row>
    <row r="1622">
      <c r="A1622" s="15">
        <v>1618</v>
      </c>
      <c r="B1622" s="15" t="s">
        <v>61</v>
      </c>
      <c r="C1622" s="15" t="s">
        <v>228</v>
      </c>
      <c r="D1622" s="15" t="s">
        <v>135</v>
      </c>
      <c r="E1622" s="15" t="s">
        <v>116</v>
      </c>
      <c r="F1622" s="15" t="s">
        <v>35</v>
      </c>
      <c r="G1622" s="15" t="s">
        <v>74</v>
      </c>
      <c r="H1622" s="15" t="s">
        <v>9617</v>
      </c>
      <c r="I1622" s="15" t="s">
        <v>9618</v>
      </c>
      <c r="J1622" s="15" t="s">
        <v>9619</v>
      </c>
      <c r="K1622" s="15" t="s">
        <v>152</v>
      </c>
      <c r="L1622" s="15" t="s">
        <v>153</v>
      </c>
      <c r="M1622" s="15" t="s">
        <v>232</v>
      </c>
      <c r="N1622" s="15" t="s">
        <v>233</v>
      </c>
      <c r="O1622" s="15" t="s">
        <v>82</v>
      </c>
      <c r="P1622" s="15" t="s">
        <v>234</v>
      </c>
      <c r="Q1622" s="15" t="s">
        <v>235</v>
      </c>
      <c r="R1622" s="16">
        <v>44329</v>
      </c>
      <c r="S1622" s="17" t="s">
        <v>70</v>
      </c>
      <c r="T1622" s="20">
        <f>HYPERLINK("https://vnm.spiral.com.vn//uploaded/20210513/9227702d-918f-4b4d-bdea-4109d0b41265.JPEG","11:39:09")</f>
      </c>
      <c r="U1622" s="20">
        <f>HYPERLINK("https://vnm.spiral.com.vn//uploaded/20210513/7c6253e5-8271-4e3d-af90-5a2df7e58a06.JPEG","12:20:26")</f>
      </c>
      <c r="V1622" s="18">
        <v>0.028668981481481483</v>
      </c>
      <c r="W1622" s="15" t="s">
        <v>9620</v>
      </c>
      <c r="X1622" s="15" t="s">
        <v>9621</v>
      </c>
      <c r="Y1622" s="15" t="s">
        <v>35</v>
      </c>
      <c r="Z1622" s="19">
        <v>0</v>
      </c>
      <c r="AA1622" s="15">
        <v>0</v>
      </c>
      <c r="AB1622" s="15" t="s">
        <v>35</v>
      </c>
    </row>
    <row r="1623">
      <c r="A1623" s="15">
        <v>1619</v>
      </c>
      <c r="B1623" s="15" t="s">
        <v>61</v>
      </c>
      <c r="C1623" s="15" t="s">
        <v>228</v>
      </c>
      <c r="D1623" s="15" t="s">
        <v>135</v>
      </c>
      <c r="E1623" s="15" t="s">
        <v>116</v>
      </c>
      <c r="F1623" s="15" t="s">
        <v>35</v>
      </c>
      <c r="G1623" s="15" t="s">
        <v>74</v>
      </c>
      <c r="H1623" s="15" t="s">
        <v>9617</v>
      </c>
      <c r="I1623" s="15" t="s">
        <v>9618</v>
      </c>
      <c r="J1623" s="15" t="s">
        <v>9619</v>
      </c>
      <c r="K1623" s="15" t="s">
        <v>152</v>
      </c>
      <c r="L1623" s="15" t="s">
        <v>153</v>
      </c>
      <c r="M1623" s="15" t="s">
        <v>232</v>
      </c>
      <c r="N1623" s="15" t="s">
        <v>233</v>
      </c>
      <c r="O1623" s="15" t="s">
        <v>98</v>
      </c>
      <c r="P1623" s="15" t="s">
        <v>453</v>
      </c>
      <c r="Q1623" s="15" t="s">
        <v>454</v>
      </c>
      <c r="R1623" s="16">
        <v>44329</v>
      </c>
      <c r="S1623" s="17" t="s">
        <v>35</v>
      </c>
      <c r="T1623" s="20">
        <f>HYPERLINK("https://vnm.spiral.com.vn//uploaded/20210513/1757B1AD-FD7C-4BEE-A27D-8B98C66F727B.jpg","11:39:42")</f>
      </c>
      <c r="U1623" s="20">
        <f>HYPERLINK("https://vnm.spiral.com.vn//uploaded/20210513/C2B96EA5-1054-4AF5-945F-D7E830352D51.jpg","12:20:03")</f>
      </c>
      <c r="V1623" s="18">
        <v>0.02802083333333333</v>
      </c>
      <c r="W1623" s="15" t="s">
        <v>9622</v>
      </c>
      <c r="X1623" s="15" t="s">
        <v>9623</v>
      </c>
      <c r="Y1623" s="15" t="s">
        <v>35</v>
      </c>
      <c r="Z1623" s="19">
        <v>0</v>
      </c>
      <c r="AA1623" s="15">
        <v>0</v>
      </c>
      <c r="AB1623" s="15" t="s">
        <v>35</v>
      </c>
    </row>
    <row r="1624">
      <c r="A1624" s="15">
        <v>1620</v>
      </c>
      <c r="B1624" s="15" t="s">
        <v>343</v>
      </c>
      <c r="C1624" s="15" t="s">
        <v>344</v>
      </c>
      <c r="D1624" s="15" t="s">
        <v>35</v>
      </c>
      <c r="E1624" s="15" t="s">
        <v>35</v>
      </c>
      <c r="F1624" s="15" t="s">
        <v>35</v>
      </c>
      <c r="G1624" s="15" t="s">
        <v>36</v>
      </c>
      <c r="H1624" s="15" t="s">
        <v>4930</v>
      </c>
      <c r="I1624" s="15" t="s">
        <v>4931</v>
      </c>
      <c r="J1624" s="15" t="s">
        <v>4932</v>
      </c>
      <c r="K1624" s="15" t="s">
        <v>40</v>
      </c>
      <c r="L1624" s="15" t="s">
        <v>41</v>
      </c>
      <c r="M1624" s="15" t="s">
        <v>409</v>
      </c>
      <c r="N1624" s="15" t="s">
        <v>410</v>
      </c>
      <c r="O1624" s="15" t="s">
        <v>44</v>
      </c>
      <c r="P1624" s="15" t="s">
        <v>4933</v>
      </c>
      <c r="Q1624" s="15" t="s">
        <v>4934</v>
      </c>
      <c r="R1624" s="16">
        <v>44329</v>
      </c>
      <c r="S1624" s="17" t="s">
        <v>9624</v>
      </c>
      <c r="T1624" s="20">
        <f>HYPERLINK("https://vnm.spiral.com.vn//uploaded/20210513/D3154FDF-14FF-471D-8153-D6D368A61C7E.jpg","08:58:55")</f>
      </c>
      <c r="U1624" s="20">
        <f>HYPERLINK("https://vnm.spiral.com.vn//uploaded/20210513/5991C9FE-AD59-40E7-81E0-6ED9BE56E933.jpg","12:20:02")</f>
      </c>
      <c r="V1624" s="18">
        <v>0.13966435185185186</v>
      </c>
      <c r="W1624" s="15" t="s">
        <v>9625</v>
      </c>
      <c r="X1624" s="15" t="s">
        <v>9626</v>
      </c>
      <c r="Y1624" s="15" t="s">
        <v>35</v>
      </c>
      <c r="Z1624" s="19">
        <v>0</v>
      </c>
      <c r="AA1624" s="15">
        <v>0</v>
      </c>
      <c r="AB1624" s="15" t="s">
        <v>35</v>
      </c>
    </row>
    <row r="1625">
      <c r="A1625" s="15">
        <v>1621</v>
      </c>
      <c r="B1625" s="15" t="s">
        <v>87</v>
      </c>
      <c r="C1625" s="15" t="s">
        <v>88</v>
      </c>
      <c r="D1625" s="15" t="s">
        <v>135</v>
      </c>
      <c r="E1625" s="15" t="s">
        <v>116</v>
      </c>
      <c r="F1625" s="15" t="s">
        <v>35</v>
      </c>
      <c r="G1625" s="15" t="s">
        <v>74</v>
      </c>
      <c r="H1625" s="15" t="s">
        <v>9627</v>
      </c>
      <c r="I1625" s="15" t="s">
        <v>9628</v>
      </c>
      <c r="J1625" s="15" t="s">
        <v>9629</v>
      </c>
      <c r="K1625" s="15" t="s">
        <v>139</v>
      </c>
      <c r="L1625" s="15" t="s">
        <v>140</v>
      </c>
      <c r="M1625" s="15" t="s">
        <v>530</v>
      </c>
      <c r="N1625" s="15" t="s">
        <v>531</v>
      </c>
      <c r="O1625" s="15" t="s">
        <v>82</v>
      </c>
      <c r="P1625" s="15" t="s">
        <v>1453</v>
      </c>
      <c r="Q1625" s="15" t="s">
        <v>1454</v>
      </c>
      <c r="R1625" s="16">
        <v>44329</v>
      </c>
      <c r="S1625" s="17" t="s">
        <v>70</v>
      </c>
      <c r="T1625" s="20">
        <f>HYPERLINK("https://vnm.spiral.com.vn//uploaded/20210513/d45034e5-6b9f-4775-af25-9a61e1acc3a1.JPEG","11:15:27")</f>
      </c>
      <c r="U1625" s="20">
        <f>HYPERLINK("https://vnm.spiral.com.vn//uploaded/20210513/9a8d3702-e35e-4907-a178-4fe76105052e.JPEG","12:19:33")</f>
      </c>
      <c r="V1625" s="18">
        <v>0.04451388888888889</v>
      </c>
      <c r="W1625" s="15" t="s">
        <v>9630</v>
      </c>
      <c r="X1625" s="15" t="s">
        <v>9631</v>
      </c>
      <c r="Y1625" s="15" t="s">
        <v>35</v>
      </c>
      <c r="Z1625" s="19">
        <v>0</v>
      </c>
      <c r="AA1625" s="15">
        <v>0</v>
      </c>
      <c r="AB1625" s="15" t="s">
        <v>35</v>
      </c>
    </row>
    <row r="1626">
      <c r="A1626" s="15">
        <v>1622</v>
      </c>
      <c r="B1626" s="15" t="s">
        <v>87</v>
      </c>
      <c r="C1626" s="15" t="s">
        <v>88</v>
      </c>
      <c r="D1626" s="15" t="s">
        <v>432</v>
      </c>
      <c r="E1626" s="15" t="s">
        <v>116</v>
      </c>
      <c r="F1626" s="15" t="s">
        <v>35</v>
      </c>
      <c r="G1626" s="15" t="s">
        <v>74</v>
      </c>
      <c r="H1626" s="15" t="s">
        <v>9632</v>
      </c>
      <c r="I1626" s="15" t="s">
        <v>9633</v>
      </c>
      <c r="J1626" s="15" t="s">
        <v>9634</v>
      </c>
      <c r="K1626" s="15" t="s">
        <v>625</v>
      </c>
      <c r="L1626" s="15" t="s">
        <v>626</v>
      </c>
      <c r="M1626" s="15" t="s">
        <v>627</v>
      </c>
      <c r="N1626" s="15" t="s">
        <v>628</v>
      </c>
      <c r="O1626" s="15" t="s">
        <v>82</v>
      </c>
      <c r="P1626" s="15" t="s">
        <v>851</v>
      </c>
      <c r="Q1626" s="15" t="s">
        <v>852</v>
      </c>
      <c r="R1626" s="16">
        <v>44329</v>
      </c>
      <c r="S1626" s="17" t="s">
        <v>70</v>
      </c>
      <c r="T1626" s="20">
        <f>HYPERLINK("https://vnm.spiral.com.vn//uploaded/20210513/D349E016-4266-4844-9BC1-A672CE43DB97.jpg","11:05:49")</f>
      </c>
      <c r="U1626" s="20">
        <f>HYPERLINK("https://vnm.spiral.com.vn//uploaded/20210513/EC135588-C301-4D61-BEC2-0ACD8CFE8450.jpg","12:19:07")</f>
      </c>
      <c r="V1626" s="18">
        <v>0.050902777777777776</v>
      </c>
      <c r="W1626" s="15" t="s">
        <v>9635</v>
      </c>
      <c r="X1626" s="15" t="s">
        <v>9636</v>
      </c>
      <c r="Y1626" s="15" t="s">
        <v>35</v>
      </c>
      <c r="Z1626" s="19">
        <v>0</v>
      </c>
      <c r="AA1626" s="15">
        <v>0</v>
      </c>
      <c r="AB1626" s="15" t="s">
        <v>35</v>
      </c>
    </row>
    <row r="1627">
      <c r="A1627" s="15">
        <v>1623</v>
      </c>
      <c r="B1627" s="15" t="s">
        <v>61</v>
      </c>
      <c r="C1627" s="15" t="s">
        <v>442</v>
      </c>
      <c r="D1627" s="15" t="s">
        <v>35</v>
      </c>
      <c r="E1627" s="15" t="s">
        <v>35</v>
      </c>
      <c r="F1627" s="15" t="s">
        <v>35</v>
      </c>
      <c r="G1627" s="15" t="s">
        <v>36</v>
      </c>
      <c r="H1627" s="15" t="s">
        <v>2965</v>
      </c>
      <c r="I1627" s="15" t="s">
        <v>2966</v>
      </c>
      <c r="J1627" s="15" t="s">
        <v>2967</v>
      </c>
      <c r="K1627" s="15" t="s">
        <v>40</v>
      </c>
      <c r="L1627" s="15" t="s">
        <v>41</v>
      </c>
      <c r="M1627" s="15" t="s">
        <v>205</v>
      </c>
      <c r="N1627" s="15" t="s">
        <v>206</v>
      </c>
      <c r="O1627" s="15" t="s">
        <v>44</v>
      </c>
      <c r="P1627" s="15" t="s">
        <v>2968</v>
      </c>
      <c r="Q1627" s="15" t="s">
        <v>2969</v>
      </c>
      <c r="R1627" s="16">
        <v>44329</v>
      </c>
      <c r="S1627" s="17" t="s">
        <v>9084</v>
      </c>
      <c r="T1627" s="20">
        <f>HYPERLINK("https://vnm.spiral.com.vn//uploaded/20210513/1e4df31b-cdb5-4b82-92d8-728cc36e7ec8.JPEG","08:17:11")</f>
      </c>
      <c r="U1627" s="20">
        <f>HYPERLINK("https://vnm.spiral.com.vn//uploaded/20210513/db18544b-3600-4a69-8e4b-7eefbec186fb.JPEG","12:18:55")</f>
      </c>
      <c r="V1627" s="18">
        <v>0.16787037037037036</v>
      </c>
      <c r="W1627" s="15" t="s">
        <v>9637</v>
      </c>
      <c r="X1627" s="15" t="s">
        <v>9638</v>
      </c>
      <c r="Y1627" s="15" t="s">
        <v>35</v>
      </c>
      <c r="Z1627" s="19">
        <v>0</v>
      </c>
      <c r="AA1627" s="15">
        <v>0</v>
      </c>
      <c r="AB1627" s="15" t="s">
        <v>35</v>
      </c>
    </row>
    <row r="1628">
      <c r="A1628" s="15">
        <v>1624</v>
      </c>
      <c r="B1628" s="15" t="s">
        <v>103</v>
      </c>
      <c r="C1628" s="15" t="s">
        <v>186</v>
      </c>
      <c r="D1628" s="15" t="s">
        <v>35</v>
      </c>
      <c r="E1628" s="15" t="s">
        <v>35</v>
      </c>
      <c r="F1628" s="15" t="s">
        <v>35</v>
      </c>
      <c r="G1628" s="15" t="s">
        <v>36</v>
      </c>
      <c r="H1628" s="15" t="s">
        <v>8207</v>
      </c>
      <c r="I1628" s="15" t="s">
        <v>8208</v>
      </c>
      <c r="J1628" s="15" t="s">
        <v>8209</v>
      </c>
      <c r="K1628" s="15" t="s">
        <v>40</v>
      </c>
      <c r="L1628" s="15" t="s">
        <v>41</v>
      </c>
      <c r="M1628" s="15" t="s">
        <v>565</v>
      </c>
      <c r="N1628" s="15" t="s">
        <v>566</v>
      </c>
      <c r="O1628" s="15" t="s">
        <v>44</v>
      </c>
      <c r="P1628" s="15" t="s">
        <v>8210</v>
      </c>
      <c r="Q1628" s="15" t="s">
        <v>8211</v>
      </c>
      <c r="R1628" s="16">
        <v>44329</v>
      </c>
      <c r="S1628" s="17" t="s">
        <v>8968</v>
      </c>
      <c r="T1628" s="20">
        <f>HYPERLINK("https://vnm.spiral.com.vn//uploaded/20210513/f62618db-1db1-426b-9ce0-92058ca35b80.JPEG","06:59:31")</f>
      </c>
      <c r="U1628" s="20">
        <f>HYPERLINK("https://vnm.spiral.com.vn//uploaded/20210513/a3b4e106-17cb-49e0-8324-f6628b7bb745.JPEG","12:18:46")</f>
      </c>
      <c r="V1628" s="18">
        <v>0.22170138888888888</v>
      </c>
      <c r="W1628" s="15" t="s">
        <v>9639</v>
      </c>
      <c r="X1628" s="15" t="s">
        <v>9640</v>
      </c>
      <c r="Y1628" s="15" t="s">
        <v>35</v>
      </c>
      <c r="Z1628" s="19">
        <v>0</v>
      </c>
      <c r="AA1628" s="15">
        <v>0</v>
      </c>
      <c r="AB1628" s="15" t="s">
        <v>35</v>
      </c>
    </row>
    <row r="1629">
      <c r="A1629" s="15">
        <v>1625</v>
      </c>
      <c r="B1629" s="15" t="s">
        <v>103</v>
      </c>
      <c r="C1629" s="15" t="s">
        <v>186</v>
      </c>
      <c r="D1629" s="15" t="s">
        <v>135</v>
      </c>
      <c r="E1629" s="15" t="s">
        <v>116</v>
      </c>
      <c r="F1629" s="15" t="s">
        <v>35</v>
      </c>
      <c r="G1629" s="15" t="s">
        <v>74</v>
      </c>
      <c r="H1629" s="15" t="s">
        <v>9641</v>
      </c>
      <c r="I1629" s="15" t="s">
        <v>9642</v>
      </c>
      <c r="J1629" s="15" t="s">
        <v>9643</v>
      </c>
      <c r="K1629" s="15" t="s">
        <v>436</v>
      </c>
      <c r="L1629" s="15" t="s">
        <v>437</v>
      </c>
      <c r="M1629" s="15" t="s">
        <v>438</v>
      </c>
      <c r="N1629" s="15" t="s">
        <v>439</v>
      </c>
      <c r="O1629" s="15" t="s">
        <v>82</v>
      </c>
      <c r="P1629" s="15" t="s">
        <v>1125</v>
      </c>
      <c r="Q1629" s="15" t="s">
        <v>1126</v>
      </c>
      <c r="R1629" s="16">
        <v>44329</v>
      </c>
      <c r="S1629" s="17" t="s">
        <v>70</v>
      </c>
      <c r="T1629" s="20">
        <f>HYPERLINK("https://vnm.spiral.com.vn//uploaded/20210513/02881A71-A4CC-4627-A95A-1FB8D5F8E72A.jpg","12:02:27")</f>
      </c>
      <c r="U1629" s="20">
        <f>HYPERLINK("https://vnm.spiral.com.vn//uploaded/20210513/CC08F36E-1CD1-4FDD-B1EF-4C8300688E22.jpg","12:18:45")</f>
      </c>
      <c r="V1629" s="18">
        <v>0.011319444444444444</v>
      </c>
      <c r="W1629" s="15" t="s">
        <v>9644</v>
      </c>
      <c r="X1629" s="15" t="s">
        <v>9645</v>
      </c>
      <c r="Y1629" s="15" t="s">
        <v>35</v>
      </c>
      <c r="Z1629" s="19">
        <v>0</v>
      </c>
      <c r="AA1629" s="15">
        <v>0</v>
      </c>
      <c r="AB1629" s="15" t="s">
        <v>35</v>
      </c>
    </row>
    <row r="1630">
      <c r="A1630" s="15">
        <v>1626</v>
      </c>
      <c r="B1630" s="15" t="s">
        <v>87</v>
      </c>
      <c r="C1630" s="15" t="s">
        <v>88</v>
      </c>
      <c r="D1630" s="15" t="s">
        <v>135</v>
      </c>
      <c r="E1630" s="15" t="s">
        <v>116</v>
      </c>
      <c r="F1630" s="15" t="s">
        <v>35</v>
      </c>
      <c r="G1630" s="15" t="s">
        <v>74</v>
      </c>
      <c r="H1630" s="15" t="s">
        <v>9646</v>
      </c>
      <c r="I1630" s="15" t="s">
        <v>9647</v>
      </c>
      <c r="J1630" s="15" t="s">
        <v>9648</v>
      </c>
      <c r="K1630" s="15" t="s">
        <v>139</v>
      </c>
      <c r="L1630" s="15" t="s">
        <v>140</v>
      </c>
      <c r="M1630" s="15" t="s">
        <v>530</v>
      </c>
      <c r="N1630" s="15" t="s">
        <v>531</v>
      </c>
      <c r="O1630" s="15" t="s">
        <v>82</v>
      </c>
      <c r="P1630" s="15" t="s">
        <v>2017</v>
      </c>
      <c r="Q1630" s="15" t="s">
        <v>2018</v>
      </c>
      <c r="R1630" s="16">
        <v>44329</v>
      </c>
      <c r="S1630" s="17" t="s">
        <v>70</v>
      </c>
      <c r="T1630" s="20">
        <f>HYPERLINK("https://vnm.spiral.com.vn//uploaded/20210513/9807B35B-140F-40AD-8D07-333D06A47D3B.jpg","11:35:41")</f>
      </c>
      <c r="U1630" s="20">
        <f>HYPERLINK("https://vnm.spiral.com.vn//uploaded/20210513/DDCA14F6-6CAE-4DF3-B62A-D840B3F08961.jpg","12:18:19")</f>
      </c>
      <c r="V1630" s="18">
        <v>0.02960648148148148</v>
      </c>
      <c r="W1630" s="15" t="s">
        <v>9649</v>
      </c>
      <c r="X1630" s="15" t="s">
        <v>9650</v>
      </c>
      <c r="Y1630" s="15" t="s">
        <v>35</v>
      </c>
      <c r="Z1630" s="19">
        <v>0</v>
      </c>
      <c r="AA1630" s="15">
        <v>0</v>
      </c>
      <c r="AB1630" s="15" t="s">
        <v>35</v>
      </c>
    </row>
    <row r="1631">
      <c r="A1631" s="15">
        <v>1627</v>
      </c>
      <c r="B1631" s="15" t="s">
        <v>87</v>
      </c>
      <c r="C1631" s="15" t="s">
        <v>88</v>
      </c>
      <c r="D1631" s="15" t="s">
        <v>35</v>
      </c>
      <c r="E1631" s="15" t="s">
        <v>35</v>
      </c>
      <c r="F1631" s="15" t="s">
        <v>2077</v>
      </c>
      <c r="G1631" s="15" t="s">
        <v>36</v>
      </c>
      <c r="H1631" s="15" t="s">
        <v>4012</v>
      </c>
      <c r="I1631" s="15" t="s">
        <v>4013</v>
      </c>
      <c r="J1631" s="15" t="s">
        <v>4014</v>
      </c>
      <c r="K1631" s="15" t="s">
        <v>40</v>
      </c>
      <c r="L1631" s="15" t="s">
        <v>41</v>
      </c>
      <c r="M1631" s="15" t="s">
        <v>289</v>
      </c>
      <c r="N1631" s="15" t="s">
        <v>290</v>
      </c>
      <c r="O1631" s="15" t="s">
        <v>44</v>
      </c>
      <c r="P1631" s="15" t="s">
        <v>4015</v>
      </c>
      <c r="Q1631" s="15" t="s">
        <v>4016</v>
      </c>
      <c r="R1631" s="16">
        <v>44329</v>
      </c>
      <c r="S1631" s="17" t="s">
        <v>317</v>
      </c>
      <c r="T1631" s="20">
        <f>HYPERLINK("https://vnm.spiral.com.vn//uploaded/20210513/91C19E4F-168A-42D8-AE60-E01F86F4955A.jpg","08:05:25")</f>
      </c>
      <c r="U1631" s="20">
        <f>HYPERLINK("https://vnm.spiral.com.vn//uploaded/20210513/6E665E70-2F10-4B0D-BBE3-A2F91B3E2DBC.jpg","12:18:15")</f>
      </c>
      <c r="V1631" s="18">
        <v>0.1755787037037037</v>
      </c>
      <c r="W1631" s="15" t="s">
        <v>9651</v>
      </c>
      <c r="X1631" s="15" t="s">
        <v>9652</v>
      </c>
      <c r="Y1631" s="15" t="s">
        <v>35</v>
      </c>
      <c r="Z1631" s="19">
        <v>0</v>
      </c>
      <c r="AA1631" s="15">
        <v>0</v>
      </c>
      <c r="AB1631" s="15" t="s">
        <v>35</v>
      </c>
    </row>
    <row r="1632">
      <c r="A1632" s="15">
        <v>1628</v>
      </c>
      <c r="B1632" s="15" t="s">
        <v>61</v>
      </c>
      <c r="C1632" s="15" t="s">
        <v>442</v>
      </c>
      <c r="D1632" s="15" t="s">
        <v>35</v>
      </c>
      <c r="E1632" s="15" t="s">
        <v>35</v>
      </c>
      <c r="F1632" s="15" t="s">
        <v>35</v>
      </c>
      <c r="G1632" s="15" t="s">
        <v>36</v>
      </c>
      <c r="H1632" s="15" t="s">
        <v>9653</v>
      </c>
      <c r="I1632" s="15" t="s">
        <v>9654</v>
      </c>
      <c r="J1632" s="15" t="s">
        <v>9655</v>
      </c>
      <c r="K1632" s="15" t="s">
        <v>40</v>
      </c>
      <c r="L1632" s="15" t="s">
        <v>41</v>
      </c>
      <c r="M1632" s="15" t="s">
        <v>205</v>
      </c>
      <c r="N1632" s="15" t="s">
        <v>206</v>
      </c>
      <c r="O1632" s="15" t="s">
        <v>44</v>
      </c>
      <c r="P1632" s="15" t="s">
        <v>9656</v>
      </c>
      <c r="Q1632" s="15" t="s">
        <v>9657</v>
      </c>
      <c r="R1632" s="16">
        <v>44329</v>
      </c>
      <c r="S1632" s="17" t="s">
        <v>9411</v>
      </c>
      <c r="T1632" s="20">
        <f>HYPERLINK("https://vnm.spiral.com.vn//uploaded/20210513/b2520203-b1e0-4a03-bd03-f85ea0633fde.JPEG","12:18:08")</f>
      </c>
      <c r="U1632" s="18"/>
      <c r="V1632" s="18" t="s">
        <v>35</v>
      </c>
      <c r="W1632" s="15" t="s">
        <v>9658</v>
      </c>
      <c r="X1632" s="15" t="s">
        <v>35</v>
      </c>
      <c r="Y1632" s="15" t="s">
        <v>35</v>
      </c>
      <c r="Z1632" s="19">
        <v>0</v>
      </c>
      <c r="AA1632" s="15">
        <v>0</v>
      </c>
      <c r="AB1632" s="15" t="s">
        <v>35</v>
      </c>
    </row>
    <row r="1633">
      <c r="A1633" s="15">
        <v>1629</v>
      </c>
      <c r="B1633" s="15" t="s">
        <v>103</v>
      </c>
      <c r="C1633" s="15" t="s">
        <v>104</v>
      </c>
      <c r="D1633" s="15" t="s">
        <v>35</v>
      </c>
      <c r="E1633" s="15" t="s">
        <v>35</v>
      </c>
      <c r="F1633" s="15" t="s">
        <v>35</v>
      </c>
      <c r="G1633" s="15" t="s">
        <v>36</v>
      </c>
      <c r="H1633" s="15" t="s">
        <v>5893</v>
      </c>
      <c r="I1633" s="15" t="s">
        <v>5894</v>
      </c>
      <c r="J1633" s="15" t="s">
        <v>5895</v>
      </c>
      <c r="K1633" s="15" t="s">
        <v>40</v>
      </c>
      <c r="L1633" s="15" t="s">
        <v>41</v>
      </c>
      <c r="M1633" s="15" t="s">
        <v>108</v>
      </c>
      <c r="N1633" s="15" t="s">
        <v>109</v>
      </c>
      <c r="O1633" s="15" t="s">
        <v>44</v>
      </c>
      <c r="P1633" s="15" t="s">
        <v>5896</v>
      </c>
      <c r="Q1633" s="15" t="s">
        <v>5897</v>
      </c>
      <c r="R1633" s="16">
        <v>44329</v>
      </c>
      <c r="S1633" s="17" t="s">
        <v>9659</v>
      </c>
      <c r="T1633" s="20">
        <f>HYPERLINK("https://vnm.spiral.com.vn//uploaded/20210513/79010dcb-c2f1-4bc3-a79c-358ea664569a.JPEG","09:10:05")</f>
      </c>
      <c r="U1633" s="20">
        <f>HYPERLINK("https://vnm.spiral.com.vn//uploaded/20210513/11399547-900c-4306-8c52-5c4886b1e74e.JPEG","12:17:52")</f>
      </c>
      <c r="V1633" s="18">
        <v>0.1304050925925926</v>
      </c>
      <c r="W1633" s="15" t="s">
        <v>9660</v>
      </c>
      <c r="X1633" s="15" t="s">
        <v>9661</v>
      </c>
      <c r="Y1633" s="15" t="s">
        <v>35</v>
      </c>
      <c r="Z1633" s="19">
        <v>0</v>
      </c>
      <c r="AA1633" s="15">
        <v>0</v>
      </c>
      <c r="AB1633" s="15" t="s">
        <v>35</v>
      </c>
    </row>
    <row r="1634">
      <c r="A1634" s="15">
        <v>1630</v>
      </c>
      <c r="B1634" s="15" t="s">
        <v>49</v>
      </c>
      <c r="C1634" s="15" t="s">
        <v>1389</v>
      </c>
      <c r="D1634" s="15" t="s">
        <v>35</v>
      </c>
      <c r="E1634" s="15" t="s">
        <v>35</v>
      </c>
      <c r="F1634" s="15" t="s">
        <v>4871</v>
      </c>
      <c r="G1634" s="15" t="s">
        <v>36</v>
      </c>
      <c r="H1634" s="15" t="s">
        <v>4872</v>
      </c>
      <c r="I1634" s="15" t="s">
        <v>4873</v>
      </c>
      <c r="J1634" s="15" t="s">
        <v>4874</v>
      </c>
      <c r="K1634" s="15" t="s">
        <v>40</v>
      </c>
      <c r="L1634" s="15" t="s">
        <v>41</v>
      </c>
      <c r="M1634" s="15" t="s">
        <v>55</v>
      </c>
      <c r="N1634" s="15" t="s">
        <v>56</v>
      </c>
      <c r="O1634" s="15" t="s">
        <v>44</v>
      </c>
      <c r="P1634" s="15" t="s">
        <v>4875</v>
      </c>
      <c r="Q1634" s="15" t="s">
        <v>4876</v>
      </c>
      <c r="R1634" s="16">
        <v>44329</v>
      </c>
      <c r="S1634" s="17" t="s">
        <v>317</v>
      </c>
      <c r="T1634" s="20">
        <f>HYPERLINK("https://vnm.spiral.com.vn//uploaded/20210513/15c623c5-2831-4c3a-932e-d3707828a79e.JPEG","07:32:25")</f>
      </c>
      <c r="U1634" s="20">
        <f>HYPERLINK("https://vnm.spiral.com.vn//uploaded/20210513/e927e472-5499-4e13-a56c-5ae11bc39a98.JPEG","12:17:52")</f>
      </c>
      <c r="V1634" s="18">
        <v>0.19822916666666668</v>
      </c>
      <c r="W1634" s="15" t="s">
        <v>9662</v>
      </c>
      <c r="X1634" s="15" t="s">
        <v>9663</v>
      </c>
      <c r="Y1634" s="15" t="s">
        <v>35</v>
      </c>
      <c r="Z1634" s="19">
        <v>0</v>
      </c>
      <c r="AA1634" s="15">
        <v>0</v>
      </c>
      <c r="AB1634" s="15" t="s">
        <v>35</v>
      </c>
    </row>
    <row r="1635">
      <c r="A1635" s="15">
        <v>1631</v>
      </c>
      <c r="B1635" s="15" t="s">
        <v>103</v>
      </c>
      <c r="C1635" s="15" t="s">
        <v>1078</v>
      </c>
      <c r="D1635" s="15" t="s">
        <v>35</v>
      </c>
      <c r="E1635" s="15" t="s">
        <v>35</v>
      </c>
      <c r="F1635" s="15" t="s">
        <v>35</v>
      </c>
      <c r="G1635" s="15" t="s">
        <v>35</v>
      </c>
      <c r="H1635" s="15" t="s">
        <v>3967</v>
      </c>
      <c r="I1635" s="15" t="s">
        <v>3968</v>
      </c>
      <c r="J1635" s="15" t="s">
        <v>3969</v>
      </c>
      <c r="K1635" s="15" t="s">
        <v>40</v>
      </c>
      <c r="L1635" s="15" t="s">
        <v>41</v>
      </c>
      <c r="M1635" s="15" t="s">
        <v>565</v>
      </c>
      <c r="N1635" s="15" t="s">
        <v>566</v>
      </c>
      <c r="O1635" s="15" t="s">
        <v>44</v>
      </c>
      <c r="P1635" s="15" t="s">
        <v>3970</v>
      </c>
      <c r="Q1635" s="15" t="s">
        <v>3971</v>
      </c>
      <c r="R1635" s="16">
        <v>44329</v>
      </c>
      <c r="S1635" s="17" t="s">
        <v>9664</v>
      </c>
      <c r="T1635" s="20">
        <f>HYPERLINK("https://vnm.spiral.com.vn//uploaded/20210513/f075dc94-41a1-4b0a-add0-3bb1ea9caac9.JPEG","07:55:56")</f>
      </c>
      <c r="U1635" s="20">
        <f>HYPERLINK("https://vnm.spiral.com.vn//uploaded/20210513/f81424b5-ad26-4c0a-9da7-457de141e838.JPEG","12:17:49")</f>
      </c>
      <c r="V1635" s="18">
        <v>0.18186342592592591</v>
      </c>
      <c r="W1635" s="15" t="s">
        <v>9665</v>
      </c>
      <c r="X1635" s="15" t="s">
        <v>9666</v>
      </c>
      <c r="Y1635" s="15" t="s">
        <v>35</v>
      </c>
      <c r="Z1635" s="19">
        <v>0</v>
      </c>
      <c r="AA1635" s="15">
        <v>0</v>
      </c>
      <c r="AB1635" s="15" t="s">
        <v>35</v>
      </c>
    </row>
    <row r="1636">
      <c r="A1636" s="15">
        <v>1632</v>
      </c>
      <c r="B1636" s="15" t="s">
        <v>49</v>
      </c>
      <c r="C1636" s="15" t="s">
        <v>162</v>
      </c>
      <c r="D1636" s="15" t="s">
        <v>35</v>
      </c>
      <c r="E1636" s="15" t="s">
        <v>35</v>
      </c>
      <c r="F1636" s="15" t="s">
        <v>833</v>
      </c>
      <c r="G1636" s="15" t="s">
        <v>36</v>
      </c>
      <c r="H1636" s="15" t="s">
        <v>6128</v>
      </c>
      <c r="I1636" s="15" t="s">
        <v>6129</v>
      </c>
      <c r="J1636" s="15" t="s">
        <v>6130</v>
      </c>
      <c r="K1636" s="15" t="s">
        <v>40</v>
      </c>
      <c r="L1636" s="15" t="s">
        <v>41</v>
      </c>
      <c r="M1636" s="15" t="s">
        <v>55</v>
      </c>
      <c r="N1636" s="15" t="s">
        <v>56</v>
      </c>
      <c r="O1636" s="15" t="s">
        <v>44</v>
      </c>
      <c r="P1636" s="15" t="s">
        <v>6131</v>
      </c>
      <c r="Q1636" s="15" t="s">
        <v>6132</v>
      </c>
      <c r="R1636" s="16">
        <v>44329</v>
      </c>
      <c r="S1636" s="17" t="s">
        <v>317</v>
      </c>
      <c r="T1636" s="20">
        <f>HYPERLINK("https://vnm.spiral.com.vn//uploaded/20210513/CD8D4D28-CDFB-4E06-8592-3A17821036F3.jpg","08:12:33")</f>
      </c>
      <c r="U1636" s="20">
        <f>HYPERLINK("https://vnm.spiral.com.vn//uploaded/20210513/0FD1B988-D5B2-427F-9A07-7CF95C6365AE.jpg","12:17:17")</f>
      </c>
      <c r="V1636" s="18">
        <v>0.1699537037037037</v>
      </c>
      <c r="W1636" s="15" t="s">
        <v>9667</v>
      </c>
      <c r="X1636" s="15" t="s">
        <v>9668</v>
      </c>
      <c r="Y1636" s="15" t="s">
        <v>35</v>
      </c>
      <c r="Z1636" s="19">
        <v>0</v>
      </c>
      <c r="AA1636" s="15">
        <v>0</v>
      </c>
      <c r="AB1636" s="15" t="s">
        <v>35</v>
      </c>
    </row>
    <row r="1637">
      <c r="A1637" s="15">
        <v>1633</v>
      </c>
      <c r="B1637" s="15" t="s">
        <v>87</v>
      </c>
      <c r="C1637" s="15" t="s">
        <v>88</v>
      </c>
      <c r="D1637" s="15" t="s">
        <v>35</v>
      </c>
      <c r="E1637" s="15" t="s">
        <v>35</v>
      </c>
      <c r="F1637" s="15" t="s">
        <v>2721</v>
      </c>
      <c r="G1637" s="15" t="s">
        <v>36</v>
      </c>
      <c r="H1637" s="15" t="s">
        <v>4656</v>
      </c>
      <c r="I1637" s="15" t="s">
        <v>4657</v>
      </c>
      <c r="J1637" s="15" t="s">
        <v>4658</v>
      </c>
      <c r="K1637" s="15" t="s">
        <v>40</v>
      </c>
      <c r="L1637" s="15" t="s">
        <v>41</v>
      </c>
      <c r="M1637" s="15" t="s">
        <v>1195</v>
      </c>
      <c r="N1637" s="15" t="s">
        <v>1196</v>
      </c>
      <c r="O1637" s="15" t="s">
        <v>44</v>
      </c>
      <c r="P1637" s="15" t="s">
        <v>4659</v>
      </c>
      <c r="Q1637" s="15" t="s">
        <v>4660</v>
      </c>
      <c r="R1637" s="16">
        <v>44329</v>
      </c>
      <c r="S1637" s="17" t="s">
        <v>317</v>
      </c>
      <c r="T1637" s="20">
        <f>HYPERLINK("https://vnm.spiral.com.vn//uploaded/20210513/89f8d0a1-ef99-400c-8bd4-d842d8ea37a7.JPEG","07:54:48")</f>
      </c>
      <c r="U1637" s="20">
        <f>HYPERLINK("https://vnm.spiral.com.vn//uploaded/20210513/6376bb54-6409-4166-af6a-391aeb782115.JPEG","12:17:15")</f>
      </c>
      <c r="V1637" s="18">
        <v>0.18225694444444446</v>
      </c>
      <c r="W1637" s="15" t="s">
        <v>9669</v>
      </c>
      <c r="X1637" s="15" t="s">
        <v>9670</v>
      </c>
      <c r="Y1637" s="15" t="s">
        <v>35</v>
      </c>
      <c r="Z1637" s="19">
        <v>0</v>
      </c>
      <c r="AA1637" s="15">
        <v>0</v>
      </c>
      <c r="AB1637" s="15" t="s">
        <v>35</v>
      </c>
    </row>
    <row r="1638">
      <c r="A1638" s="15">
        <v>1634</v>
      </c>
      <c r="B1638" s="15" t="s">
        <v>103</v>
      </c>
      <c r="C1638" s="15" t="s">
        <v>1078</v>
      </c>
      <c r="D1638" s="15" t="s">
        <v>35</v>
      </c>
      <c r="E1638" s="15" t="s">
        <v>35</v>
      </c>
      <c r="F1638" s="15" t="s">
        <v>35</v>
      </c>
      <c r="G1638" s="15" t="s">
        <v>36</v>
      </c>
      <c r="H1638" s="15" t="s">
        <v>5443</v>
      </c>
      <c r="I1638" s="15" t="s">
        <v>5444</v>
      </c>
      <c r="J1638" s="15" t="s">
        <v>5445</v>
      </c>
      <c r="K1638" s="15" t="s">
        <v>40</v>
      </c>
      <c r="L1638" s="15" t="s">
        <v>41</v>
      </c>
      <c r="M1638" s="15" t="s">
        <v>565</v>
      </c>
      <c r="N1638" s="15" t="s">
        <v>566</v>
      </c>
      <c r="O1638" s="15" t="s">
        <v>44</v>
      </c>
      <c r="P1638" s="15" t="s">
        <v>5446</v>
      </c>
      <c r="Q1638" s="15" t="s">
        <v>5447</v>
      </c>
      <c r="R1638" s="16">
        <v>44329</v>
      </c>
      <c r="S1638" s="17" t="s">
        <v>317</v>
      </c>
      <c r="T1638" s="20">
        <f>HYPERLINK("https://vnm.spiral.com.vn//uploaded/20210513/3A3DCA45-E0F3-429B-BDA6-C3E27E45593C.jpg","07:54:05")</f>
      </c>
      <c r="U1638" s="20">
        <f>HYPERLINK("https://vnm.spiral.com.vn//uploaded/20210513/59E3DEEC-2003-40B7-BB9B-182993629C7C.jpg","12:17:12")</f>
      </c>
      <c r="V1638" s="18">
        <v>0.1827199074074074</v>
      </c>
      <c r="W1638" s="15" t="s">
        <v>9671</v>
      </c>
      <c r="X1638" s="15" t="s">
        <v>9672</v>
      </c>
      <c r="Y1638" s="15" t="s">
        <v>35</v>
      </c>
      <c r="Z1638" s="19">
        <v>0</v>
      </c>
      <c r="AA1638" s="15">
        <v>0</v>
      </c>
      <c r="AB1638" s="15" t="s">
        <v>35</v>
      </c>
    </row>
    <row r="1639">
      <c r="A1639" s="15">
        <v>1635</v>
      </c>
      <c r="B1639" s="15" t="s">
        <v>61</v>
      </c>
      <c r="C1639" s="15" t="s">
        <v>320</v>
      </c>
      <c r="D1639" s="15" t="s">
        <v>35</v>
      </c>
      <c r="E1639" s="15" t="s">
        <v>35</v>
      </c>
      <c r="F1639" s="15" t="s">
        <v>35</v>
      </c>
      <c r="G1639" s="15" t="s">
        <v>36</v>
      </c>
      <c r="H1639" s="15" t="s">
        <v>9673</v>
      </c>
      <c r="I1639" s="15" t="s">
        <v>9674</v>
      </c>
      <c r="J1639" s="15" t="s">
        <v>9675</v>
      </c>
      <c r="K1639" s="15" t="s">
        <v>40</v>
      </c>
      <c r="L1639" s="15" t="s">
        <v>41</v>
      </c>
      <c r="M1639" s="15" t="s">
        <v>205</v>
      </c>
      <c r="N1639" s="15" t="s">
        <v>206</v>
      </c>
      <c r="O1639" s="15" t="s">
        <v>44</v>
      </c>
      <c r="P1639" s="15" t="s">
        <v>9676</v>
      </c>
      <c r="Q1639" s="15" t="s">
        <v>9677</v>
      </c>
      <c r="R1639" s="16">
        <v>44329</v>
      </c>
      <c r="S1639" s="17" t="s">
        <v>9411</v>
      </c>
      <c r="T1639" s="20">
        <f>HYPERLINK("https://vnm.spiral.com.vn//uploaded/20210513/cf5c2e7d-5a1a-4056-a4ef-a386b8fe7ae7.JPEG","12:16:57")</f>
      </c>
      <c r="U1639" s="18"/>
      <c r="V1639" s="18" t="s">
        <v>35</v>
      </c>
      <c r="W1639" s="15" t="s">
        <v>9678</v>
      </c>
      <c r="X1639" s="15" t="s">
        <v>35</v>
      </c>
      <c r="Y1639" s="15" t="s">
        <v>35</v>
      </c>
      <c r="Z1639" s="19">
        <v>0</v>
      </c>
      <c r="AA1639" s="15">
        <v>0</v>
      </c>
      <c r="AB1639" s="15" t="s">
        <v>35</v>
      </c>
    </row>
    <row r="1640">
      <c r="A1640" s="15">
        <v>1636</v>
      </c>
      <c r="B1640" s="15" t="s">
        <v>103</v>
      </c>
      <c r="C1640" s="15" t="s">
        <v>104</v>
      </c>
      <c r="D1640" s="15" t="s">
        <v>135</v>
      </c>
      <c r="E1640" s="15" t="s">
        <v>116</v>
      </c>
      <c r="F1640" s="15" t="s">
        <v>35</v>
      </c>
      <c r="G1640" s="15" t="s">
        <v>74</v>
      </c>
      <c r="H1640" s="15" t="s">
        <v>9679</v>
      </c>
      <c r="I1640" s="15" t="s">
        <v>9680</v>
      </c>
      <c r="J1640" s="15" t="s">
        <v>9681</v>
      </c>
      <c r="K1640" s="15" t="s">
        <v>460</v>
      </c>
      <c r="L1640" s="15" t="s">
        <v>461</v>
      </c>
      <c r="M1640" s="15" t="s">
        <v>462</v>
      </c>
      <c r="N1640" s="15" t="s">
        <v>463</v>
      </c>
      <c r="O1640" s="15" t="s">
        <v>82</v>
      </c>
      <c r="P1640" s="15" t="s">
        <v>1610</v>
      </c>
      <c r="Q1640" s="15" t="s">
        <v>1611</v>
      </c>
      <c r="R1640" s="16">
        <v>44329</v>
      </c>
      <c r="S1640" s="17" t="s">
        <v>70</v>
      </c>
      <c r="T1640" s="20">
        <f>HYPERLINK("https://vnm.spiral.com.vn//uploaded/20210513/f59e5e46-3cdd-41b6-8654-4b352dc14362.JPEG","11:22:42")</f>
      </c>
      <c r="U1640" s="20">
        <f>HYPERLINK("https://vnm.spiral.com.vn//uploaded/20210513/90c26e14-9df0-4585-9843-7f06691aff6f.JPEG","12:16:56")</f>
      </c>
      <c r="V1640" s="18">
        <v>0.037662037037037036</v>
      </c>
      <c r="W1640" s="15" t="s">
        <v>9682</v>
      </c>
      <c r="X1640" s="15" t="s">
        <v>9683</v>
      </c>
      <c r="Y1640" s="15" t="s">
        <v>35</v>
      </c>
      <c r="Z1640" s="19">
        <v>0</v>
      </c>
      <c r="AA1640" s="15">
        <v>0</v>
      </c>
      <c r="AB1640" s="15" t="s">
        <v>35</v>
      </c>
    </row>
    <row r="1641">
      <c r="A1641" s="15">
        <v>1637</v>
      </c>
      <c r="B1641" s="15" t="s">
        <v>61</v>
      </c>
      <c r="C1641" s="15" t="s">
        <v>320</v>
      </c>
      <c r="D1641" s="15" t="s">
        <v>135</v>
      </c>
      <c r="E1641" s="15" t="s">
        <v>116</v>
      </c>
      <c r="F1641" s="15" t="s">
        <v>35</v>
      </c>
      <c r="G1641" s="15" t="s">
        <v>74</v>
      </c>
      <c r="H1641" s="15" t="s">
        <v>9684</v>
      </c>
      <c r="I1641" s="15" t="s">
        <v>9685</v>
      </c>
      <c r="J1641" s="15" t="s">
        <v>9686</v>
      </c>
      <c r="K1641" s="15" t="s">
        <v>154</v>
      </c>
      <c r="L1641" s="15" t="s">
        <v>155</v>
      </c>
      <c r="M1641" s="15" t="s">
        <v>2458</v>
      </c>
      <c r="N1641" s="15" t="s">
        <v>2459</v>
      </c>
      <c r="O1641" s="15" t="s">
        <v>82</v>
      </c>
      <c r="P1641" s="15" t="s">
        <v>4003</v>
      </c>
      <c r="Q1641" s="15" t="s">
        <v>4004</v>
      </c>
      <c r="R1641" s="16">
        <v>44329</v>
      </c>
      <c r="S1641" s="17" t="s">
        <v>70</v>
      </c>
      <c r="T1641" s="20">
        <f>HYPERLINK("https://vnm.spiral.com.vn//uploaded/20210513/fea87600-550d-4857-bf52-a484839e8db8.JPEG","11:52:42")</f>
      </c>
      <c r="U1641" s="20">
        <f>HYPERLINK("https://vnm.spiral.com.vn//uploaded/20210513/56e278cd-1e56-4b90-9a5a-e3e39c592eb7.JPEG","12:16:40")</f>
      </c>
      <c r="V1641" s="18">
        <v>0.01664351851851852</v>
      </c>
      <c r="W1641" s="15" t="s">
        <v>9687</v>
      </c>
      <c r="X1641" s="15" t="s">
        <v>9688</v>
      </c>
      <c r="Y1641" s="15" t="s">
        <v>35</v>
      </c>
      <c r="Z1641" s="19">
        <v>0</v>
      </c>
      <c r="AA1641" s="15">
        <v>0</v>
      </c>
      <c r="AB1641" s="15" t="s">
        <v>35</v>
      </c>
    </row>
    <row r="1642">
      <c r="A1642" s="15">
        <v>1638</v>
      </c>
      <c r="B1642" s="15" t="s">
        <v>33</v>
      </c>
      <c r="C1642" s="15" t="s">
        <v>2999</v>
      </c>
      <c r="D1642" s="15" t="s">
        <v>35</v>
      </c>
      <c r="E1642" s="15" t="s">
        <v>35</v>
      </c>
      <c r="F1642" s="15" t="s">
        <v>35</v>
      </c>
      <c r="G1642" s="15" t="s">
        <v>36</v>
      </c>
      <c r="H1642" s="15" t="s">
        <v>8352</v>
      </c>
      <c r="I1642" s="15" t="s">
        <v>8353</v>
      </c>
      <c r="J1642" s="15" t="s">
        <v>8354</v>
      </c>
      <c r="K1642" s="15" t="s">
        <v>40</v>
      </c>
      <c r="L1642" s="15" t="s">
        <v>41</v>
      </c>
      <c r="M1642" s="15" t="s">
        <v>42</v>
      </c>
      <c r="N1642" s="15" t="s">
        <v>43</v>
      </c>
      <c r="O1642" s="15" t="s">
        <v>44</v>
      </c>
      <c r="P1642" s="15" t="s">
        <v>8355</v>
      </c>
      <c r="Q1642" s="15" t="s">
        <v>8356</v>
      </c>
      <c r="R1642" s="16">
        <v>44329</v>
      </c>
      <c r="S1642" s="17" t="s">
        <v>317</v>
      </c>
      <c r="T1642" s="20">
        <f>HYPERLINK("https://vnm.spiral.com.vn//uploaded/20210513/8fd38284-1e73-4e06-90c1-973850d349d3.JPEG","07:55:35")</f>
      </c>
      <c r="U1642" s="20">
        <f>HYPERLINK("https://vnm.spiral.com.vn//uploaded/20210513/b749b3d4-bdeb-4eba-b60b-b28b68299ec4.JPEG","12:16:21")</f>
      </c>
      <c r="V1642" s="18">
        <v>0.18108796296296295</v>
      </c>
      <c r="W1642" s="15" t="s">
        <v>9689</v>
      </c>
      <c r="X1642" s="15" t="s">
        <v>9690</v>
      </c>
      <c r="Y1642" s="15" t="s">
        <v>35</v>
      </c>
      <c r="Z1642" s="19">
        <v>0</v>
      </c>
      <c r="AA1642" s="15">
        <v>0</v>
      </c>
      <c r="AB1642" s="15" t="s">
        <v>35</v>
      </c>
    </row>
    <row r="1643">
      <c r="A1643" s="15">
        <v>1639</v>
      </c>
      <c r="B1643" s="15" t="s">
        <v>87</v>
      </c>
      <c r="C1643" s="15" t="s">
        <v>88</v>
      </c>
      <c r="D1643" s="15" t="s">
        <v>35</v>
      </c>
      <c r="E1643" s="15" t="s">
        <v>35</v>
      </c>
      <c r="F1643" s="15" t="s">
        <v>2773</v>
      </c>
      <c r="G1643" s="15" t="s">
        <v>36</v>
      </c>
      <c r="H1643" s="15" t="s">
        <v>9691</v>
      </c>
      <c r="I1643" s="15" t="s">
        <v>9692</v>
      </c>
      <c r="J1643" s="15" t="s">
        <v>9693</v>
      </c>
      <c r="K1643" s="15" t="s">
        <v>40</v>
      </c>
      <c r="L1643" s="15" t="s">
        <v>41</v>
      </c>
      <c r="M1643" s="15" t="s">
        <v>810</v>
      </c>
      <c r="N1643" s="15" t="s">
        <v>811</v>
      </c>
      <c r="O1643" s="15" t="s">
        <v>44</v>
      </c>
      <c r="P1643" s="15" t="s">
        <v>9694</v>
      </c>
      <c r="Q1643" s="15" t="s">
        <v>9695</v>
      </c>
      <c r="R1643" s="16">
        <v>44329</v>
      </c>
      <c r="S1643" s="17" t="s">
        <v>1835</v>
      </c>
      <c r="T1643" s="20">
        <f>HYPERLINK("https://vnm.spiral.com.vn//uploaded/20210513/8da78516-1fd9-4168-a3d2-24431e441afb.JPEG","12:16:11")</f>
      </c>
      <c r="U1643" s="18"/>
      <c r="V1643" s="18" t="s">
        <v>35</v>
      </c>
      <c r="W1643" s="15" t="s">
        <v>9696</v>
      </c>
      <c r="X1643" s="15" t="s">
        <v>35</v>
      </c>
      <c r="Y1643" s="15" t="s">
        <v>35</v>
      </c>
      <c r="Z1643" s="19">
        <v>0</v>
      </c>
      <c r="AA1643" s="15">
        <v>0</v>
      </c>
      <c r="AB1643" s="15" t="s">
        <v>35</v>
      </c>
    </row>
    <row r="1644">
      <c r="A1644" s="15">
        <v>1640</v>
      </c>
      <c r="B1644" s="15" t="s">
        <v>49</v>
      </c>
      <c r="C1644" s="15" t="s">
        <v>50</v>
      </c>
      <c r="D1644" s="15" t="s">
        <v>35</v>
      </c>
      <c r="E1644" s="15" t="s">
        <v>35</v>
      </c>
      <c r="F1644" s="15" t="s">
        <v>51</v>
      </c>
      <c r="G1644" s="15" t="s">
        <v>36</v>
      </c>
      <c r="H1644" s="15" t="s">
        <v>5995</v>
      </c>
      <c r="I1644" s="15" t="s">
        <v>5996</v>
      </c>
      <c r="J1644" s="15" t="s">
        <v>5997</v>
      </c>
      <c r="K1644" s="15" t="s">
        <v>40</v>
      </c>
      <c r="L1644" s="15" t="s">
        <v>41</v>
      </c>
      <c r="M1644" s="15" t="s">
        <v>55</v>
      </c>
      <c r="N1644" s="15" t="s">
        <v>56</v>
      </c>
      <c r="O1644" s="15" t="s">
        <v>44</v>
      </c>
      <c r="P1644" s="15" t="s">
        <v>5998</v>
      </c>
      <c r="Q1644" s="15" t="s">
        <v>5999</v>
      </c>
      <c r="R1644" s="16">
        <v>44329</v>
      </c>
      <c r="S1644" s="17" t="s">
        <v>317</v>
      </c>
      <c r="T1644" s="20">
        <f>HYPERLINK("https://vnm.spiral.com.vn//uploaded/20210513/d549c51e-9606-464a-9835-1cda7ad48389.JPEG","08:18:49")</f>
      </c>
      <c r="U1644" s="20">
        <f>HYPERLINK("https://vnm.spiral.com.vn//uploaded/20210513/53e39894-2328-443f-9e60-f57543a2c69b.JPEG","12:16:05")</f>
      </c>
      <c r="V1644" s="18">
        <v>0.1647685185185185</v>
      </c>
      <c r="W1644" s="15" t="s">
        <v>9697</v>
      </c>
      <c r="X1644" s="15" t="s">
        <v>9698</v>
      </c>
      <c r="Y1644" s="15" t="s">
        <v>35</v>
      </c>
      <c r="Z1644" s="19">
        <v>0</v>
      </c>
      <c r="AA1644" s="15">
        <v>0</v>
      </c>
      <c r="AB1644" s="15" t="s">
        <v>35</v>
      </c>
    </row>
    <row r="1645">
      <c r="A1645" s="15">
        <v>1641</v>
      </c>
      <c r="B1645" s="15" t="s">
        <v>343</v>
      </c>
      <c r="C1645" s="15" t="s">
        <v>344</v>
      </c>
      <c r="D1645" s="15" t="s">
        <v>432</v>
      </c>
      <c r="E1645" s="15" t="s">
        <v>116</v>
      </c>
      <c r="F1645" s="15" t="s">
        <v>35</v>
      </c>
      <c r="G1645" s="15" t="s">
        <v>74</v>
      </c>
      <c r="H1645" s="15" t="s">
        <v>9699</v>
      </c>
      <c r="I1645" s="15" t="s">
        <v>9700</v>
      </c>
      <c r="J1645" s="15" t="s">
        <v>9701</v>
      </c>
      <c r="K1645" s="15" t="s">
        <v>512</v>
      </c>
      <c r="L1645" s="15" t="s">
        <v>513</v>
      </c>
      <c r="M1645" s="15" t="s">
        <v>514</v>
      </c>
      <c r="N1645" s="15" t="s">
        <v>515</v>
      </c>
      <c r="O1645" s="15" t="s">
        <v>82</v>
      </c>
      <c r="P1645" s="15" t="s">
        <v>1047</v>
      </c>
      <c r="Q1645" s="15" t="s">
        <v>1048</v>
      </c>
      <c r="R1645" s="16">
        <v>44329</v>
      </c>
      <c r="S1645" s="17" t="s">
        <v>70</v>
      </c>
      <c r="T1645" s="20">
        <f>HYPERLINK("https://vnm.spiral.com.vn//uploaded/20210513/5866792c-a94d-4beb-a97a-849d6c117c63.JPEG","10:51:22")</f>
      </c>
      <c r="U1645" s="20">
        <f>HYPERLINK("https://vnm.spiral.com.vn//uploaded/20210513/f95ab2f3-3ff8-439c-9cae-2c1ca27a8ccf.JPEG","12:16:03")</f>
      </c>
      <c r="V1645" s="18">
        <v>0.05880787037037037</v>
      </c>
      <c r="W1645" s="15" t="s">
        <v>9702</v>
      </c>
      <c r="X1645" s="15" t="s">
        <v>9703</v>
      </c>
      <c r="Y1645" s="15" t="s">
        <v>35</v>
      </c>
      <c r="Z1645" s="19">
        <v>0</v>
      </c>
      <c r="AA1645" s="15">
        <v>0</v>
      </c>
      <c r="AB1645" s="15" t="s">
        <v>35</v>
      </c>
    </row>
    <row r="1646">
      <c r="A1646" s="15">
        <v>1642</v>
      </c>
      <c r="B1646" s="15" t="s">
        <v>61</v>
      </c>
      <c r="C1646" s="15" t="s">
        <v>737</v>
      </c>
      <c r="D1646" s="15" t="s">
        <v>35</v>
      </c>
      <c r="E1646" s="15" t="s">
        <v>35</v>
      </c>
      <c r="F1646" s="15" t="s">
        <v>4966</v>
      </c>
      <c r="G1646" s="15" t="s">
        <v>36</v>
      </c>
      <c r="H1646" s="15" t="s">
        <v>5136</v>
      </c>
      <c r="I1646" s="15" t="s">
        <v>5137</v>
      </c>
      <c r="J1646" s="15" t="s">
        <v>5138</v>
      </c>
      <c r="K1646" s="15" t="s">
        <v>40</v>
      </c>
      <c r="L1646" s="15" t="s">
        <v>41</v>
      </c>
      <c r="M1646" s="15" t="s">
        <v>205</v>
      </c>
      <c r="N1646" s="15" t="s">
        <v>206</v>
      </c>
      <c r="O1646" s="15" t="s">
        <v>44</v>
      </c>
      <c r="P1646" s="15" t="s">
        <v>5139</v>
      </c>
      <c r="Q1646" s="15" t="s">
        <v>5140</v>
      </c>
      <c r="R1646" s="16">
        <v>44329</v>
      </c>
      <c r="S1646" s="17" t="s">
        <v>317</v>
      </c>
      <c r="T1646" s="20">
        <f>HYPERLINK("https://vnm.spiral.com.vn//uploaded/20210513/74ef4e82-c17f-4ded-9463-06cf320d4c2d.JPEG","08:00:28")</f>
      </c>
      <c r="U1646" s="20">
        <f>HYPERLINK("https://vnm.spiral.com.vn//uploaded/20210513/40aa58d3-2e7f-4455-b11f-e20af4818311.JPEG","12:15:58")</f>
      </c>
      <c r="V1646" s="18">
        <v>0.17743055555555556</v>
      </c>
      <c r="W1646" s="15" t="s">
        <v>9704</v>
      </c>
      <c r="X1646" s="15" t="s">
        <v>9705</v>
      </c>
      <c r="Y1646" s="15" t="s">
        <v>35</v>
      </c>
      <c r="Z1646" s="19">
        <v>0</v>
      </c>
      <c r="AA1646" s="15">
        <v>0</v>
      </c>
      <c r="AB1646" s="15" t="s">
        <v>35</v>
      </c>
    </row>
    <row r="1647">
      <c r="A1647" s="15">
        <v>1643</v>
      </c>
      <c r="B1647" s="15" t="s">
        <v>103</v>
      </c>
      <c r="C1647" s="15" t="s">
        <v>186</v>
      </c>
      <c r="D1647" s="15" t="s">
        <v>35</v>
      </c>
      <c r="E1647" s="15" t="s">
        <v>35</v>
      </c>
      <c r="F1647" s="15" t="s">
        <v>35</v>
      </c>
      <c r="G1647" s="15" t="s">
        <v>35</v>
      </c>
      <c r="H1647" s="15" t="s">
        <v>6824</v>
      </c>
      <c r="I1647" s="15" t="s">
        <v>6825</v>
      </c>
      <c r="J1647" s="15" t="s">
        <v>6826</v>
      </c>
      <c r="K1647" s="15" t="s">
        <v>40</v>
      </c>
      <c r="L1647" s="15" t="s">
        <v>41</v>
      </c>
      <c r="M1647" s="15" t="s">
        <v>565</v>
      </c>
      <c r="N1647" s="15" t="s">
        <v>566</v>
      </c>
      <c r="O1647" s="15" t="s">
        <v>44</v>
      </c>
      <c r="P1647" s="15" t="s">
        <v>6827</v>
      </c>
      <c r="Q1647" s="15" t="s">
        <v>6828</v>
      </c>
      <c r="R1647" s="16">
        <v>44329</v>
      </c>
      <c r="S1647" s="17" t="s">
        <v>317</v>
      </c>
      <c r="T1647" s="20">
        <f>HYPERLINK("https://vnm.spiral.com.vn//uploaded/20210513/945CC7C9-C5AF-4F45-B6F2-249BFFFCFB2B.jpg","07:59:56")</f>
      </c>
      <c r="U1647" s="20">
        <f>HYPERLINK("https://vnm.spiral.com.vn//uploaded/20210513/5D6C5005-D2BA-41AA-9EAE-6EB5BBC5D59C.jpg","12:15:56")</f>
      </c>
      <c r="V1647" s="18">
        <v>0.17777777777777778</v>
      </c>
      <c r="W1647" s="15" t="s">
        <v>9706</v>
      </c>
      <c r="X1647" s="15" t="s">
        <v>9707</v>
      </c>
      <c r="Y1647" s="15" t="s">
        <v>35</v>
      </c>
      <c r="Z1647" s="19">
        <v>0</v>
      </c>
      <c r="AA1647" s="15">
        <v>0</v>
      </c>
      <c r="AB1647" s="15" t="s">
        <v>35</v>
      </c>
    </row>
    <row r="1648">
      <c r="A1648" s="15">
        <v>1644</v>
      </c>
      <c r="B1648" s="15" t="s">
        <v>87</v>
      </c>
      <c r="C1648" s="15" t="s">
        <v>88</v>
      </c>
      <c r="D1648" s="15" t="s">
        <v>135</v>
      </c>
      <c r="E1648" s="15" t="s">
        <v>116</v>
      </c>
      <c r="F1648" s="15" t="s">
        <v>35</v>
      </c>
      <c r="G1648" s="15" t="s">
        <v>74</v>
      </c>
      <c r="H1648" s="15" t="s">
        <v>9708</v>
      </c>
      <c r="I1648" s="15" t="s">
        <v>9709</v>
      </c>
      <c r="J1648" s="15" t="s">
        <v>9710</v>
      </c>
      <c r="K1648" s="15" t="s">
        <v>139</v>
      </c>
      <c r="L1648" s="15" t="s">
        <v>140</v>
      </c>
      <c r="M1648" s="15" t="s">
        <v>141</v>
      </c>
      <c r="N1648" s="15" t="s">
        <v>142</v>
      </c>
      <c r="O1648" s="15" t="s">
        <v>82</v>
      </c>
      <c r="P1648" s="15" t="s">
        <v>1741</v>
      </c>
      <c r="Q1648" s="15" t="s">
        <v>1742</v>
      </c>
      <c r="R1648" s="16">
        <v>44329</v>
      </c>
      <c r="S1648" s="17" t="s">
        <v>70</v>
      </c>
      <c r="T1648" s="20">
        <f>HYPERLINK("https://vnm.spiral.com.vn//uploaded/20210513/7545F979-56F4-4CF5-9241-436C6A9B4CAA.jpg","11:33:51")</f>
      </c>
      <c r="U1648" s="20">
        <f>HYPERLINK("https://vnm.spiral.com.vn//uploaded/20210513/D9D4F49D-1B54-4508-BACE-3FBB9E8CBDBD.jpg","12:15:54")</f>
      </c>
      <c r="V1648" s="18">
        <v>0.029201388888888888</v>
      </c>
      <c r="W1648" s="15" t="s">
        <v>9711</v>
      </c>
      <c r="X1648" s="15" t="s">
        <v>9712</v>
      </c>
      <c r="Y1648" s="15" t="s">
        <v>35</v>
      </c>
      <c r="Z1648" s="19">
        <v>0</v>
      </c>
      <c r="AA1648" s="15">
        <v>0</v>
      </c>
      <c r="AB1648" s="15" t="s">
        <v>35</v>
      </c>
    </row>
    <row r="1649">
      <c r="A1649" s="15">
        <v>1645</v>
      </c>
      <c r="B1649" s="15" t="s">
        <v>87</v>
      </c>
      <c r="C1649" s="15" t="s">
        <v>88</v>
      </c>
      <c r="D1649" s="15" t="s">
        <v>35</v>
      </c>
      <c r="E1649" s="15" t="s">
        <v>35</v>
      </c>
      <c r="F1649" s="15" t="s">
        <v>2789</v>
      </c>
      <c r="G1649" s="15" t="s">
        <v>36</v>
      </c>
      <c r="H1649" s="15" t="s">
        <v>2920</v>
      </c>
      <c r="I1649" s="15" t="s">
        <v>2921</v>
      </c>
      <c r="J1649" s="15" t="s">
        <v>2922</v>
      </c>
      <c r="K1649" s="15" t="s">
        <v>40</v>
      </c>
      <c r="L1649" s="15" t="s">
        <v>41</v>
      </c>
      <c r="M1649" s="15" t="s">
        <v>289</v>
      </c>
      <c r="N1649" s="15" t="s">
        <v>290</v>
      </c>
      <c r="O1649" s="15" t="s">
        <v>44</v>
      </c>
      <c r="P1649" s="15" t="s">
        <v>2923</v>
      </c>
      <c r="Q1649" s="15" t="s">
        <v>2924</v>
      </c>
      <c r="R1649" s="16">
        <v>44329</v>
      </c>
      <c r="S1649" s="17" t="s">
        <v>317</v>
      </c>
      <c r="T1649" s="20">
        <f>HYPERLINK("https://vnm.spiral.com.vn//uploaded/20210513/29c2b7e5-8041-49d5-ad27-962f0b3a0bc5.JPEG","08:27:04")</f>
      </c>
      <c r="U1649" s="20">
        <f>HYPERLINK("https://vnm.spiral.com.vn//uploaded/20210513/e6fed92f-6494-4cea-88e7-d87caec26ad8.JPEG","12:15:50")</f>
      </c>
      <c r="V1649" s="18">
        <v>0.15886574074074075</v>
      </c>
      <c r="W1649" s="15" t="s">
        <v>9713</v>
      </c>
      <c r="X1649" s="15" t="s">
        <v>9714</v>
      </c>
      <c r="Y1649" s="15" t="s">
        <v>35</v>
      </c>
      <c r="Z1649" s="19">
        <v>0</v>
      </c>
      <c r="AA1649" s="15">
        <v>0</v>
      </c>
      <c r="AB1649" s="15" t="s">
        <v>35</v>
      </c>
    </row>
    <row r="1650">
      <c r="A1650" s="15">
        <v>1646</v>
      </c>
      <c r="B1650" s="15" t="s">
        <v>343</v>
      </c>
      <c r="C1650" s="15" t="s">
        <v>344</v>
      </c>
      <c r="D1650" s="15" t="s">
        <v>35</v>
      </c>
      <c r="E1650" s="15" t="s">
        <v>35</v>
      </c>
      <c r="F1650" s="15" t="s">
        <v>35</v>
      </c>
      <c r="G1650" s="15" t="s">
        <v>36</v>
      </c>
      <c r="H1650" s="15" t="s">
        <v>5740</v>
      </c>
      <c r="I1650" s="15" t="s">
        <v>5741</v>
      </c>
      <c r="J1650" s="15" t="s">
        <v>5742</v>
      </c>
      <c r="K1650" s="15" t="s">
        <v>40</v>
      </c>
      <c r="L1650" s="15" t="s">
        <v>41</v>
      </c>
      <c r="M1650" s="15" t="s">
        <v>409</v>
      </c>
      <c r="N1650" s="15" t="s">
        <v>410</v>
      </c>
      <c r="O1650" s="15" t="s">
        <v>44</v>
      </c>
      <c r="P1650" s="15" t="s">
        <v>5743</v>
      </c>
      <c r="Q1650" s="15" t="s">
        <v>5744</v>
      </c>
      <c r="R1650" s="16">
        <v>44329</v>
      </c>
      <c r="S1650" s="17" t="s">
        <v>9664</v>
      </c>
      <c r="T1650" s="20">
        <f>HYPERLINK("https://vnm.spiral.com.vn//uploaded/20210513/F69DCCF5-D03C-4E85-91C5-BBEF27E46C38.jpg","07:33:11")</f>
      </c>
      <c r="U1650" s="20">
        <f>HYPERLINK("https://vnm.spiral.com.vn//uploaded/20210513/829E96AC-1F0E-4FD7-BFDD-D8BEEF42B145.jpg","12:15:37")</f>
      </c>
      <c r="V1650" s="18">
        <v>0.19613425925925926</v>
      </c>
      <c r="W1650" s="15" t="s">
        <v>9715</v>
      </c>
      <c r="X1650" s="15" t="s">
        <v>9716</v>
      </c>
      <c r="Y1650" s="15" t="s">
        <v>35</v>
      </c>
      <c r="Z1650" s="19">
        <v>0</v>
      </c>
      <c r="AA1650" s="15">
        <v>0</v>
      </c>
      <c r="AB1650" s="15" t="s">
        <v>35</v>
      </c>
    </row>
    <row r="1651">
      <c r="A1651" s="15">
        <v>1647</v>
      </c>
      <c r="B1651" s="15" t="s">
        <v>87</v>
      </c>
      <c r="C1651" s="15" t="s">
        <v>88</v>
      </c>
      <c r="D1651" s="15" t="s">
        <v>35</v>
      </c>
      <c r="E1651" s="15" t="s">
        <v>35</v>
      </c>
      <c r="F1651" s="15" t="s">
        <v>2773</v>
      </c>
      <c r="G1651" s="15" t="s">
        <v>36</v>
      </c>
      <c r="H1651" s="15" t="s">
        <v>9717</v>
      </c>
      <c r="I1651" s="15" t="s">
        <v>1601</v>
      </c>
      <c r="J1651" s="15" t="s">
        <v>9718</v>
      </c>
      <c r="K1651" s="15" t="s">
        <v>40</v>
      </c>
      <c r="L1651" s="15" t="s">
        <v>41</v>
      </c>
      <c r="M1651" s="15" t="s">
        <v>810</v>
      </c>
      <c r="N1651" s="15" t="s">
        <v>811</v>
      </c>
      <c r="O1651" s="15" t="s">
        <v>44</v>
      </c>
      <c r="P1651" s="15" t="s">
        <v>9719</v>
      </c>
      <c r="Q1651" s="15" t="s">
        <v>9720</v>
      </c>
      <c r="R1651" s="16">
        <v>44329</v>
      </c>
      <c r="S1651" s="17" t="s">
        <v>6144</v>
      </c>
      <c r="T1651" s="20">
        <f>HYPERLINK("https://vnm.spiral.com.vn//uploaded/20210513/769ce98b-5afa-441f-94af-e76b83c43a25.JPEG","12:15:35")</f>
      </c>
      <c r="U1651" s="18"/>
      <c r="V1651" s="18" t="s">
        <v>35</v>
      </c>
      <c r="W1651" s="15" t="s">
        <v>9721</v>
      </c>
      <c r="X1651" s="15" t="s">
        <v>35</v>
      </c>
      <c r="Y1651" s="15" t="s">
        <v>35</v>
      </c>
      <c r="Z1651" s="19">
        <v>0</v>
      </c>
      <c r="AA1651" s="15">
        <v>0</v>
      </c>
      <c r="AB1651" s="15" t="s">
        <v>35</v>
      </c>
    </row>
    <row r="1652">
      <c r="A1652" s="15">
        <v>1648</v>
      </c>
      <c r="B1652" s="15" t="s">
        <v>87</v>
      </c>
      <c r="C1652" s="15" t="s">
        <v>88</v>
      </c>
      <c r="D1652" s="15" t="s">
        <v>35</v>
      </c>
      <c r="E1652" s="15" t="s">
        <v>35</v>
      </c>
      <c r="F1652" s="15" t="s">
        <v>35</v>
      </c>
      <c r="G1652" s="15" t="s">
        <v>36</v>
      </c>
      <c r="H1652" s="15" t="s">
        <v>4761</v>
      </c>
      <c r="I1652" s="15" t="s">
        <v>4762</v>
      </c>
      <c r="J1652" s="15" t="s">
        <v>4763</v>
      </c>
      <c r="K1652" s="15" t="s">
        <v>40</v>
      </c>
      <c r="L1652" s="15" t="s">
        <v>41</v>
      </c>
      <c r="M1652" s="15" t="s">
        <v>289</v>
      </c>
      <c r="N1652" s="15" t="s">
        <v>290</v>
      </c>
      <c r="O1652" s="15" t="s">
        <v>44</v>
      </c>
      <c r="P1652" s="15" t="s">
        <v>4764</v>
      </c>
      <c r="Q1652" s="15" t="s">
        <v>4765</v>
      </c>
      <c r="R1652" s="16">
        <v>44329</v>
      </c>
      <c r="S1652" s="17" t="s">
        <v>317</v>
      </c>
      <c r="T1652" s="20">
        <f>HYPERLINK("https://vnm.spiral.com.vn//uploaded/20210513/76CFCC4A-5DA3-4ECE-9958-A6CE97B88CD7.jpg","07:53:55")</f>
      </c>
      <c r="U1652" s="20">
        <f>HYPERLINK("https://vnm.spiral.com.vn//uploaded/20210513/AAC77FC8-2DAA-4714-A2AA-9AEED5AF0D47.jpg","12:15:25")</f>
      </c>
      <c r="V1652" s="18">
        <v>0.18159722222222222</v>
      </c>
      <c r="W1652" s="15" t="s">
        <v>9722</v>
      </c>
      <c r="X1652" s="15" t="s">
        <v>9723</v>
      </c>
      <c r="Y1652" s="15" t="s">
        <v>35</v>
      </c>
      <c r="Z1652" s="19">
        <v>0</v>
      </c>
      <c r="AA1652" s="15">
        <v>0</v>
      </c>
      <c r="AB1652" s="15" t="s">
        <v>35</v>
      </c>
    </row>
    <row r="1653">
      <c r="A1653" s="15">
        <v>1649</v>
      </c>
      <c r="B1653" s="15" t="s">
        <v>61</v>
      </c>
      <c r="C1653" s="15" t="s">
        <v>442</v>
      </c>
      <c r="D1653" s="15" t="s">
        <v>35</v>
      </c>
      <c r="E1653" s="15" t="s">
        <v>35</v>
      </c>
      <c r="F1653" s="15" t="s">
        <v>35</v>
      </c>
      <c r="G1653" s="15" t="s">
        <v>36</v>
      </c>
      <c r="H1653" s="15" t="s">
        <v>9724</v>
      </c>
      <c r="I1653" s="15" t="s">
        <v>9725</v>
      </c>
      <c r="J1653" s="15" t="s">
        <v>9726</v>
      </c>
      <c r="K1653" s="15" t="s">
        <v>40</v>
      </c>
      <c r="L1653" s="15" t="s">
        <v>41</v>
      </c>
      <c r="M1653" s="15" t="s">
        <v>205</v>
      </c>
      <c r="N1653" s="15" t="s">
        <v>206</v>
      </c>
      <c r="O1653" s="15" t="s">
        <v>44</v>
      </c>
      <c r="P1653" s="15" t="s">
        <v>9727</v>
      </c>
      <c r="Q1653" s="15" t="s">
        <v>9728</v>
      </c>
      <c r="R1653" s="16">
        <v>44329</v>
      </c>
      <c r="S1653" s="17" t="s">
        <v>9729</v>
      </c>
      <c r="T1653" s="20">
        <f>HYPERLINK("https://vnm.spiral.com.vn//uploaded/20210513/430a63af-589a-4db7-8d99-d6bf7f732efc.JPEG","12:15:24")</f>
      </c>
      <c r="U1653" s="18"/>
      <c r="V1653" s="18" t="s">
        <v>35</v>
      </c>
      <c r="W1653" s="15" t="s">
        <v>9730</v>
      </c>
      <c r="X1653" s="15" t="s">
        <v>35</v>
      </c>
      <c r="Y1653" s="15" t="s">
        <v>35</v>
      </c>
      <c r="Z1653" s="19">
        <v>0</v>
      </c>
      <c r="AA1653" s="15">
        <v>0</v>
      </c>
      <c r="AB1653" s="15" t="s">
        <v>35</v>
      </c>
    </row>
    <row r="1654">
      <c r="A1654" s="15">
        <v>1650</v>
      </c>
      <c r="B1654" s="15" t="s">
        <v>103</v>
      </c>
      <c r="C1654" s="15" t="s">
        <v>186</v>
      </c>
      <c r="D1654" s="15" t="s">
        <v>35</v>
      </c>
      <c r="E1654" s="15" t="s">
        <v>35</v>
      </c>
      <c r="F1654" s="15" t="s">
        <v>35</v>
      </c>
      <c r="G1654" s="15" t="s">
        <v>36</v>
      </c>
      <c r="H1654" s="15" t="s">
        <v>660</v>
      </c>
      <c r="I1654" s="15" t="s">
        <v>661</v>
      </c>
      <c r="J1654" s="15" t="s">
        <v>662</v>
      </c>
      <c r="K1654" s="15" t="s">
        <v>40</v>
      </c>
      <c r="L1654" s="15" t="s">
        <v>41</v>
      </c>
      <c r="M1654" s="15" t="s">
        <v>565</v>
      </c>
      <c r="N1654" s="15" t="s">
        <v>566</v>
      </c>
      <c r="O1654" s="15" t="s">
        <v>44</v>
      </c>
      <c r="P1654" s="15" t="s">
        <v>663</v>
      </c>
      <c r="Q1654" s="15" t="s">
        <v>664</v>
      </c>
      <c r="R1654" s="16">
        <v>44329</v>
      </c>
      <c r="S1654" s="17" t="s">
        <v>317</v>
      </c>
      <c r="T1654" s="20">
        <f>HYPERLINK("https://vnm.spiral.com.vn//uploaded/20210513/93DF727C-5BD2-415E-98F6-9D5BC0AA7037.jpg","07:50:52")</f>
      </c>
      <c r="U1654" s="20">
        <f>HYPERLINK("https://vnm.spiral.com.vn//uploaded/20210513/FB12BAB9-D4EA-42A4-9D33-8C387868FF3C.jpg","12:15:18")</f>
      </c>
      <c r="V1654" s="18">
        <v>0.18363425925925925</v>
      </c>
      <c r="W1654" s="15" t="s">
        <v>9731</v>
      </c>
      <c r="X1654" s="15" t="s">
        <v>9732</v>
      </c>
      <c r="Y1654" s="15" t="s">
        <v>35</v>
      </c>
      <c r="Z1654" s="19">
        <v>0</v>
      </c>
      <c r="AA1654" s="15">
        <v>0</v>
      </c>
      <c r="AB1654" s="15" t="s">
        <v>35</v>
      </c>
    </row>
    <row r="1655">
      <c r="A1655" s="15">
        <v>1651</v>
      </c>
      <c r="B1655" s="15" t="s">
        <v>87</v>
      </c>
      <c r="C1655" s="15" t="s">
        <v>88</v>
      </c>
      <c r="D1655" s="15" t="s">
        <v>135</v>
      </c>
      <c r="E1655" s="15" t="s">
        <v>116</v>
      </c>
      <c r="F1655" s="15" t="s">
        <v>35</v>
      </c>
      <c r="G1655" s="15" t="s">
        <v>74</v>
      </c>
      <c r="H1655" s="15" t="s">
        <v>9733</v>
      </c>
      <c r="I1655" s="15" t="s">
        <v>9734</v>
      </c>
      <c r="J1655" s="15" t="s">
        <v>9735</v>
      </c>
      <c r="K1655" s="15" t="s">
        <v>94</v>
      </c>
      <c r="L1655" s="15" t="s">
        <v>95</v>
      </c>
      <c r="M1655" s="15" t="s">
        <v>139</v>
      </c>
      <c r="N1655" s="15" t="s">
        <v>140</v>
      </c>
      <c r="O1655" s="15" t="s">
        <v>98</v>
      </c>
      <c r="P1655" s="15" t="s">
        <v>141</v>
      </c>
      <c r="Q1655" s="15" t="s">
        <v>142</v>
      </c>
      <c r="R1655" s="16">
        <v>44329</v>
      </c>
      <c r="S1655" s="17" t="s">
        <v>70</v>
      </c>
      <c r="T1655" s="20">
        <f>HYPERLINK("https://vnm.spiral.com.vn//uploaded/20210513/709828EC-2C81-4F15-8C79-F8DA46C7CACA.jpg","10:54:06")</f>
      </c>
      <c r="U1655" s="20">
        <f>HYPERLINK("https://vnm.spiral.com.vn//uploaded/20210513/A1EC1B43-CCFF-4894-B06F-7F7D5DB565B2.jpg","12:15:05")</f>
      </c>
      <c r="V1655" s="18">
        <v>0.05623842592592593</v>
      </c>
      <c r="W1655" s="15" t="s">
        <v>9736</v>
      </c>
      <c r="X1655" s="15" t="s">
        <v>9737</v>
      </c>
      <c r="Y1655" s="15" t="s">
        <v>35</v>
      </c>
      <c r="Z1655" s="19">
        <v>0</v>
      </c>
      <c r="AA1655" s="15">
        <v>0</v>
      </c>
      <c r="AB1655" s="15" t="s">
        <v>35</v>
      </c>
    </row>
    <row r="1656">
      <c r="A1656" s="15">
        <v>1652</v>
      </c>
      <c r="B1656" s="15" t="s">
        <v>87</v>
      </c>
      <c r="C1656" s="15" t="s">
        <v>88</v>
      </c>
      <c r="D1656" s="15" t="s">
        <v>35</v>
      </c>
      <c r="E1656" s="15" t="s">
        <v>35</v>
      </c>
      <c r="F1656" s="15" t="s">
        <v>35</v>
      </c>
      <c r="G1656" s="15" t="s">
        <v>35</v>
      </c>
      <c r="H1656" s="15" t="s">
        <v>4949</v>
      </c>
      <c r="I1656" s="15" t="s">
        <v>4950</v>
      </c>
      <c r="J1656" s="15" t="s">
        <v>4951</v>
      </c>
      <c r="K1656" s="15" t="s">
        <v>40</v>
      </c>
      <c r="L1656" s="15" t="s">
        <v>41</v>
      </c>
      <c r="M1656" s="15" t="s">
        <v>810</v>
      </c>
      <c r="N1656" s="15" t="s">
        <v>811</v>
      </c>
      <c r="O1656" s="15" t="s">
        <v>44</v>
      </c>
      <c r="P1656" s="15" t="s">
        <v>4952</v>
      </c>
      <c r="Q1656" s="15" t="s">
        <v>4953</v>
      </c>
      <c r="R1656" s="16">
        <v>44329</v>
      </c>
      <c r="S1656" s="17" t="s">
        <v>317</v>
      </c>
      <c r="T1656" s="20">
        <f>HYPERLINK("https://vnm.spiral.com.vn//uploaded/20210513/43F79F01-C90C-4AC1-B47F-1EB36A182D2A.jpg","07:56:45")</f>
      </c>
      <c r="U1656" s="20">
        <f>HYPERLINK("https://vnm.spiral.com.vn//uploaded/20210513/FDECB342-C8AC-4124-8B4E-6DB7EED61C02.jpg","12:14:57")</f>
      </c>
      <c r="V1656" s="18">
        <v>0.17930555555555555</v>
      </c>
      <c r="W1656" s="15" t="s">
        <v>9738</v>
      </c>
      <c r="X1656" s="15" t="s">
        <v>9739</v>
      </c>
      <c r="Y1656" s="15" t="s">
        <v>35</v>
      </c>
      <c r="Z1656" s="19">
        <v>0</v>
      </c>
      <c r="AA1656" s="15">
        <v>0</v>
      </c>
      <c r="AB1656" s="15" t="s">
        <v>35</v>
      </c>
    </row>
    <row r="1657">
      <c r="A1657" s="15">
        <v>1653</v>
      </c>
      <c r="B1657" s="15" t="s">
        <v>87</v>
      </c>
      <c r="C1657" s="15" t="s">
        <v>88</v>
      </c>
      <c r="D1657" s="15" t="s">
        <v>35</v>
      </c>
      <c r="E1657" s="15" t="s">
        <v>35</v>
      </c>
      <c r="F1657" s="15" t="s">
        <v>35</v>
      </c>
      <c r="G1657" s="15" t="s">
        <v>74</v>
      </c>
      <c r="H1657" s="15" t="s">
        <v>9740</v>
      </c>
      <c r="I1657" s="15" t="s">
        <v>9741</v>
      </c>
      <c r="J1657" s="15" t="s">
        <v>9742</v>
      </c>
      <c r="K1657" s="15" t="s">
        <v>888</v>
      </c>
      <c r="L1657" s="15" t="s">
        <v>889</v>
      </c>
      <c r="M1657" s="15" t="s">
        <v>890</v>
      </c>
      <c r="N1657" s="15" t="s">
        <v>891</v>
      </c>
      <c r="O1657" s="15" t="s">
        <v>82</v>
      </c>
      <c r="P1657" s="15" t="s">
        <v>1547</v>
      </c>
      <c r="Q1657" s="15" t="s">
        <v>1548</v>
      </c>
      <c r="R1657" s="16">
        <v>44329</v>
      </c>
      <c r="S1657" s="17" t="s">
        <v>70</v>
      </c>
      <c r="T1657" s="20">
        <f>HYPERLINK("https://vnm.spiral.com.vn//uploaded/20210513/92A65F4C-C5F7-4EAC-B27B-CDCC2C2C9C05.jpg","11:56:05")</f>
      </c>
      <c r="U1657" s="20">
        <f>HYPERLINK("https://vnm.spiral.com.vn//uploaded/20210513/AA618405-2097-4100-92AB-1AC3851C711E.jpg","12:14:23")</f>
      </c>
      <c r="V1657" s="18">
        <v>0.012708333333333334</v>
      </c>
      <c r="W1657" s="15" t="s">
        <v>9743</v>
      </c>
      <c r="X1657" s="15" t="s">
        <v>9744</v>
      </c>
      <c r="Y1657" s="15" t="s">
        <v>35</v>
      </c>
      <c r="Z1657" s="19">
        <v>0</v>
      </c>
      <c r="AA1657" s="15">
        <v>0</v>
      </c>
      <c r="AB1657" s="15" t="s">
        <v>35</v>
      </c>
    </row>
    <row r="1658">
      <c r="A1658" s="15">
        <v>1654</v>
      </c>
      <c r="B1658" s="15" t="s">
        <v>87</v>
      </c>
      <c r="C1658" s="15" t="s">
        <v>88</v>
      </c>
      <c r="D1658" s="15" t="s">
        <v>35</v>
      </c>
      <c r="E1658" s="15" t="s">
        <v>35</v>
      </c>
      <c r="F1658" s="15" t="s">
        <v>2773</v>
      </c>
      <c r="G1658" s="15" t="s">
        <v>36</v>
      </c>
      <c r="H1658" s="15" t="s">
        <v>9745</v>
      </c>
      <c r="I1658" s="15" t="s">
        <v>9746</v>
      </c>
      <c r="J1658" s="15" t="s">
        <v>9747</v>
      </c>
      <c r="K1658" s="15" t="s">
        <v>40</v>
      </c>
      <c r="L1658" s="15" t="s">
        <v>41</v>
      </c>
      <c r="M1658" s="15" t="s">
        <v>810</v>
      </c>
      <c r="N1658" s="15" t="s">
        <v>811</v>
      </c>
      <c r="O1658" s="15" t="s">
        <v>44</v>
      </c>
      <c r="P1658" s="15" t="s">
        <v>3041</v>
      </c>
      <c r="Q1658" s="15" t="s">
        <v>3042</v>
      </c>
      <c r="R1658" s="16">
        <v>44329</v>
      </c>
      <c r="S1658" s="17" t="s">
        <v>317</v>
      </c>
      <c r="T1658" s="20">
        <f>HYPERLINK("https://vnm.spiral.com.vn//uploaded/20210513/f0df784f-bb13-420d-9d4b-249f72cd6b99.JPEG","08:12:03")</f>
      </c>
      <c r="U1658" s="20">
        <f>HYPERLINK("https://vnm.spiral.com.vn//uploaded/20210513/b8879cda-395c-40d9-ad07-e69cb6f03984.JPEG","12:14:14")</f>
      </c>
      <c r="V1658" s="18">
        <v>0.16818287037037036</v>
      </c>
      <c r="W1658" s="15" t="s">
        <v>9748</v>
      </c>
      <c r="X1658" s="15" t="s">
        <v>9749</v>
      </c>
      <c r="Y1658" s="15" t="s">
        <v>35</v>
      </c>
      <c r="Z1658" s="19">
        <v>0</v>
      </c>
      <c r="AA1658" s="15">
        <v>0</v>
      </c>
      <c r="AB1658" s="15" t="s">
        <v>35</v>
      </c>
    </row>
    <row r="1659">
      <c r="A1659" s="15">
        <v>1655</v>
      </c>
      <c r="B1659" s="15" t="s">
        <v>87</v>
      </c>
      <c r="C1659" s="15" t="s">
        <v>88</v>
      </c>
      <c r="D1659" s="15" t="s">
        <v>35</v>
      </c>
      <c r="E1659" s="15" t="s">
        <v>35</v>
      </c>
      <c r="F1659" s="15" t="s">
        <v>1091</v>
      </c>
      <c r="G1659" s="15" t="s">
        <v>36</v>
      </c>
      <c r="H1659" s="15" t="s">
        <v>5540</v>
      </c>
      <c r="I1659" s="15" t="s">
        <v>5541</v>
      </c>
      <c r="J1659" s="15" t="s">
        <v>5542</v>
      </c>
      <c r="K1659" s="15" t="s">
        <v>40</v>
      </c>
      <c r="L1659" s="15" t="s">
        <v>41</v>
      </c>
      <c r="M1659" s="15" t="s">
        <v>810</v>
      </c>
      <c r="N1659" s="15" t="s">
        <v>811</v>
      </c>
      <c r="O1659" s="15" t="s">
        <v>44</v>
      </c>
      <c r="P1659" s="15" t="s">
        <v>5543</v>
      </c>
      <c r="Q1659" s="15" t="s">
        <v>5544</v>
      </c>
      <c r="R1659" s="16">
        <v>44329</v>
      </c>
      <c r="S1659" s="17" t="s">
        <v>317</v>
      </c>
      <c r="T1659" s="20">
        <f>HYPERLINK("https://vnm.spiral.com.vn//uploaded/20210513/50a9e496-0fa7-4c37-9e8e-b6892288c28c.JPEG","07:16:13")</f>
      </c>
      <c r="U1659" s="20">
        <f>HYPERLINK("https://vnm.spiral.com.vn//uploaded/20210513/f2becd0e-018e-4192-ac79-f1c726800893.JPEG","12:14:12")</f>
      </c>
      <c r="V1659" s="18">
        <v>0.20693287037037036</v>
      </c>
      <c r="W1659" s="15" t="s">
        <v>5545</v>
      </c>
      <c r="X1659" s="15" t="s">
        <v>5545</v>
      </c>
      <c r="Y1659" s="15" t="s">
        <v>35</v>
      </c>
      <c r="Z1659" s="19">
        <v>0</v>
      </c>
      <c r="AA1659" s="15">
        <v>0</v>
      </c>
      <c r="AB1659" s="15" t="s">
        <v>35</v>
      </c>
    </row>
    <row r="1660">
      <c r="A1660" s="15">
        <v>1656</v>
      </c>
      <c r="B1660" s="15" t="s">
        <v>343</v>
      </c>
      <c r="C1660" s="15" t="s">
        <v>344</v>
      </c>
      <c r="D1660" s="15" t="s">
        <v>35</v>
      </c>
      <c r="E1660" s="15" t="s">
        <v>35</v>
      </c>
      <c r="F1660" s="15" t="s">
        <v>35</v>
      </c>
      <c r="G1660" s="15" t="s">
        <v>74</v>
      </c>
      <c r="H1660" s="15" t="s">
        <v>9750</v>
      </c>
      <c r="I1660" s="15" t="s">
        <v>9751</v>
      </c>
      <c r="J1660" s="15" t="s">
        <v>9752</v>
      </c>
      <c r="K1660" s="15" t="s">
        <v>584</v>
      </c>
      <c r="L1660" s="15" t="s">
        <v>585</v>
      </c>
      <c r="M1660" s="15" t="s">
        <v>827</v>
      </c>
      <c r="N1660" s="15" t="s">
        <v>828</v>
      </c>
      <c r="O1660" s="15" t="s">
        <v>82</v>
      </c>
      <c r="P1660" s="15" t="s">
        <v>2319</v>
      </c>
      <c r="Q1660" s="15" t="s">
        <v>2320</v>
      </c>
      <c r="R1660" s="16">
        <v>44329</v>
      </c>
      <c r="S1660" s="17" t="s">
        <v>70</v>
      </c>
      <c r="T1660" s="20">
        <f>HYPERLINK("https://vnm.spiral.com.vn//uploaded/20210513/28F41B62-9DA1-43D9-A7FE-DAF639B4C8EB.jpg","11:57:15")</f>
      </c>
      <c r="U1660" s="20">
        <f>HYPERLINK("https://vnm.spiral.com.vn//uploaded/20210513/91AEAA7F-23A0-4D6E-9833-A51CFFD39AC8.jpg","12:13:46")</f>
      </c>
      <c r="V1660" s="18">
        <v>0.011469907407407408</v>
      </c>
      <c r="W1660" s="15" t="s">
        <v>9753</v>
      </c>
      <c r="X1660" s="15" t="s">
        <v>9754</v>
      </c>
      <c r="Y1660" s="15" t="s">
        <v>35</v>
      </c>
      <c r="Z1660" s="19">
        <v>0</v>
      </c>
      <c r="AA1660" s="15">
        <v>0</v>
      </c>
      <c r="AB1660" s="15" t="s">
        <v>35</v>
      </c>
    </row>
    <row r="1661">
      <c r="A1661" s="15">
        <v>1657</v>
      </c>
      <c r="B1661" s="15" t="s">
        <v>246</v>
      </c>
      <c r="C1661" s="15" t="s">
        <v>259</v>
      </c>
      <c r="D1661" s="15" t="s">
        <v>35</v>
      </c>
      <c r="E1661" s="15" t="s">
        <v>35</v>
      </c>
      <c r="F1661" s="15" t="s">
        <v>1352</v>
      </c>
      <c r="G1661" s="15" t="s">
        <v>36</v>
      </c>
      <c r="H1661" s="15" t="s">
        <v>1353</v>
      </c>
      <c r="I1661" s="15" t="s">
        <v>1354</v>
      </c>
      <c r="J1661" s="15" t="s">
        <v>1355</v>
      </c>
      <c r="K1661" s="15" t="s">
        <v>40</v>
      </c>
      <c r="L1661" s="15" t="s">
        <v>41</v>
      </c>
      <c r="M1661" s="15" t="s">
        <v>252</v>
      </c>
      <c r="N1661" s="15" t="s">
        <v>253</v>
      </c>
      <c r="O1661" s="15" t="s">
        <v>44</v>
      </c>
      <c r="P1661" s="15" t="s">
        <v>1356</v>
      </c>
      <c r="Q1661" s="15" t="s">
        <v>1357</v>
      </c>
      <c r="R1661" s="16">
        <v>44329</v>
      </c>
      <c r="S1661" s="17" t="s">
        <v>317</v>
      </c>
      <c r="T1661" s="20">
        <f>HYPERLINK("https://vnm.spiral.com.vn//uploaded/20210513/16f199ca-43c0-479b-8f25-b1c725d3e950.JPEG","08:09:36")</f>
      </c>
      <c r="U1661" s="20">
        <f>HYPERLINK("https://vnm.spiral.com.vn//uploaded/20210513/154d3a61-da0b-4840-9f53-6306048a9b08.JPEG","12:13:40")</f>
      </c>
      <c r="V1661" s="18">
        <v>0.16949074074074075</v>
      </c>
      <c r="W1661" s="15" t="s">
        <v>9755</v>
      </c>
      <c r="X1661" s="15" t="s">
        <v>9756</v>
      </c>
      <c r="Y1661" s="15" t="s">
        <v>35</v>
      </c>
      <c r="Z1661" s="19">
        <v>0</v>
      </c>
      <c r="AA1661" s="15">
        <v>0</v>
      </c>
      <c r="AB1661" s="15" t="s">
        <v>35</v>
      </c>
    </row>
    <row r="1662">
      <c r="A1662" s="15">
        <v>1658</v>
      </c>
      <c r="B1662" s="15" t="s">
        <v>246</v>
      </c>
      <c r="C1662" s="15" t="s">
        <v>259</v>
      </c>
      <c r="D1662" s="15" t="s">
        <v>35</v>
      </c>
      <c r="E1662" s="15" t="s">
        <v>35</v>
      </c>
      <c r="F1662" s="15" t="s">
        <v>1352</v>
      </c>
      <c r="G1662" s="15" t="s">
        <v>36</v>
      </c>
      <c r="H1662" s="15" t="s">
        <v>6262</v>
      </c>
      <c r="I1662" s="15" t="s">
        <v>6263</v>
      </c>
      <c r="J1662" s="15" t="s">
        <v>6264</v>
      </c>
      <c r="K1662" s="15" t="s">
        <v>40</v>
      </c>
      <c r="L1662" s="15" t="s">
        <v>41</v>
      </c>
      <c r="M1662" s="15" t="s">
        <v>252</v>
      </c>
      <c r="N1662" s="15" t="s">
        <v>253</v>
      </c>
      <c r="O1662" s="15" t="s">
        <v>44</v>
      </c>
      <c r="P1662" s="15" t="s">
        <v>6265</v>
      </c>
      <c r="Q1662" s="15" t="s">
        <v>6266</v>
      </c>
      <c r="R1662" s="16">
        <v>44329</v>
      </c>
      <c r="S1662" s="17" t="s">
        <v>317</v>
      </c>
      <c r="T1662" s="20">
        <f>HYPERLINK("https://vnm.spiral.com.vn//uploaded/20210513/40232b80-ae04-416b-a393-a591957d0509.JPEG","08:08:06")</f>
      </c>
      <c r="U1662" s="20">
        <f>HYPERLINK("https://vnm.spiral.com.vn//uploaded/20210513/8220a03b-aebb-4ed9-9b11-5188402d9bf3.JPEG","12:13:39")</f>
      </c>
      <c r="V1662" s="18">
        <v>0.17052083333333334</v>
      </c>
      <c r="W1662" s="15" t="s">
        <v>9757</v>
      </c>
      <c r="X1662" s="15" t="s">
        <v>9758</v>
      </c>
      <c r="Y1662" s="15" t="s">
        <v>35</v>
      </c>
      <c r="Z1662" s="19">
        <v>0</v>
      </c>
      <c r="AA1662" s="15">
        <v>0</v>
      </c>
      <c r="AB1662" s="15" t="s">
        <v>35</v>
      </c>
    </row>
    <row r="1663">
      <c r="A1663" s="15">
        <v>1659</v>
      </c>
      <c r="B1663" s="15" t="s">
        <v>87</v>
      </c>
      <c r="C1663" s="15" t="s">
        <v>88</v>
      </c>
      <c r="D1663" s="15" t="s">
        <v>35</v>
      </c>
      <c r="E1663" s="15" t="s">
        <v>35</v>
      </c>
      <c r="F1663" s="15" t="s">
        <v>1091</v>
      </c>
      <c r="G1663" s="15" t="s">
        <v>36</v>
      </c>
      <c r="H1663" s="15" t="s">
        <v>2980</v>
      </c>
      <c r="I1663" s="15" t="s">
        <v>2981</v>
      </c>
      <c r="J1663" s="15" t="s">
        <v>2982</v>
      </c>
      <c r="K1663" s="15" t="s">
        <v>40</v>
      </c>
      <c r="L1663" s="15" t="s">
        <v>41</v>
      </c>
      <c r="M1663" s="15" t="s">
        <v>810</v>
      </c>
      <c r="N1663" s="15" t="s">
        <v>811</v>
      </c>
      <c r="O1663" s="15" t="s">
        <v>44</v>
      </c>
      <c r="P1663" s="15" t="s">
        <v>2983</v>
      </c>
      <c r="Q1663" s="15" t="s">
        <v>2984</v>
      </c>
      <c r="R1663" s="16">
        <v>44329</v>
      </c>
      <c r="S1663" s="17" t="s">
        <v>9664</v>
      </c>
      <c r="T1663" s="20">
        <f>HYPERLINK("https://vnm.spiral.com.vn//uploaded/20210513/db94b01b-9be3-4fb4-b9bd-4d9798e76449.JPEG","07:34:59")</f>
      </c>
      <c r="U1663" s="20">
        <f>HYPERLINK("https://vnm.spiral.com.vn//uploaded/20210513/23960ca9-7d90-4e2a-bc79-3354b0df61e9.JPEG","12:13:27")</f>
      </c>
      <c r="V1663" s="18">
        <v>0.19337962962962962</v>
      </c>
      <c r="W1663" s="15" t="s">
        <v>9759</v>
      </c>
      <c r="X1663" s="15" t="s">
        <v>9760</v>
      </c>
      <c r="Y1663" s="15" t="s">
        <v>35</v>
      </c>
      <c r="Z1663" s="19">
        <v>0</v>
      </c>
      <c r="AA1663" s="15">
        <v>0</v>
      </c>
      <c r="AB1663" s="15" t="s">
        <v>35</v>
      </c>
    </row>
    <row r="1664">
      <c r="A1664" s="15">
        <v>1660</v>
      </c>
      <c r="B1664" s="15" t="s">
        <v>61</v>
      </c>
      <c r="C1664" s="15" t="s">
        <v>62</v>
      </c>
      <c r="D1664" s="15" t="s">
        <v>135</v>
      </c>
      <c r="E1664" s="15" t="s">
        <v>116</v>
      </c>
      <c r="F1664" s="15" t="s">
        <v>35</v>
      </c>
      <c r="G1664" s="15" t="s">
        <v>74</v>
      </c>
      <c r="H1664" s="15" t="s">
        <v>9761</v>
      </c>
      <c r="I1664" s="15" t="s">
        <v>9762</v>
      </c>
      <c r="J1664" s="15" t="s">
        <v>9763</v>
      </c>
      <c r="K1664" s="15" t="s">
        <v>1586</v>
      </c>
      <c r="L1664" s="15" t="s">
        <v>1587</v>
      </c>
      <c r="M1664" s="15" t="s">
        <v>1588</v>
      </c>
      <c r="N1664" s="15" t="s">
        <v>1589</v>
      </c>
      <c r="O1664" s="15" t="s">
        <v>82</v>
      </c>
      <c r="P1664" s="15" t="s">
        <v>8743</v>
      </c>
      <c r="Q1664" s="15" t="s">
        <v>8744</v>
      </c>
      <c r="R1664" s="16">
        <v>44329</v>
      </c>
      <c r="S1664" s="17" t="s">
        <v>70</v>
      </c>
      <c r="T1664" s="20">
        <f>HYPERLINK("https://vnm.spiral.com.vn//uploaded/20210513/E0DF579B-4691-4580-A2A0-08B128E68E33.jpg","11:30:35")</f>
      </c>
      <c r="U1664" s="20">
        <f>HYPERLINK("https://vnm.spiral.com.vn//uploaded/20210513/38A8E7FB-0508-4C04-969D-BDC5E9BF67A1.jpg","12:13:19")</f>
      </c>
      <c r="V1664" s="18">
        <v>0.029675925925925925</v>
      </c>
      <c r="W1664" s="15" t="s">
        <v>9764</v>
      </c>
      <c r="X1664" s="15" t="s">
        <v>9765</v>
      </c>
      <c r="Y1664" s="15" t="s">
        <v>35</v>
      </c>
      <c r="Z1664" s="19">
        <v>0</v>
      </c>
      <c r="AA1664" s="15">
        <v>0</v>
      </c>
      <c r="AB1664" s="15" t="s">
        <v>35</v>
      </c>
    </row>
    <row r="1665">
      <c r="A1665" s="15">
        <v>1661</v>
      </c>
      <c r="B1665" s="15" t="s">
        <v>103</v>
      </c>
      <c r="C1665" s="15" t="s">
        <v>104</v>
      </c>
      <c r="D1665" s="15" t="s">
        <v>148</v>
      </c>
      <c r="E1665" s="15" t="s">
        <v>90</v>
      </c>
      <c r="F1665" s="15" t="s">
        <v>35</v>
      </c>
      <c r="G1665" s="15" t="s">
        <v>74</v>
      </c>
      <c r="H1665" s="15" t="s">
        <v>3165</v>
      </c>
      <c r="I1665" s="15" t="s">
        <v>3166</v>
      </c>
      <c r="J1665" s="15" t="s">
        <v>3167</v>
      </c>
      <c r="K1665" s="15" t="s">
        <v>460</v>
      </c>
      <c r="L1665" s="15" t="s">
        <v>461</v>
      </c>
      <c r="M1665" s="15" t="s">
        <v>2395</v>
      </c>
      <c r="N1665" s="15" t="s">
        <v>2396</v>
      </c>
      <c r="O1665" s="15" t="s">
        <v>156</v>
      </c>
      <c r="P1665" s="15" t="s">
        <v>9766</v>
      </c>
      <c r="Q1665" s="15" t="s">
        <v>9767</v>
      </c>
      <c r="R1665" s="16">
        <v>44329</v>
      </c>
      <c r="S1665" s="17" t="s">
        <v>9484</v>
      </c>
      <c r="T1665" s="20">
        <f>HYPERLINK("https://vnm.spiral.com.vn//uploaded/20210513/2777a3aa-a011-4e2f-9b98-5052d6009501.JPEG","12:13:08")</f>
      </c>
      <c r="U1665" s="18"/>
      <c r="V1665" s="18" t="s">
        <v>35</v>
      </c>
      <c r="W1665" s="15" t="s">
        <v>9768</v>
      </c>
      <c r="X1665" s="15" t="s">
        <v>35</v>
      </c>
      <c r="Y1665" s="15" t="s">
        <v>35</v>
      </c>
      <c r="Z1665" s="19">
        <v>0</v>
      </c>
      <c r="AA1665" s="15">
        <v>0</v>
      </c>
      <c r="AB1665" s="15" t="s">
        <v>35</v>
      </c>
    </row>
    <row r="1666">
      <c r="A1666" s="15">
        <v>1662</v>
      </c>
      <c r="B1666" s="15" t="s">
        <v>49</v>
      </c>
      <c r="C1666" s="15" t="s">
        <v>756</v>
      </c>
      <c r="D1666" s="15" t="s">
        <v>35</v>
      </c>
      <c r="E1666" s="15" t="s">
        <v>35</v>
      </c>
      <c r="F1666" s="15" t="s">
        <v>6964</v>
      </c>
      <c r="G1666" s="15" t="s">
        <v>36</v>
      </c>
      <c r="H1666" s="15" t="s">
        <v>9769</v>
      </c>
      <c r="I1666" s="15" t="s">
        <v>9770</v>
      </c>
      <c r="J1666" s="15" t="s">
        <v>9771</v>
      </c>
      <c r="K1666" s="15" t="s">
        <v>40</v>
      </c>
      <c r="L1666" s="15" t="s">
        <v>41</v>
      </c>
      <c r="M1666" s="15" t="s">
        <v>55</v>
      </c>
      <c r="N1666" s="15" t="s">
        <v>56</v>
      </c>
      <c r="O1666" s="15" t="s">
        <v>44</v>
      </c>
      <c r="P1666" s="15" t="s">
        <v>7943</v>
      </c>
      <c r="Q1666" s="15" t="s">
        <v>7944</v>
      </c>
      <c r="R1666" s="16">
        <v>44329</v>
      </c>
      <c r="S1666" s="17" t="s">
        <v>317</v>
      </c>
      <c r="T1666" s="20">
        <f>HYPERLINK("https://vnm.spiral.com.vn//uploaded/20210513/8EBFFC34-7E10-40BD-8990-80912C1D8E47.jpg","07:35:50")</f>
      </c>
      <c r="U1666" s="20">
        <f>HYPERLINK("https://vnm.spiral.com.vn//uploaded/20210513/EAF84244-7794-458C-97EE-26800C55B564.jpg","12:13:05")</f>
      </c>
      <c r="V1666" s="18">
        <v>0.19253472222222223</v>
      </c>
      <c r="W1666" s="15" t="s">
        <v>9772</v>
      </c>
      <c r="X1666" s="15" t="s">
        <v>9773</v>
      </c>
      <c r="Y1666" s="15" t="s">
        <v>35</v>
      </c>
      <c r="Z1666" s="19">
        <v>0</v>
      </c>
      <c r="AA1666" s="15">
        <v>0</v>
      </c>
      <c r="AB1666" s="15" t="s">
        <v>35</v>
      </c>
    </row>
    <row r="1667">
      <c r="A1667" s="15">
        <v>1663</v>
      </c>
      <c r="B1667" s="15" t="s">
        <v>343</v>
      </c>
      <c r="C1667" s="15" t="s">
        <v>344</v>
      </c>
      <c r="D1667" s="15" t="s">
        <v>35</v>
      </c>
      <c r="E1667" s="15" t="s">
        <v>35</v>
      </c>
      <c r="F1667" s="15" t="s">
        <v>6608</v>
      </c>
      <c r="G1667" s="15" t="s">
        <v>36</v>
      </c>
      <c r="H1667" s="15" t="s">
        <v>6609</v>
      </c>
      <c r="I1667" s="15" t="s">
        <v>6610</v>
      </c>
      <c r="J1667" s="15" t="s">
        <v>6611</v>
      </c>
      <c r="K1667" s="15" t="s">
        <v>40</v>
      </c>
      <c r="L1667" s="15" t="s">
        <v>41</v>
      </c>
      <c r="M1667" s="15" t="s">
        <v>595</v>
      </c>
      <c r="N1667" s="15" t="s">
        <v>596</v>
      </c>
      <c r="O1667" s="15" t="s">
        <v>44</v>
      </c>
      <c r="P1667" s="15" t="s">
        <v>6612</v>
      </c>
      <c r="Q1667" s="15" t="s">
        <v>685</v>
      </c>
      <c r="R1667" s="16">
        <v>44329</v>
      </c>
      <c r="S1667" s="17" t="s">
        <v>317</v>
      </c>
      <c r="T1667" s="20">
        <f>HYPERLINK("https://vnm.spiral.com.vn//uploaded/20210513/f69e886d-e332-4298-9c8a-1f72bda4d97c.JPEG","07:55:44")</f>
      </c>
      <c r="U1667" s="20">
        <f>HYPERLINK("https://vnm.spiral.com.vn//uploaded/20210513/b6ff23b1-9896-4842-ac35-09c84edb0a00.JPEG","12:13:02")</f>
      </c>
      <c r="V1667" s="18">
        <v>0.17868055555555556</v>
      </c>
      <c r="W1667" s="15" t="s">
        <v>9774</v>
      </c>
      <c r="X1667" s="15" t="s">
        <v>9775</v>
      </c>
      <c r="Y1667" s="15" t="s">
        <v>35</v>
      </c>
      <c r="Z1667" s="19">
        <v>0</v>
      </c>
      <c r="AA1667" s="15">
        <v>0</v>
      </c>
      <c r="AB1667" s="15" t="s">
        <v>35</v>
      </c>
    </row>
    <row r="1668">
      <c r="A1668" s="15">
        <v>1664</v>
      </c>
      <c r="B1668" s="15" t="s">
        <v>343</v>
      </c>
      <c r="C1668" s="15" t="s">
        <v>344</v>
      </c>
      <c r="D1668" s="15" t="s">
        <v>35</v>
      </c>
      <c r="E1668" s="15" t="s">
        <v>35</v>
      </c>
      <c r="F1668" s="15" t="s">
        <v>35</v>
      </c>
      <c r="G1668" s="15" t="s">
        <v>74</v>
      </c>
      <c r="H1668" s="15" t="s">
        <v>9776</v>
      </c>
      <c r="I1668" s="15" t="s">
        <v>9777</v>
      </c>
      <c r="J1668" s="15" t="s">
        <v>9778</v>
      </c>
      <c r="K1668" s="15" t="s">
        <v>584</v>
      </c>
      <c r="L1668" s="15" t="s">
        <v>585</v>
      </c>
      <c r="M1668" s="15" t="s">
        <v>827</v>
      </c>
      <c r="N1668" s="15" t="s">
        <v>828</v>
      </c>
      <c r="O1668" s="15" t="s">
        <v>82</v>
      </c>
      <c r="P1668" s="15" t="s">
        <v>2484</v>
      </c>
      <c r="Q1668" s="15" t="s">
        <v>2485</v>
      </c>
      <c r="R1668" s="16">
        <v>44329</v>
      </c>
      <c r="S1668" s="17" t="s">
        <v>70</v>
      </c>
      <c r="T1668" s="20">
        <f>HYPERLINK("https://vnm.spiral.com.vn//uploaded/20210513/E1735322-D0A7-4E61-B50C-5647FA8EA565.jpg","11:57:11")</f>
      </c>
      <c r="U1668" s="20">
        <f>HYPERLINK("https://vnm.spiral.com.vn//uploaded/20210513/8810FE1D-F6FB-4CC3-B2D5-4E0078ABC6D2.jpg","12:12:43")</f>
      </c>
      <c r="V1668" s="18">
        <v>0.010787037037037038</v>
      </c>
      <c r="W1668" s="15" t="s">
        <v>9779</v>
      </c>
      <c r="X1668" s="15" t="s">
        <v>9780</v>
      </c>
      <c r="Y1668" s="15" t="s">
        <v>35</v>
      </c>
      <c r="Z1668" s="19">
        <v>0</v>
      </c>
      <c r="AA1668" s="15">
        <v>0</v>
      </c>
      <c r="AB1668" s="15" t="s">
        <v>35</v>
      </c>
    </row>
    <row r="1669">
      <c r="A1669" s="15">
        <v>1665</v>
      </c>
      <c r="B1669" s="15" t="s">
        <v>343</v>
      </c>
      <c r="C1669" s="15" t="s">
        <v>344</v>
      </c>
      <c r="D1669" s="15" t="s">
        <v>35</v>
      </c>
      <c r="E1669" s="15" t="s">
        <v>35</v>
      </c>
      <c r="F1669" s="15" t="s">
        <v>35</v>
      </c>
      <c r="G1669" s="15" t="s">
        <v>36</v>
      </c>
      <c r="H1669" s="15" t="s">
        <v>9781</v>
      </c>
      <c r="I1669" s="15" t="s">
        <v>3174</v>
      </c>
      <c r="J1669" s="15" t="s">
        <v>9782</v>
      </c>
      <c r="K1669" s="15" t="s">
        <v>40</v>
      </c>
      <c r="L1669" s="15" t="s">
        <v>41</v>
      </c>
      <c r="M1669" s="15" t="s">
        <v>595</v>
      </c>
      <c r="N1669" s="15" t="s">
        <v>596</v>
      </c>
      <c r="O1669" s="15" t="s">
        <v>44</v>
      </c>
      <c r="P1669" s="15" t="s">
        <v>9783</v>
      </c>
      <c r="Q1669" s="15" t="s">
        <v>9784</v>
      </c>
      <c r="R1669" s="16">
        <v>44329</v>
      </c>
      <c r="S1669" s="17" t="s">
        <v>569</v>
      </c>
      <c r="T1669" s="20">
        <f>HYPERLINK("https://vnm.spiral.com.vn//uploaded/20210513/E02B91FE-F809-465D-8DD8-0F8453133052.jpg","12:12:43")</f>
      </c>
      <c r="U1669" s="18"/>
      <c r="V1669" s="18" t="s">
        <v>35</v>
      </c>
      <c r="W1669" s="15" t="s">
        <v>9785</v>
      </c>
      <c r="X1669" s="15" t="s">
        <v>35</v>
      </c>
      <c r="Y1669" s="15" t="s">
        <v>35</v>
      </c>
      <c r="Z1669" s="19">
        <v>0</v>
      </c>
      <c r="AA1669" s="15">
        <v>0</v>
      </c>
      <c r="AB1669" s="15" t="s">
        <v>35</v>
      </c>
    </row>
    <row r="1670">
      <c r="A1670" s="15">
        <v>1666</v>
      </c>
      <c r="B1670" s="15" t="s">
        <v>49</v>
      </c>
      <c r="C1670" s="15" t="s">
        <v>369</v>
      </c>
      <c r="D1670" s="15" t="s">
        <v>35</v>
      </c>
      <c r="E1670" s="15" t="s">
        <v>35</v>
      </c>
      <c r="F1670" s="15" t="s">
        <v>370</v>
      </c>
      <c r="G1670" s="15" t="s">
        <v>36</v>
      </c>
      <c r="H1670" s="15" t="s">
        <v>7794</v>
      </c>
      <c r="I1670" s="15" t="s">
        <v>7795</v>
      </c>
      <c r="J1670" s="15" t="s">
        <v>7796</v>
      </c>
      <c r="K1670" s="15" t="s">
        <v>40</v>
      </c>
      <c r="L1670" s="15" t="s">
        <v>41</v>
      </c>
      <c r="M1670" s="15" t="s">
        <v>55</v>
      </c>
      <c r="N1670" s="15" t="s">
        <v>56</v>
      </c>
      <c r="O1670" s="15" t="s">
        <v>44</v>
      </c>
      <c r="P1670" s="15" t="s">
        <v>7797</v>
      </c>
      <c r="Q1670" s="15" t="s">
        <v>7798</v>
      </c>
      <c r="R1670" s="16">
        <v>44329</v>
      </c>
      <c r="S1670" s="17" t="s">
        <v>317</v>
      </c>
      <c r="T1670" s="20">
        <f>HYPERLINK("https://vnm.spiral.com.vn//uploaded/20210513/cf51b5eb-02d8-48c4-b78a-982b103b013c.JPEG","07:56:39")</f>
      </c>
      <c r="U1670" s="20">
        <f>HYPERLINK("https://vnm.spiral.com.vn//uploaded/20210513/998cf2ac-def3-49bd-a2de-0d0148c05afc.JPEG","12:12:40")</f>
      </c>
      <c r="V1670" s="18">
        <v>0.17778935185185185</v>
      </c>
      <c r="W1670" s="15" t="s">
        <v>9786</v>
      </c>
      <c r="X1670" s="15" t="s">
        <v>9787</v>
      </c>
      <c r="Y1670" s="15" t="s">
        <v>35</v>
      </c>
      <c r="Z1670" s="19">
        <v>0</v>
      </c>
      <c r="AA1670" s="15">
        <v>0</v>
      </c>
      <c r="AB1670" s="15" t="s">
        <v>35</v>
      </c>
    </row>
    <row r="1671">
      <c r="A1671" s="15">
        <v>1667</v>
      </c>
      <c r="B1671" s="15" t="s">
        <v>246</v>
      </c>
      <c r="C1671" s="15" t="s">
        <v>2005</v>
      </c>
      <c r="D1671" s="15" t="s">
        <v>357</v>
      </c>
      <c r="E1671" s="15" t="s">
        <v>90</v>
      </c>
      <c r="F1671" s="15" t="s">
        <v>35</v>
      </c>
      <c r="G1671" s="15" t="s">
        <v>74</v>
      </c>
      <c r="H1671" s="15" t="s">
        <v>2006</v>
      </c>
      <c r="I1671" s="15" t="s">
        <v>2007</v>
      </c>
      <c r="J1671" s="15" t="s">
        <v>2008</v>
      </c>
      <c r="K1671" s="15" t="s">
        <v>263</v>
      </c>
      <c r="L1671" s="15" t="s">
        <v>264</v>
      </c>
      <c r="M1671" s="15" t="s">
        <v>2009</v>
      </c>
      <c r="N1671" s="15" t="s">
        <v>2010</v>
      </c>
      <c r="O1671" s="15" t="s">
        <v>156</v>
      </c>
      <c r="P1671" s="15" t="s">
        <v>2011</v>
      </c>
      <c r="Q1671" s="15" t="s">
        <v>2012</v>
      </c>
      <c r="R1671" s="16">
        <v>44329</v>
      </c>
      <c r="S1671" s="17" t="s">
        <v>317</v>
      </c>
      <c r="T1671" s="20">
        <f>HYPERLINK("https://vnm.spiral.com.vn//uploaded/20210513/542CAD2A-841B-423A-B1AC-DE14C3923796.jpg","08:08:02")</f>
      </c>
      <c r="U1671" s="20">
        <f>HYPERLINK("https://vnm.spiral.com.vn//uploaded/20210513/334CDBB1-1D86-420E-91D5-3BCCDEEA6762.jpg","12:12:27")</f>
      </c>
      <c r="V1671" s="18">
        <v>0.16973379629629629</v>
      </c>
      <c r="W1671" s="15" t="s">
        <v>9788</v>
      </c>
      <c r="X1671" s="15" t="s">
        <v>9789</v>
      </c>
      <c r="Y1671" s="15" t="s">
        <v>35</v>
      </c>
      <c r="Z1671" s="19">
        <v>0</v>
      </c>
      <c r="AA1671" s="15">
        <v>0</v>
      </c>
      <c r="AB1671" s="15" t="s">
        <v>35</v>
      </c>
    </row>
    <row r="1672">
      <c r="A1672" s="15">
        <v>1668</v>
      </c>
      <c r="B1672" s="15" t="s">
        <v>61</v>
      </c>
      <c r="C1672" s="15" t="s">
        <v>398</v>
      </c>
      <c r="D1672" s="15" t="s">
        <v>135</v>
      </c>
      <c r="E1672" s="15" t="s">
        <v>116</v>
      </c>
      <c r="F1672" s="15" t="s">
        <v>35</v>
      </c>
      <c r="G1672" s="15" t="s">
        <v>74</v>
      </c>
      <c r="H1672" s="15" t="s">
        <v>9790</v>
      </c>
      <c r="I1672" s="15" t="s">
        <v>9791</v>
      </c>
      <c r="J1672" s="15" t="s">
        <v>9792</v>
      </c>
      <c r="K1672" s="15" t="s">
        <v>1586</v>
      </c>
      <c r="L1672" s="15" t="s">
        <v>1587</v>
      </c>
      <c r="M1672" s="15" t="s">
        <v>1588</v>
      </c>
      <c r="N1672" s="15" t="s">
        <v>1589</v>
      </c>
      <c r="O1672" s="15" t="s">
        <v>82</v>
      </c>
      <c r="P1672" s="15" t="s">
        <v>9249</v>
      </c>
      <c r="Q1672" s="15" t="s">
        <v>9250</v>
      </c>
      <c r="R1672" s="16">
        <v>44329</v>
      </c>
      <c r="S1672" s="17" t="s">
        <v>70</v>
      </c>
      <c r="T1672" s="20">
        <f>HYPERLINK("https://vnm.spiral.com.vn//uploaded/20210513/4d9c9a83-5c8c-4eb5-800b-064c8410ae06.JPEG","11:10:50")</f>
      </c>
      <c r="U1672" s="20">
        <f>HYPERLINK("https://vnm.spiral.com.vn//uploaded/20210513/c241cf97-b618-45f6-b3be-54ec412fe523.JPEG","12:12:15")</f>
      </c>
      <c r="V1672" s="18">
        <v>0.042650462962962966</v>
      </c>
      <c r="W1672" s="15" t="s">
        <v>9793</v>
      </c>
      <c r="X1672" s="15" t="s">
        <v>9794</v>
      </c>
      <c r="Y1672" s="15" t="s">
        <v>35</v>
      </c>
      <c r="Z1672" s="19">
        <v>0</v>
      </c>
      <c r="AA1672" s="15">
        <v>0</v>
      </c>
      <c r="AB1672" s="15" t="s">
        <v>35</v>
      </c>
    </row>
    <row r="1673">
      <c r="A1673" s="15">
        <v>1669</v>
      </c>
      <c r="B1673" s="15" t="s">
        <v>343</v>
      </c>
      <c r="C1673" s="15" t="s">
        <v>344</v>
      </c>
      <c r="D1673" s="15" t="s">
        <v>35</v>
      </c>
      <c r="E1673" s="15" t="s">
        <v>35</v>
      </c>
      <c r="F1673" s="15" t="s">
        <v>35</v>
      </c>
      <c r="G1673" s="15" t="s">
        <v>36</v>
      </c>
      <c r="H1673" s="15" t="s">
        <v>8524</v>
      </c>
      <c r="I1673" s="15" t="s">
        <v>8525</v>
      </c>
      <c r="J1673" s="15" t="s">
        <v>8526</v>
      </c>
      <c r="K1673" s="15" t="s">
        <v>40</v>
      </c>
      <c r="L1673" s="15" t="s">
        <v>41</v>
      </c>
      <c r="M1673" s="15" t="s">
        <v>409</v>
      </c>
      <c r="N1673" s="15" t="s">
        <v>410</v>
      </c>
      <c r="O1673" s="15" t="s">
        <v>44</v>
      </c>
      <c r="P1673" s="15" t="s">
        <v>8527</v>
      </c>
      <c r="Q1673" s="15" t="s">
        <v>1155</v>
      </c>
      <c r="R1673" s="16">
        <v>44329</v>
      </c>
      <c r="S1673" s="17" t="s">
        <v>317</v>
      </c>
      <c r="T1673" s="20">
        <f>HYPERLINK("https://vnm.spiral.com.vn//uploaded/20210513/E2A518C8-2CFA-47A8-9016-7FB24E5635C0.jpg","07:38:19")</f>
      </c>
      <c r="U1673" s="20">
        <f>HYPERLINK("https://vnm.spiral.com.vn//uploaded/20210513/0FB75979-FCF5-442A-BFD8-200900F713F7.jpg","12:12:07")</f>
      </c>
      <c r="V1673" s="18">
        <v>0.19013888888888889</v>
      </c>
      <c r="W1673" s="15" t="s">
        <v>9795</v>
      </c>
      <c r="X1673" s="15" t="s">
        <v>9796</v>
      </c>
      <c r="Y1673" s="15" t="s">
        <v>35</v>
      </c>
      <c r="Z1673" s="19">
        <v>0</v>
      </c>
      <c r="AA1673" s="15">
        <v>0</v>
      </c>
      <c r="AB1673" s="15" t="s">
        <v>35</v>
      </c>
    </row>
    <row r="1674">
      <c r="A1674" s="15">
        <v>1670</v>
      </c>
      <c r="B1674" s="15" t="s">
        <v>61</v>
      </c>
      <c r="C1674" s="15" t="s">
        <v>398</v>
      </c>
      <c r="D1674" s="15" t="s">
        <v>35</v>
      </c>
      <c r="E1674" s="15" t="s">
        <v>35</v>
      </c>
      <c r="F1674" s="15" t="s">
        <v>9797</v>
      </c>
      <c r="G1674" s="15" t="s">
        <v>36</v>
      </c>
      <c r="H1674" s="15" t="s">
        <v>9798</v>
      </c>
      <c r="I1674" s="15" t="s">
        <v>9799</v>
      </c>
      <c r="J1674" s="15" t="s">
        <v>9800</v>
      </c>
      <c r="K1674" s="15" t="s">
        <v>40</v>
      </c>
      <c r="L1674" s="15" t="s">
        <v>41</v>
      </c>
      <c r="M1674" s="15" t="s">
        <v>66</v>
      </c>
      <c r="N1674" s="15" t="s">
        <v>67</v>
      </c>
      <c r="O1674" s="15" t="s">
        <v>44</v>
      </c>
      <c r="P1674" s="15" t="s">
        <v>9801</v>
      </c>
      <c r="Q1674" s="15" t="s">
        <v>9802</v>
      </c>
      <c r="R1674" s="16">
        <v>44329</v>
      </c>
      <c r="S1674" s="17" t="s">
        <v>9803</v>
      </c>
      <c r="T1674" s="20">
        <f>HYPERLINK("https://vnm.spiral.com.vn//uploaded/20210513/1810353e-a138-4b5a-b81e-50d3d547d829.JPEG","12:11:29")</f>
      </c>
      <c r="U1674" s="18"/>
      <c r="V1674" s="18" t="s">
        <v>35</v>
      </c>
      <c r="W1674" s="15" t="s">
        <v>9804</v>
      </c>
      <c r="X1674" s="15" t="s">
        <v>35</v>
      </c>
      <c r="Y1674" s="15" t="s">
        <v>35</v>
      </c>
      <c r="Z1674" s="19">
        <v>0</v>
      </c>
      <c r="AA1674" s="15">
        <v>0</v>
      </c>
      <c r="AB1674" s="15" t="s">
        <v>35</v>
      </c>
    </row>
    <row r="1675">
      <c r="A1675" s="15">
        <v>1671</v>
      </c>
      <c r="B1675" s="15" t="s">
        <v>87</v>
      </c>
      <c r="C1675" s="15" t="s">
        <v>88</v>
      </c>
      <c r="D1675" s="15" t="s">
        <v>35</v>
      </c>
      <c r="E1675" s="15" t="s">
        <v>35</v>
      </c>
      <c r="F1675" s="15" t="s">
        <v>2077</v>
      </c>
      <c r="G1675" s="15" t="s">
        <v>36</v>
      </c>
      <c r="H1675" s="15" t="s">
        <v>4006</v>
      </c>
      <c r="I1675" s="15" t="s">
        <v>4007</v>
      </c>
      <c r="J1675" s="15" t="s">
        <v>4008</v>
      </c>
      <c r="K1675" s="15" t="s">
        <v>40</v>
      </c>
      <c r="L1675" s="15" t="s">
        <v>41</v>
      </c>
      <c r="M1675" s="15" t="s">
        <v>289</v>
      </c>
      <c r="N1675" s="15" t="s">
        <v>290</v>
      </c>
      <c r="O1675" s="15" t="s">
        <v>44</v>
      </c>
      <c r="P1675" s="15" t="s">
        <v>4009</v>
      </c>
      <c r="Q1675" s="15" t="s">
        <v>4010</v>
      </c>
      <c r="R1675" s="16">
        <v>44329</v>
      </c>
      <c r="S1675" s="17" t="s">
        <v>317</v>
      </c>
      <c r="T1675" s="20">
        <f>HYPERLINK("https://vnm.spiral.com.vn//uploaded/20210513/f6ff5ac9-c327-4291-80c6-941485a30db3.JPEG","08:08:32")</f>
      </c>
      <c r="U1675" s="20">
        <f>HYPERLINK("https://vnm.spiral.com.vn//uploaded/20210513/edbe8bac-7f72-4596-95df-c1af309a7e39.JPEG","12:11:23")</f>
      </c>
      <c r="V1675" s="18">
        <v>0.16864583333333333</v>
      </c>
      <c r="W1675" s="15" t="s">
        <v>9805</v>
      </c>
      <c r="X1675" s="15" t="s">
        <v>9806</v>
      </c>
      <c r="Y1675" s="15" t="s">
        <v>35</v>
      </c>
      <c r="Z1675" s="19">
        <v>0</v>
      </c>
      <c r="AA1675" s="15">
        <v>0</v>
      </c>
      <c r="AB1675" s="15" t="s">
        <v>35</v>
      </c>
    </row>
    <row r="1676">
      <c r="A1676" s="15">
        <v>1672</v>
      </c>
      <c r="B1676" s="15" t="s">
        <v>87</v>
      </c>
      <c r="C1676" s="15" t="s">
        <v>88</v>
      </c>
      <c r="D1676" s="15" t="s">
        <v>135</v>
      </c>
      <c r="E1676" s="15" t="s">
        <v>116</v>
      </c>
      <c r="F1676" s="15" t="s">
        <v>35</v>
      </c>
      <c r="G1676" s="15" t="s">
        <v>74</v>
      </c>
      <c r="H1676" s="15" t="s">
        <v>9807</v>
      </c>
      <c r="I1676" s="15" t="s">
        <v>9808</v>
      </c>
      <c r="J1676" s="15" t="s">
        <v>9809</v>
      </c>
      <c r="K1676" s="15" t="s">
        <v>139</v>
      </c>
      <c r="L1676" s="15" t="s">
        <v>140</v>
      </c>
      <c r="M1676" s="15" t="s">
        <v>530</v>
      </c>
      <c r="N1676" s="15" t="s">
        <v>531</v>
      </c>
      <c r="O1676" s="15" t="s">
        <v>82</v>
      </c>
      <c r="P1676" s="15" t="s">
        <v>2158</v>
      </c>
      <c r="Q1676" s="15" t="s">
        <v>2159</v>
      </c>
      <c r="R1676" s="16">
        <v>44329</v>
      </c>
      <c r="S1676" s="17" t="s">
        <v>70</v>
      </c>
      <c r="T1676" s="20">
        <f>HYPERLINK("https://vnm.spiral.com.vn//uploaded/20210513/d07ae6ac-96bb-47b9-a4be-e93e2db258e2.JPEG","11:20:30")</f>
      </c>
      <c r="U1676" s="20">
        <f>HYPERLINK("https://vnm.spiral.com.vn//uploaded/20210513/065b5a41-4836-4833-919a-30073abf22c8.JPEG","12:11:10")</f>
      </c>
      <c r="V1676" s="18">
        <v>0.03518518518518519</v>
      </c>
      <c r="W1676" s="15" t="s">
        <v>9810</v>
      </c>
      <c r="X1676" s="15" t="s">
        <v>9811</v>
      </c>
      <c r="Y1676" s="15" t="s">
        <v>35</v>
      </c>
      <c r="Z1676" s="19">
        <v>0</v>
      </c>
      <c r="AA1676" s="15">
        <v>0</v>
      </c>
      <c r="AB1676" s="15" t="s">
        <v>35</v>
      </c>
    </row>
    <row r="1677">
      <c r="A1677" s="15">
        <v>1673</v>
      </c>
      <c r="B1677" s="15" t="s">
        <v>103</v>
      </c>
      <c r="C1677" s="15" t="s">
        <v>104</v>
      </c>
      <c r="D1677" s="15" t="s">
        <v>35</v>
      </c>
      <c r="E1677" s="15" t="s">
        <v>35</v>
      </c>
      <c r="F1677" s="15" t="s">
        <v>35</v>
      </c>
      <c r="G1677" s="15" t="s">
        <v>35</v>
      </c>
      <c r="H1677" s="15" t="s">
        <v>9812</v>
      </c>
      <c r="I1677" s="15" t="s">
        <v>9813</v>
      </c>
      <c r="J1677" s="15" t="s">
        <v>9814</v>
      </c>
      <c r="K1677" s="15" t="s">
        <v>40</v>
      </c>
      <c r="L1677" s="15" t="s">
        <v>41</v>
      </c>
      <c r="M1677" s="15" t="s">
        <v>108</v>
      </c>
      <c r="N1677" s="15" t="s">
        <v>109</v>
      </c>
      <c r="O1677" s="15" t="s">
        <v>44</v>
      </c>
      <c r="P1677" s="15" t="s">
        <v>5908</v>
      </c>
      <c r="Q1677" s="15" t="s">
        <v>5909</v>
      </c>
      <c r="R1677" s="16">
        <v>44329</v>
      </c>
      <c r="S1677" s="17" t="s">
        <v>317</v>
      </c>
      <c r="T1677" s="20">
        <f>HYPERLINK("https://vnm.spiral.com.vn//uploaded/20210513/43530f9a-8e17-4a8d-a926-4345f22f3148.JPEG","08:02:56")</f>
      </c>
      <c r="U1677" s="20">
        <f>HYPERLINK("https://vnm.spiral.com.vn//uploaded/20210513/b1f19239-6d07-4184-887e-ace264569a0f.JPEG","12:11:04")</f>
      </c>
      <c r="V1677" s="18">
        <v>0.1723148148148148</v>
      </c>
      <c r="W1677" s="15" t="s">
        <v>9815</v>
      </c>
      <c r="X1677" s="15" t="s">
        <v>9816</v>
      </c>
      <c r="Y1677" s="15" t="s">
        <v>35</v>
      </c>
      <c r="Z1677" s="19">
        <v>0</v>
      </c>
      <c r="AA1677" s="15">
        <v>0</v>
      </c>
      <c r="AB1677" s="15" t="s">
        <v>35</v>
      </c>
    </row>
    <row r="1678">
      <c r="A1678" s="15">
        <v>1674</v>
      </c>
      <c r="B1678" s="15" t="s">
        <v>49</v>
      </c>
      <c r="C1678" s="15" t="s">
        <v>756</v>
      </c>
      <c r="D1678" s="15" t="s">
        <v>35</v>
      </c>
      <c r="E1678" s="15" t="s">
        <v>35</v>
      </c>
      <c r="F1678" s="15" t="s">
        <v>6964</v>
      </c>
      <c r="G1678" s="15" t="s">
        <v>36</v>
      </c>
      <c r="H1678" s="15" t="s">
        <v>7113</v>
      </c>
      <c r="I1678" s="15" t="s">
        <v>7114</v>
      </c>
      <c r="J1678" s="15" t="s">
        <v>7115</v>
      </c>
      <c r="K1678" s="15" t="s">
        <v>40</v>
      </c>
      <c r="L1678" s="15" t="s">
        <v>41</v>
      </c>
      <c r="M1678" s="15" t="s">
        <v>55</v>
      </c>
      <c r="N1678" s="15" t="s">
        <v>56</v>
      </c>
      <c r="O1678" s="15" t="s">
        <v>44</v>
      </c>
      <c r="P1678" s="15" t="s">
        <v>7116</v>
      </c>
      <c r="Q1678" s="15" t="s">
        <v>7117</v>
      </c>
      <c r="R1678" s="16">
        <v>44329</v>
      </c>
      <c r="S1678" s="17" t="s">
        <v>317</v>
      </c>
      <c r="T1678" s="20">
        <f>HYPERLINK("https://vnm.spiral.com.vn//uploaded/20210513/6d70ef2b-84a7-458c-9562-a29dd840181c.JPEG","08:06:39")</f>
      </c>
      <c r="U1678" s="20">
        <f>HYPERLINK("https://vnm.spiral.com.vn//uploaded/20210513/db088686-cadc-44ca-a65d-1731371cd328.JPEG","12:11:03")</f>
      </c>
      <c r="V1678" s="18">
        <v>0.16972222222222222</v>
      </c>
      <c r="W1678" s="15" t="s">
        <v>9817</v>
      </c>
      <c r="X1678" s="15" t="s">
        <v>9818</v>
      </c>
      <c r="Y1678" s="15" t="s">
        <v>35</v>
      </c>
      <c r="Z1678" s="19">
        <v>0</v>
      </c>
      <c r="AA1678" s="15">
        <v>0</v>
      </c>
      <c r="AB1678" s="15" t="s">
        <v>35</v>
      </c>
    </row>
    <row r="1679">
      <c r="A1679" s="15">
        <v>1675</v>
      </c>
      <c r="B1679" s="15" t="s">
        <v>246</v>
      </c>
      <c r="C1679" s="15" t="s">
        <v>259</v>
      </c>
      <c r="D1679" s="15" t="s">
        <v>35</v>
      </c>
      <c r="E1679" s="15" t="s">
        <v>35</v>
      </c>
      <c r="F1679" s="15" t="s">
        <v>1352</v>
      </c>
      <c r="G1679" s="15" t="s">
        <v>36</v>
      </c>
      <c r="H1679" s="15" t="s">
        <v>4865</v>
      </c>
      <c r="I1679" s="15" t="s">
        <v>4866</v>
      </c>
      <c r="J1679" s="15" t="s">
        <v>4867</v>
      </c>
      <c r="K1679" s="15" t="s">
        <v>40</v>
      </c>
      <c r="L1679" s="15" t="s">
        <v>41</v>
      </c>
      <c r="M1679" s="15" t="s">
        <v>252</v>
      </c>
      <c r="N1679" s="15" t="s">
        <v>253</v>
      </c>
      <c r="O1679" s="15" t="s">
        <v>44</v>
      </c>
      <c r="P1679" s="15" t="s">
        <v>4868</v>
      </c>
      <c r="Q1679" s="15" t="s">
        <v>4869</v>
      </c>
      <c r="R1679" s="16">
        <v>44329</v>
      </c>
      <c r="S1679" s="17" t="s">
        <v>317</v>
      </c>
      <c r="T1679" s="20">
        <f>HYPERLINK("https://vnm.spiral.com.vn//uploaded/20210513/9E78F657-23B3-4123-A3C6-B198777D6707.jpg","08:01:12")</f>
      </c>
      <c r="U1679" s="20">
        <f>HYPERLINK("https://vnm.spiral.com.vn//uploaded/20210513/8DAE1A7C-F3A0-46EC-9611-4D480995E3CC.jpg","12:10:59")</f>
      </c>
      <c r="V1679" s="18">
        <v>0.17346064814814816</v>
      </c>
      <c r="W1679" s="15" t="s">
        <v>9819</v>
      </c>
      <c r="X1679" s="15" t="s">
        <v>9820</v>
      </c>
      <c r="Y1679" s="15" t="s">
        <v>35</v>
      </c>
      <c r="Z1679" s="19">
        <v>0</v>
      </c>
      <c r="AA1679" s="15">
        <v>0</v>
      </c>
      <c r="AB1679" s="15" t="s">
        <v>35</v>
      </c>
    </row>
    <row r="1680">
      <c r="A1680" s="15">
        <v>1676</v>
      </c>
      <c r="B1680" s="15" t="s">
        <v>103</v>
      </c>
      <c r="C1680" s="15" t="s">
        <v>186</v>
      </c>
      <c r="D1680" s="15" t="s">
        <v>35</v>
      </c>
      <c r="E1680" s="15" t="s">
        <v>35</v>
      </c>
      <c r="F1680" s="15" t="s">
        <v>35</v>
      </c>
      <c r="G1680" s="15" t="s">
        <v>36</v>
      </c>
      <c r="H1680" s="15" t="s">
        <v>4907</v>
      </c>
      <c r="I1680" s="15" t="s">
        <v>4908</v>
      </c>
      <c r="J1680" s="15" t="s">
        <v>4909</v>
      </c>
      <c r="K1680" s="15" t="s">
        <v>40</v>
      </c>
      <c r="L1680" s="15" t="s">
        <v>41</v>
      </c>
      <c r="M1680" s="15" t="s">
        <v>565</v>
      </c>
      <c r="N1680" s="15" t="s">
        <v>566</v>
      </c>
      <c r="O1680" s="15" t="s">
        <v>44</v>
      </c>
      <c r="P1680" s="15" t="s">
        <v>4910</v>
      </c>
      <c r="Q1680" s="15" t="s">
        <v>4911</v>
      </c>
      <c r="R1680" s="16">
        <v>44329</v>
      </c>
      <c r="S1680" s="17" t="s">
        <v>317</v>
      </c>
      <c r="T1680" s="20">
        <f>HYPERLINK("https://vnm.spiral.com.vn//uploaded/20210513/e83e1751-e3ed-40e1-b65c-f82a7cd0f1b2.JPEG","07:53:26")</f>
      </c>
      <c r="U1680" s="20">
        <f>HYPERLINK("https://vnm.spiral.com.vn//uploaded/20210513/b9e9f510-43ae-45ce-b9f6-0ffd49e2722c.JPEG","12:10:29")</f>
      </c>
      <c r="V1680" s="18">
        <v>0.17850694444444445</v>
      </c>
      <c r="W1680" s="15" t="s">
        <v>9821</v>
      </c>
      <c r="X1680" s="15" t="s">
        <v>9822</v>
      </c>
      <c r="Y1680" s="15" t="s">
        <v>35</v>
      </c>
      <c r="Z1680" s="19">
        <v>0</v>
      </c>
      <c r="AA1680" s="15">
        <v>0</v>
      </c>
      <c r="AB1680" s="15" t="s">
        <v>35</v>
      </c>
    </row>
    <row r="1681">
      <c r="A1681" s="15">
        <v>1677</v>
      </c>
      <c r="B1681" s="15" t="s">
        <v>87</v>
      </c>
      <c r="C1681" s="15" t="s">
        <v>88</v>
      </c>
      <c r="D1681" s="15" t="s">
        <v>379</v>
      </c>
      <c r="E1681" s="15" t="s">
        <v>35</v>
      </c>
      <c r="F1681" s="15" t="s">
        <v>35</v>
      </c>
      <c r="G1681" s="15" t="s">
        <v>35</v>
      </c>
      <c r="H1681" s="15" t="s">
        <v>3902</v>
      </c>
      <c r="I1681" s="15" t="s">
        <v>3903</v>
      </c>
      <c r="J1681" s="15" t="s">
        <v>3904</v>
      </c>
      <c r="K1681" s="15" t="s">
        <v>748</v>
      </c>
      <c r="L1681" s="15" t="s">
        <v>749</v>
      </c>
      <c r="M1681" s="15" t="s">
        <v>1617</v>
      </c>
      <c r="N1681" s="15" t="s">
        <v>1618</v>
      </c>
      <c r="O1681" s="15" t="s">
        <v>156</v>
      </c>
      <c r="P1681" s="15" t="s">
        <v>9823</v>
      </c>
      <c r="Q1681" s="15" t="s">
        <v>9824</v>
      </c>
      <c r="R1681" s="16">
        <v>44329</v>
      </c>
      <c r="S1681" s="17" t="s">
        <v>7638</v>
      </c>
      <c r="T1681" s="20">
        <f>HYPERLINK("https://vnm.spiral.com.vn//uploaded/20210513/dec12032-9648-4d9b-9d26-573c3d5a6e64.JPEG","12:10:08")</f>
      </c>
      <c r="U1681" s="18"/>
      <c r="V1681" s="18" t="s">
        <v>35</v>
      </c>
      <c r="W1681" s="15" t="s">
        <v>9825</v>
      </c>
      <c r="X1681" s="15" t="s">
        <v>35</v>
      </c>
      <c r="Y1681" s="15" t="s">
        <v>35</v>
      </c>
      <c r="Z1681" s="19">
        <v>0</v>
      </c>
      <c r="AA1681" s="15">
        <v>0</v>
      </c>
      <c r="AB1681" s="15" t="s">
        <v>35</v>
      </c>
    </row>
    <row r="1682">
      <c r="A1682" s="15">
        <v>1678</v>
      </c>
      <c r="B1682" s="15" t="s">
        <v>87</v>
      </c>
      <c r="C1682" s="15" t="s">
        <v>88</v>
      </c>
      <c r="D1682" s="15" t="s">
        <v>35</v>
      </c>
      <c r="E1682" s="15" t="s">
        <v>35</v>
      </c>
      <c r="F1682" s="15" t="s">
        <v>1091</v>
      </c>
      <c r="G1682" s="15" t="s">
        <v>36</v>
      </c>
      <c r="H1682" s="15" t="s">
        <v>7107</v>
      </c>
      <c r="I1682" s="15" t="s">
        <v>7108</v>
      </c>
      <c r="J1682" s="15" t="s">
        <v>7109</v>
      </c>
      <c r="K1682" s="15" t="s">
        <v>40</v>
      </c>
      <c r="L1682" s="15" t="s">
        <v>41</v>
      </c>
      <c r="M1682" s="15" t="s">
        <v>810</v>
      </c>
      <c r="N1682" s="15" t="s">
        <v>811</v>
      </c>
      <c r="O1682" s="15" t="s">
        <v>44</v>
      </c>
      <c r="P1682" s="15" t="s">
        <v>7110</v>
      </c>
      <c r="Q1682" s="15" t="s">
        <v>7111</v>
      </c>
      <c r="R1682" s="16">
        <v>44329</v>
      </c>
      <c r="S1682" s="17" t="s">
        <v>317</v>
      </c>
      <c r="T1682" s="20">
        <f>HYPERLINK("https://vnm.spiral.com.vn//uploaded/20210513/DFF33F44-FDAB-434C-B9DD-5E677D8393D0.jpg","08:08:28")</f>
      </c>
      <c r="U1682" s="20">
        <f>HYPERLINK("https://vnm.spiral.com.vn//uploaded/20210513/87416C50-F9DA-4F13-A3D5-942C1242643C.jpg","12:10:03")</f>
      </c>
      <c r="V1682" s="18">
        <v>0.1677662037037037</v>
      </c>
      <c r="W1682" s="15" t="s">
        <v>9826</v>
      </c>
      <c r="X1682" s="15" t="s">
        <v>9827</v>
      </c>
      <c r="Y1682" s="15" t="s">
        <v>35</v>
      </c>
      <c r="Z1682" s="19">
        <v>0</v>
      </c>
      <c r="AA1682" s="15">
        <v>0</v>
      </c>
      <c r="AB1682" s="15" t="s">
        <v>35</v>
      </c>
    </row>
    <row r="1683">
      <c r="A1683" s="15">
        <v>1679</v>
      </c>
      <c r="B1683" s="15" t="s">
        <v>343</v>
      </c>
      <c r="C1683" s="15" t="s">
        <v>721</v>
      </c>
      <c r="D1683" s="15" t="s">
        <v>35</v>
      </c>
      <c r="E1683" s="15" t="s">
        <v>35</v>
      </c>
      <c r="F1683" s="15" t="s">
        <v>35</v>
      </c>
      <c r="G1683" s="15" t="s">
        <v>36</v>
      </c>
      <c r="H1683" s="15" t="s">
        <v>6705</v>
      </c>
      <c r="I1683" s="15" t="s">
        <v>6706</v>
      </c>
      <c r="J1683" s="15" t="s">
        <v>6707</v>
      </c>
      <c r="K1683" s="15" t="s">
        <v>40</v>
      </c>
      <c r="L1683" s="15" t="s">
        <v>41</v>
      </c>
      <c r="M1683" s="15" t="s">
        <v>595</v>
      </c>
      <c r="N1683" s="15" t="s">
        <v>596</v>
      </c>
      <c r="O1683" s="15" t="s">
        <v>44</v>
      </c>
      <c r="P1683" s="15" t="s">
        <v>6708</v>
      </c>
      <c r="Q1683" s="15" t="s">
        <v>6709</v>
      </c>
      <c r="R1683" s="16">
        <v>44329</v>
      </c>
      <c r="S1683" s="17" t="s">
        <v>7866</v>
      </c>
      <c r="T1683" s="20">
        <f>HYPERLINK("https://vnm.spiral.com.vn//uploaded/20210513/A29D5304-797F-44BB-BD1A-4B2FAC8FA519.jpg","07:33:05")</f>
      </c>
      <c r="U1683" s="20">
        <f>HYPERLINK("https://vnm.spiral.com.vn//uploaded/20210513/5EB96A17-3839-4A75-A12C-9625ACAC32C3.jpg","12:09:47")</f>
      </c>
      <c r="V1683" s="18">
        <v>0.19215277777777778</v>
      </c>
      <c r="W1683" s="15" t="s">
        <v>9828</v>
      </c>
      <c r="X1683" s="15" t="s">
        <v>9829</v>
      </c>
      <c r="Y1683" s="15" t="s">
        <v>35</v>
      </c>
      <c r="Z1683" s="19">
        <v>0</v>
      </c>
      <c r="AA1683" s="15">
        <v>0</v>
      </c>
      <c r="AB1683" s="15" t="s">
        <v>35</v>
      </c>
    </row>
    <row r="1684">
      <c r="A1684" s="15">
        <v>1680</v>
      </c>
      <c r="B1684" s="15" t="s">
        <v>343</v>
      </c>
      <c r="C1684" s="15" t="s">
        <v>344</v>
      </c>
      <c r="D1684" s="15" t="s">
        <v>35</v>
      </c>
      <c r="E1684" s="15" t="s">
        <v>35</v>
      </c>
      <c r="F1684" s="15" t="s">
        <v>35</v>
      </c>
      <c r="G1684" s="15" t="s">
        <v>36</v>
      </c>
      <c r="H1684" s="15" t="s">
        <v>7448</v>
      </c>
      <c r="I1684" s="15" t="s">
        <v>250</v>
      </c>
      <c r="J1684" s="15" t="s">
        <v>7449</v>
      </c>
      <c r="K1684" s="15" t="s">
        <v>40</v>
      </c>
      <c r="L1684" s="15" t="s">
        <v>41</v>
      </c>
      <c r="M1684" s="15" t="s">
        <v>595</v>
      </c>
      <c r="N1684" s="15" t="s">
        <v>596</v>
      </c>
      <c r="O1684" s="15" t="s">
        <v>44</v>
      </c>
      <c r="P1684" s="15" t="s">
        <v>7450</v>
      </c>
      <c r="Q1684" s="15" t="s">
        <v>7451</v>
      </c>
      <c r="R1684" s="16">
        <v>44329</v>
      </c>
      <c r="S1684" s="17" t="s">
        <v>317</v>
      </c>
      <c r="T1684" s="20">
        <f>HYPERLINK("https://vnm.spiral.com.vn//uploaded/20210513/72dd58e9-74a1-4bc7-9c30-68bd8cd82437.JPEG","08:07:12")</f>
      </c>
      <c r="U1684" s="20">
        <f>HYPERLINK("https://vnm.spiral.com.vn//uploaded/20210513/45ff4f7c-fe20-4a03-95bc-67fe7b3a66c4.JPEG","12:09:42")</f>
      </c>
      <c r="V1684" s="18">
        <v>0.1684027777777778</v>
      </c>
      <c r="W1684" s="15" t="s">
        <v>9830</v>
      </c>
      <c r="X1684" s="15" t="s">
        <v>9831</v>
      </c>
      <c r="Y1684" s="15" t="s">
        <v>35</v>
      </c>
      <c r="Z1684" s="19">
        <v>0</v>
      </c>
      <c r="AA1684" s="15">
        <v>0</v>
      </c>
      <c r="AB1684" s="15" t="s">
        <v>35</v>
      </c>
    </row>
    <row r="1685">
      <c r="A1685" s="15">
        <v>1681</v>
      </c>
      <c r="B1685" s="15" t="s">
        <v>49</v>
      </c>
      <c r="C1685" s="15" t="s">
        <v>162</v>
      </c>
      <c r="D1685" s="15" t="s">
        <v>35</v>
      </c>
      <c r="E1685" s="15" t="s">
        <v>35</v>
      </c>
      <c r="F1685" s="15" t="s">
        <v>35</v>
      </c>
      <c r="G1685" s="15" t="s">
        <v>35</v>
      </c>
      <c r="H1685" s="15" t="s">
        <v>5094</v>
      </c>
      <c r="I1685" s="15" t="s">
        <v>5095</v>
      </c>
      <c r="J1685" s="15" t="s">
        <v>5096</v>
      </c>
      <c r="K1685" s="15" t="s">
        <v>40</v>
      </c>
      <c r="L1685" s="15" t="s">
        <v>41</v>
      </c>
      <c r="M1685" s="15" t="s">
        <v>55</v>
      </c>
      <c r="N1685" s="15" t="s">
        <v>56</v>
      </c>
      <c r="O1685" s="15" t="s">
        <v>44</v>
      </c>
      <c r="P1685" s="15" t="s">
        <v>5097</v>
      </c>
      <c r="Q1685" s="15" t="s">
        <v>5098</v>
      </c>
      <c r="R1685" s="16">
        <v>44329</v>
      </c>
      <c r="S1685" s="17" t="s">
        <v>317</v>
      </c>
      <c r="T1685" s="20">
        <f>HYPERLINK("https://vnm.spiral.com.vn//uploaded/20210513/DD695E11-6621-4B1E-8427-AE0C28230B13.jpg","07:59:44")</f>
      </c>
      <c r="U1685" s="20">
        <f>HYPERLINK("https://vnm.spiral.com.vn//uploaded/20210513/B188AD31-24EA-44BA-AED1-BCEFE7E36DF5.jpg","12:09:38")</f>
      </c>
      <c r="V1685" s="18">
        <v>0.17354166666666668</v>
      </c>
      <c r="W1685" s="15" t="s">
        <v>9832</v>
      </c>
      <c r="X1685" s="15" t="s">
        <v>9833</v>
      </c>
      <c r="Y1685" s="15" t="s">
        <v>35</v>
      </c>
      <c r="Z1685" s="19">
        <v>0</v>
      </c>
      <c r="AA1685" s="15">
        <v>0</v>
      </c>
      <c r="AB1685" s="15" t="s">
        <v>35</v>
      </c>
    </row>
    <row r="1686">
      <c r="A1686" s="15">
        <v>1682</v>
      </c>
      <c r="B1686" s="15" t="s">
        <v>87</v>
      </c>
      <c r="C1686" s="15" t="s">
        <v>88</v>
      </c>
      <c r="D1686" s="15" t="s">
        <v>35</v>
      </c>
      <c r="E1686" s="15" t="s">
        <v>35</v>
      </c>
      <c r="F1686" s="15" t="s">
        <v>4780</v>
      </c>
      <c r="G1686" s="15" t="s">
        <v>36</v>
      </c>
      <c r="H1686" s="15" t="s">
        <v>4781</v>
      </c>
      <c r="I1686" s="15" t="s">
        <v>4782</v>
      </c>
      <c r="J1686" s="15" t="s">
        <v>4783</v>
      </c>
      <c r="K1686" s="15" t="s">
        <v>40</v>
      </c>
      <c r="L1686" s="15" t="s">
        <v>41</v>
      </c>
      <c r="M1686" s="15" t="s">
        <v>810</v>
      </c>
      <c r="N1686" s="15" t="s">
        <v>811</v>
      </c>
      <c r="O1686" s="15" t="s">
        <v>44</v>
      </c>
      <c r="P1686" s="15" t="s">
        <v>4784</v>
      </c>
      <c r="Q1686" s="15" t="s">
        <v>4785</v>
      </c>
      <c r="R1686" s="16">
        <v>44329</v>
      </c>
      <c r="S1686" s="17" t="s">
        <v>317</v>
      </c>
      <c r="T1686" s="20">
        <f>HYPERLINK("https://vnm.spiral.com.vn//uploaded/20210513/dd2f0d43-7eec-4572-8c73-0aae007261e3.JPEG","08:05:05")</f>
      </c>
      <c r="U1686" s="20">
        <f>HYPERLINK("https://vnm.spiral.com.vn//uploaded/20210513/8b8d6830-cca9-4f2a-88ea-c04d8278733d.JPEG","12:09:36")</f>
      </c>
      <c r="V1686" s="18">
        <v>0.16980324074074074</v>
      </c>
      <c r="W1686" s="15" t="s">
        <v>9834</v>
      </c>
      <c r="X1686" s="15" t="s">
        <v>9835</v>
      </c>
      <c r="Y1686" s="15" t="s">
        <v>35</v>
      </c>
      <c r="Z1686" s="19">
        <v>0</v>
      </c>
      <c r="AA1686" s="15">
        <v>0</v>
      </c>
      <c r="AB1686" s="15" t="s">
        <v>35</v>
      </c>
    </row>
    <row r="1687">
      <c r="A1687" s="15">
        <v>1683</v>
      </c>
      <c r="B1687" s="15" t="s">
        <v>61</v>
      </c>
      <c r="C1687" s="15" t="s">
        <v>62</v>
      </c>
      <c r="D1687" s="15" t="s">
        <v>35</v>
      </c>
      <c r="E1687" s="15" t="s">
        <v>35</v>
      </c>
      <c r="F1687" s="15" t="s">
        <v>35</v>
      </c>
      <c r="G1687" s="15" t="s">
        <v>36</v>
      </c>
      <c r="H1687" s="15" t="s">
        <v>9836</v>
      </c>
      <c r="I1687" s="15" t="s">
        <v>9837</v>
      </c>
      <c r="J1687" s="15" t="s">
        <v>9838</v>
      </c>
      <c r="K1687" s="15" t="s">
        <v>40</v>
      </c>
      <c r="L1687" s="15" t="s">
        <v>41</v>
      </c>
      <c r="M1687" s="15" t="s">
        <v>66</v>
      </c>
      <c r="N1687" s="15" t="s">
        <v>67</v>
      </c>
      <c r="O1687" s="15" t="s">
        <v>44</v>
      </c>
      <c r="P1687" s="15" t="s">
        <v>9839</v>
      </c>
      <c r="Q1687" s="15" t="s">
        <v>9840</v>
      </c>
      <c r="R1687" s="16">
        <v>44329</v>
      </c>
      <c r="S1687" s="17" t="s">
        <v>9803</v>
      </c>
      <c r="T1687" s="20">
        <f>HYPERLINK("https://vnm.spiral.com.vn//uploaded/20210513/7e2d2b6d-5f7e-4695-8682-b51a3abb19e5.JPEG","12:09:30")</f>
      </c>
      <c r="U1687" s="18"/>
      <c r="V1687" s="18" t="s">
        <v>35</v>
      </c>
      <c r="W1687" s="15" t="s">
        <v>9841</v>
      </c>
      <c r="X1687" s="15" t="s">
        <v>35</v>
      </c>
      <c r="Y1687" s="15" t="s">
        <v>35</v>
      </c>
      <c r="Z1687" s="19">
        <v>0</v>
      </c>
      <c r="AA1687" s="15">
        <v>0</v>
      </c>
      <c r="AB1687" s="15" t="s">
        <v>35</v>
      </c>
    </row>
    <row r="1688">
      <c r="A1688" s="15">
        <v>1684</v>
      </c>
      <c r="B1688" s="15" t="s">
        <v>87</v>
      </c>
      <c r="C1688" s="15" t="s">
        <v>88</v>
      </c>
      <c r="D1688" s="15" t="s">
        <v>135</v>
      </c>
      <c r="E1688" s="15" t="s">
        <v>116</v>
      </c>
      <c r="F1688" s="15" t="s">
        <v>35</v>
      </c>
      <c r="G1688" s="15" t="s">
        <v>74</v>
      </c>
      <c r="H1688" s="15" t="s">
        <v>9842</v>
      </c>
      <c r="I1688" s="15" t="s">
        <v>9843</v>
      </c>
      <c r="J1688" s="15" t="s">
        <v>9844</v>
      </c>
      <c r="K1688" s="15" t="s">
        <v>139</v>
      </c>
      <c r="L1688" s="15" t="s">
        <v>140</v>
      </c>
      <c r="M1688" s="15" t="s">
        <v>141</v>
      </c>
      <c r="N1688" s="15" t="s">
        <v>142</v>
      </c>
      <c r="O1688" s="15" t="s">
        <v>82</v>
      </c>
      <c r="P1688" s="15" t="s">
        <v>2298</v>
      </c>
      <c r="Q1688" s="15" t="s">
        <v>2299</v>
      </c>
      <c r="R1688" s="16">
        <v>44329</v>
      </c>
      <c r="S1688" s="17" t="s">
        <v>70</v>
      </c>
      <c r="T1688" s="20">
        <f>HYPERLINK("https://vnm.spiral.com.vn//uploaded/20210513/354e2722-85b6-4af8-b989-96e7145586c4.JPEG","11:28:27")</f>
      </c>
      <c r="U1688" s="20">
        <f>HYPERLINK("https://vnm.spiral.com.vn//uploaded/20210513/20dc7eac-01ee-498e-a61d-fc7693d446ba.JPEG","12:09:25")</f>
      </c>
      <c r="V1688" s="18">
        <v>0.028449074074074075</v>
      </c>
      <c r="W1688" s="15" t="s">
        <v>9845</v>
      </c>
      <c r="X1688" s="15" t="s">
        <v>9846</v>
      </c>
      <c r="Y1688" s="15" t="s">
        <v>35</v>
      </c>
      <c r="Z1688" s="19">
        <v>0</v>
      </c>
      <c r="AA1688" s="15">
        <v>0</v>
      </c>
      <c r="AB1688" s="15" t="s">
        <v>35</v>
      </c>
    </row>
    <row r="1689">
      <c r="A1689" s="15">
        <v>1685</v>
      </c>
      <c r="B1689" s="15" t="s">
        <v>343</v>
      </c>
      <c r="C1689" s="15" t="s">
        <v>344</v>
      </c>
      <c r="D1689" s="15" t="s">
        <v>1644</v>
      </c>
      <c r="E1689" s="15" t="s">
        <v>35</v>
      </c>
      <c r="F1689" s="15" t="s">
        <v>35</v>
      </c>
      <c r="G1689" s="15" t="s">
        <v>74</v>
      </c>
      <c r="H1689" s="15" t="s">
        <v>9847</v>
      </c>
      <c r="I1689" s="15" t="s">
        <v>9848</v>
      </c>
      <c r="J1689" s="15" t="s">
        <v>9849</v>
      </c>
      <c r="K1689" s="15" t="s">
        <v>584</v>
      </c>
      <c r="L1689" s="15" t="s">
        <v>585</v>
      </c>
      <c r="M1689" s="15" t="s">
        <v>827</v>
      </c>
      <c r="N1689" s="15" t="s">
        <v>828</v>
      </c>
      <c r="O1689" s="15" t="s">
        <v>82</v>
      </c>
      <c r="P1689" s="15" t="s">
        <v>7778</v>
      </c>
      <c r="Q1689" s="15" t="s">
        <v>7779</v>
      </c>
      <c r="R1689" s="16">
        <v>44329</v>
      </c>
      <c r="S1689" s="17" t="s">
        <v>70</v>
      </c>
      <c r="T1689" s="20">
        <f>HYPERLINK("https://vnm.spiral.com.vn//uploaded/20210513/64e356da-d2b4-4aac-a597-e430a7620e00.JPEG","11:51:50")</f>
      </c>
      <c r="U1689" s="20">
        <f>HYPERLINK("https://vnm.spiral.com.vn//uploaded/20210513/8fdc81a4-4590-4c40-b7d5-cb995b0f34eb.JPEG","12:09:05")</f>
      </c>
      <c r="V1689" s="18">
        <v>0.011979166666666667</v>
      </c>
      <c r="W1689" s="15" t="s">
        <v>9850</v>
      </c>
      <c r="X1689" s="15" t="s">
        <v>9851</v>
      </c>
      <c r="Y1689" s="15" t="s">
        <v>35</v>
      </c>
      <c r="Z1689" s="19">
        <v>0</v>
      </c>
      <c r="AA1689" s="15">
        <v>0</v>
      </c>
      <c r="AB1689" s="15" t="s">
        <v>35</v>
      </c>
    </row>
    <row r="1690">
      <c r="A1690" s="15">
        <v>1686</v>
      </c>
      <c r="B1690" s="15" t="s">
        <v>61</v>
      </c>
      <c r="C1690" s="15" t="s">
        <v>320</v>
      </c>
      <c r="D1690" s="15" t="s">
        <v>35</v>
      </c>
      <c r="E1690" s="15" t="s">
        <v>35</v>
      </c>
      <c r="F1690" s="15" t="s">
        <v>35</v>
      </c>
      <c r="G1690" s="15" t="s">
        <v>36</v>
      </c>
      <c r="H1690" s="15" t="s">
        <v>3208</v>
      </c>
      <c r="I1690" s="15" t="s">
        <v>3209</v>
      </c>
      <c r="J1690" s="15" t="s">
        <v>3210</v>
      </c>
      <c r="K1690" s="15" t="s">
        <v>40</v>
      </c>
      <c r="L1690" s="15" t="s">
        <v>41</v>
      </c>
      <c r="M1690" s="15" t="s">
        <v>205</v>
      </c>
      <c r="N1690" s="15" t="s">
        <v>206</v>
      </c>
      <c r="O1690" s="15" t="s">
        <v>44</v>
      </c>
      <c r="P1690" s="15" t="s">
        <v>3211</v>
      </c>
      <c r="Q1690" s="15" t="s">
        <v>3212</v>
      </c>
      <c r="R1690" s="16">
        <v>44329</v>
      </c>
      <c r="S1690" s="17" t="s">
        <v>317</v>
      </c>
      <c r="T1690" s="20">
        <f>HYPERLINK("https://vnm.spiral.com.vn//uploaded/20210513/844793f0-9f2b-4fa4-ab83-dd0429420ee3.JPEG","09:00:45")</f>
      </c>
      <c r="U1690" s="20">
        <f>HYPERLINK("https://vnm.spiral.com.vn//uploaded/20210513/119db4f2-6b7a-402d-8ab7-41e3ed87fd83.JPEG","12:08:52")</f>
      </c>
      <c r="V1690" s="18">
        <v>0.13063657407407409</v>
      </c>
      <c r="W1690" s="15" t="s">
        <v>9852</v>
      </c>
      <c r="X1690" s="15" t="s">
        <v>9853</v>
      </c>
      <c r="Y1690" s="15" t="s">
        <v>35</v>
      </c>
      <c r="Z1690" s="19">
        <v>0</v>
      </c>
      <c r="AA1690" s="15">
        <v>0</v>
      </c>
      <c r="AB1690" s="15" t="s">
        <v>35</v>
      </c>
    </row>
    <row r="1691">
      <c r="A1691" s="15">
        <v>1687</v>
      </c>
      <c r="B1691" s="15" t="s">
        <v>343</v>
      </c>
      <c r="C1691" s="15" t="s">
        <v>344</v>
      </c>
      <c r="D1691" s="15" t="s">
        <v>35</v>
      </c>
      <c r="E1691" s="15" t="s">
        <v>35</v>
      </c>
      <c r="F1691" s="15" t="s">
        <v>35</v>
      </c>
      <c r="G1691" s="15" t="s">
        <v>36</v>
      </c>
      <c r="H1691" s="15" t="s">
        <v>7041</v>
      </c>
      <c r="I1691" s="15" t="s">
        <v>7042</v>
      </c>
      <c r="J1691" s="15" t="s">
        <v>7043</v>
      </c>
      <c r="K1691" s="15" t="s">
        <v>40</v>
      </c>
      <c r="L1691" s="15" t="s">
        <v>41</v>
      </c>
      <c r="M1691" s="15" t="s">
        <v>595</v>
      </c>
      <c r="N1691" s="15" t="s">
        <v>596</v>
      </c>
      <c r="O1691" s="15" t="s">
        <v>44</v>
      </c>
      <c r="P1691" s="15" t="s">
        <v>7044</v>
      </c>
      <c r="Q1691" s="15" t="s">
        <v>7045</v>
      </c>
      <c r="R1691" s="16">
        <v>44329</v>
      </c>
      <c r="S1691" s="17" t="s">
        <v>317</v>
      </c>
      <c r="T1691" s="20">
        <f>HYPERLINK("https://vnm.spiral.com.vn//uploaded/20210513/EA3F4033-AC57-484F-93D0-8A03295A4CB9.jpg","07:40:09")</f>
      </c>
      <c r="U1691" s="20">
        <f>HYPERLINK("https://vnm.spiral.com.vn//uploaded/20210513/35FA731F-B14D-4796-927C-75AAD1A0244A.jpg","12:08:49")</f>
      </c>
      <c r="V1691" s="18">
        <v>0.1865740740740741</v>
      </c>
      <c r="W1691" s="15" t="s">
        <v>9854</v>
      </c>
      <c r="X1691" s="15" t="s">
        <v>9855</v>
      </c>
      <c r="Y1691" s="15" t="s">
        <v>35</v>
      </c>
      <c r="Z1691" s="19">
        <v>0</v>
      </c>
      <c r="AA1691" s="15">
        <v>0</v>
      </c>
      <c r="AB1691" s="15" t="s">
        <v>35</v>
      </c>
    </row>
    <row r="1692">
      <c r="A1692" s="15">
        <v>1688</v>
      </c>
      <c r="B1692" s="15" t="s">
        <v>61</v>
      </c>
      <c r="C1692" s="15" t="s">
        <v>320</v>
      </c>
      <c r="D1692" s="15" t="s">
        <v>35</v>
      </c>
      <c r="E1692" s="15" t="s">
        <v>35</v>
      </c>
      <c r="F1692" s="15" t="s">
        <v>35</v>
      </c>
      <c r="G1692" s="15" t="s">
        <v>36</v>
      </c>
      <c r="H1692" s="15" t="s">
        <v>6584</v>
      </c>
      <c r="I1692" s="15" t="s">
        <v>6585</v>
      </c>
      <c r="J1692" s="15" t="s">
        <v>6586</v>
      </c>
      <c r="K1692" s="15" t="s">
        <v>40</v>
      </c>
      <c r="L1692" s="15" t="s">
        <v>41</v>
      </c>
      <c r="M1692" s="15" t="s">
        <v>205</v>
      </c>
      <c r="N1692" s="15" t="s">
        <v>206</v>
      </c>
      <c r="O1692" s="15" t="s">
        <v>44</v>
      </c>
      <c r="P1692" s="15" t="s">
        <v>6587</v>
      </c>
      <c r="Q1692" s="15" t="s">
        <v>6588</v>
      </c>
      <c r="R1692" s="16">
        <v>44329</v>
      </c>
      <c r="S1692" s="17" t="s">
        <v>317</v>
      </c>
      <c r="T1692" s="20">
        <f>HYPERLINK("https://vnm.spiral.com.vn//uploaded/20210513/d7ad80c8-b54c-4066-a93f-8cebf5f0b7ac.JPEG","08:03:02")</f>
      </c>
      <c r="U1692" s="20">
        <f>HYPERLINK("https://vnm.spiral.com.vn//uploaded/20210513/709bc1ad-9f8b-4069-959f-983d15ef94d9.JPEG","12:08:29")</f>
      </c>
      <c r="V1692" s="18">
        <v>0.1704513888888889</v>
      </c>
      <c r="W1692" s="15" t="s">
        <v>9856</v>
      </c>
      <c r="X1692" s="15" t="s">
        <v>9857</v>
      </c>
      <c r="Y1692" s="15" t="s">
        <v>35</v>
      </c>
      <c r="Z1692" s="19">
        <v>0</v>
      </c>
      <c r="AA1692" s="15">
        <v>0</v>
      </c>
      <c r="AB1692" s="15" t="s">
        <v>35</v>
      </c>
    </row>
    <row r="1693">
      <c r="A1693" s="15">
        <v>1689</v>
      </c>
      <c r="B1693" s="15" t="s">
        <v>87</v>
      </c>
      <c r="C1693" s="15" t="s">
        <v>88</v>
      </c>
      <c r="D1693" s="15" t="s">
        <v>135</v>
      </c>
      <c r="E1693" s="15" t="s">
        <v>116</v>
      </c>
      <c r="F1693" s="15" t="s">
        <v>35</v>
      </c>
      <c r="G1693" s="15" t="s">
        <v>74</v>
      </c>
      <c r="H1693" s="15" t="s">
        <v>9858</v>
      </c>
      <c r="I1693" s="15" t="s">
        <v>9859</v>
      </c>
      <c r="J1693" s="15" t="s">
        <v>9860</v>
      </c>
      <c r="K1693" s="15" t="s">
        <v>390</v>
      </c>
      <c r="L1693" s="15" t="s">
        <v>391</v>
      </c>
      <c r="M1693" s="15" t="s">
        <v>392</v>
      </c>
      <c r="N1693" s="15" t="s">
        <v>393</v>
      </c>
      <c r="O1693" s="15" t="s">
        <v>82</v>
      </c>
      <c r="P1693" s="15" t="s">
        <v>394</v>
      </c>
      <c r="Q1693" s="15" t="s">
        <v>395</v>
      </c>
      <c r="R1693" s="16">
        <v>44329</v>
      </c>
      <c r="S1693" s="17" t="s">
        <v>70</v>
      </c>
      <c r="T1693" s="20">
        <f>HYPERLINK("https://vnm.spiral.com.vn//uploaded/20210513/52e48c3f-5b0b-434f-9e81-0de7183be9ea.JPEG","09:47:31")</f>
      </c>
      <c r="U1693" s="20">
        <f>HYPERLINK("https://vnm.spiral.com.vn//uploaded/20210513/9c2824fa-07de-4dae-8ad2-43ec94b9d5e1.JPEG","12:08:27")</f>
      </c>
      <c r="V1693" s="18">
        <v>0.09787037037037037</v>
      </c>
      <c r="W1693" s="15" t="s">
        <v>9861</v>
      </c>
      <c r="X1693" s="15" t="s">
        <v>9862</v>
      </c>
      <c r="Y1693" s="15" t="s">
        <v>35</v>
      </c>
      <c r="Z1693" s="19">
        <v>0</v>
      </c>
      <c r="AA1693" s="15">
        <v>0</v>
      </c>
      <c r="AB1693" s="15" t="s">
        <v>35</v>
      </c>
    </row>
    <row r="1694">
      <c r="A1694" s="15">
        <v>1690</v>
      </c>
      <c r="B1694" s="15" t="s">
        <v>87</v>
      </c>
      <c r="C1694" s="15" t="s">
        <v>88</v>
      </c>
      <c r="D1694" s="15" t="s">
        <v>115</v>
      </c>
      <c r="E1694" s="15" t="s">
        <v>116</v>
      </c>
      <c r="F1694" s="15" t="s">
        <v>35</v>
      </c>
      <c r="G1694" s="15" t="s">
        <v>74</v>
      </c>
      <c r="H1694" s="15" t="s">
        <v>9863</v>
      </c>
      <c r="I1694" s="15" t="s">
        <v>9864</v>
      </c>
      <c r="J1694" s="15" t="s">
        <v>9865</v>
      </c>
      <c r="K1694" s="15" t="s">
        <v>120</v>
      </c>
      <c r="L1694" s="15" t="s">
        <v>121</v>
      </c>
      <c r="M1694" s="15" t="s">
        <v>1073</v>
      </c>
      <c r="N1694" s="15" t="s">
        <v>1074</v>
      </c>
      <c r="O1694" s="15" t="s">
        <v>82</v>
      </c>
      <c r="P1694" s="15" t="s">
        <v>3951</v>
      </c>
      <c r="Q1694" s="15" t="s">
        <v>3952</v>
      </c>
      <c r="R1694" s="16">
        <v>44329</v>
      </c>
      <c r="S1694" s="17" t="s">
        <v>70</v>
      </c>
      <c r="T1694" s="20">
        <f>HYPERLINK("https://vnm.spiral.com.vn//uploaded/20210513/05e3f168-68f8-48bd-a2bf-575fc93586be.JPEG","10:52:23")</f>
      </c>
      <c r="U1694" s="20">
        <f>HYPERLINK("https://vnm.spiral.com.vn//uploaded/20210513/c081c122-56a6-4429-b9f6-de83ed8ce1f0.JPEG","12:08:26")</f>
      </c>
      <c r="V1694" s="18">
        <v>0.0528125</v>
      </c>
      <c r="W1694" s="15" t="s">
        <v>9866</v>
      </c>
      <c r="X1694" s="15" t="s">
        <v>9867</v>
      </c>
      <c r="Y1694" s="15" t="s">
        <v>35</v>
      </c>
      <c r="Z1694" s="19">
        <v>0</v>
      </c>
      <c r="AA1694" s="15">
        <v>0</v>
      </c>
      <c r="AB1694" s="15" t="s">
        <v>35</v>
      </c>
    </row>
    <row r="1695">
      <c r="A1695" s="15">
        <v>1691</v>
      </c>
      <c r="B1695" s="15" t="s">
        <v>87</v>
      </c>
      <c r="C1695" s="15" t="s">
        <v>88</v>
      </c>
      <c r="D1695" s="15" t="s">
        <v>35</v>
      </c>
      <c r="E1695" s="15" t="s">
        <v>35</v>
      </c>
      <c r="F1695" s="15" t="s">
        <v>2773</v>
      </c>
      <c r="G1695" s="15" t="s">
        <v>36</v>
      </c>
      <c r="H1695" s="15" t="s">
        <v>9868</v>
      </c>
      <c r="I1695" s="15" t="s">
        <v>9869</v>
      </c>
      <c r="J1695" s="15" t="s">
        <v>9870</v>
      </c>
      <c r="K1695" s="15" t="s">
        <v>40</v>
      </c>
      <c r="L1695" s="15" t="s">
        <v>41</v>
      </c>
      <c r="M1695" s="15" t="s">
        <v>810</v>
      </c>
      <c r="N1695" s="15" t="s">
        <v>811</v>
      </c>
      <c r="O1695" s="15" t="s">
        <v>44</v>
      </c>
      <c r="P1695" s="15" t="s">
        <v>9871</v>
      </c>
      <c r="Q1695" s="15" t="s">
        <v>9872</v>
      </c>
      <c r="R1695" s="16">
        <v>44329</v>
      </c>
      <c r="S1695" s="17" t="s">
        <v>6144</v>
      </c>
      <c r="T1695" s="20">
        <f>HYPERLINK("https://vnm.spiral.com.vn//uploaded/20210513/84f9c1db-5c14-484a-a5fd-5b05403ed06d.JPEG","12:08:23")</f>
      </c>
      <c r="U1695" s="18"/>
      <c r="V1695" s="18" t="s">
        <v>35</v>
      </c>
      <c r="W1695" s="15" t="s">
        <v>9873</v>
      </c>
      <c r="X1695" s="15" t="s">
        <v>35</v>
      </c>
      <c r="Y1695" s="15" t="s">
        <v>35</v>
      </c>
      <c r="Z1695" s="19">
        <v>0</v>
      </c>
      <c r="AA1695" s="15">
        <v>0</v>
      </c>
      <c r="AB1695" s="15" t="s">
        <v>35</v>
      </c>
    </row>
    <row r="1696">
      <c r="A1696" s="15">
        <v>1692</v>
      </c>
      <c r="B1696" s="15" t="s">
        <v>103</v>
      </c>
      <c r="C1696" s="15" t="s">
        <v>186</v>
      </c>
      <c r="D1696" s="15" t="s">
        <v>35</v>
      </c>
      <c r="E1696" s="15" t="s">
        <v>35</v>
      </c>
      <c r="F1696" s="15" t="s">
        <v>35</v>
      </c>
      <c r="G1696" s="15" t="s">
        <v>36</v>
      </c>
      <c r="H1696" s="15" t="s">
        <v>6603</v>
      </c>
      <c r="I1696" s="15" t="s">
        <v>2498</v>
      </c>
      <c r="J1696" s="15" t="s">
        <v>6604</v>
      </c>
      <c r="K1696" s="15" t="s">
        <v>40</v>
      </c>
      <c r="L1696" s="15" t="s">
        <v>41</v>
      </c>
      <c r="M1696" s="15" t="s">
        <v>565</v>
      </c>
      <c r="N1696" s="15" t="s">
        <v>566</v>
      </c>
      <c r="O1696" s="15" t="s">
        <v>44</v>
      </c>
      <c r="P1696" s="15" t="s">
        <v>6605</v>
      </c>
      <c r="Q1696" s="15" t="s">
        <v>6606</v>
      </c>
      <c r="R1696" s="16">
        <v>44329</v>
      </c>
      <c r="S1696" s="17" t="s">
        <v>317</v>
      </c>
      <c r="T1696" s="20">
        <f>HYPERLINK("https://vnm.spiral.com.vn//uploaded/20210513/81E3ABC4-B7B7-4D31-8DFF-7D9D0EA5224D.jpg","07:59:22")</f>
      </c>
      <c r="U1696" s="20">
        <f>HYPERLINK("https://vnm.spiral.com.vn//uploaded/20210513/50C35AD5-1F3D-4F18-AD71-3A3D0FFD8A2F.jpg","12:08:23")</f>
      </c>
      <c r="V1696" s="18">
        <v>0.17292824074074073</v>
      </c>
      <c r="W1696" s="15" t="s">
        <v>9874</v>
      </c>
      <c r="X1696" s="15" t="s">
        <v>9875</v>
      </c>
      <c r="Y1696" s="15" t="s">
        <v>35</v>
      </c>
      <c r="Z1696" s="19">
        <v>0</v>
      </c>
      <c r="AA1696" s="15">
        <v>0</v>
      </c>
      <c r="AB1696" s="15" t="s">
        <v>35</v>
      </c>
    </row>
    <row r="1697">
      <c r="A1697" s="15">
        <v>1693</v>
      </c>
      <c r="B1697" s="15" t="s">
        <v>87</v>
      </c>
      <c r="C1697" s="15" t="s">
        <v>88</v>
      </c>
      <c r="D1697" s="15" t="s">
        <v>35</v>
      </c>
      <c r="E1697" s="15" t="s">
        <v>35</v>
      </c>
      <c r="F1697" s="15" t="s">
        <v>2721</v>
      </c>
      <c r="G1697" s="15" t="s">
        <v>36</v>
      </c>
      <c r="H1697" s="15" t="s">
        <v>4216</v>
      </c>
      <c r="I1697" s="15" t="s">
        <v>4217</v>
      </c>
      <c r="J1697" s="15" t="s">
        <v>4218</v>
      </c>
      <c r="K1697" s="15" t="s">
        <v>40</v>
      </c>
      <c r="L1697" s="15" t="s">
        <v>41</v>
      </c>
      <c r="M1697" s="15" t="s">
        <v>1195</v>
      </c>
      <c r="N1697" s="15" t="s">
        <v>1196</v>
      </c>
      <c r="O1697" s="15" t="s">
        <v>44</v>
      </c>
      <c r="P1697" s="15" t="s">
        <v>4219</v>
      </c>
      <c r="Q1697" s="15" t="s">
        <v>4220</v>
      </c>
      <c r="R1697" s="16">
        <v>44329</v>
      </c>
      <c r="S1697" s="17" t="s">
        <v>7866</v>
      </c>
      <c r="T1697" s="20">
        <f>HYPERLINK("https://vnm.spiral.com.vn//uploaded/20210513/9fd3de4a-06ca-41b1-baa2-6805b85fbab3.JPEG","07:52:55")</f>
      </c>
      <c r="U1697" s="20">
        <f>HYPERLINK("https://vnm.spiral.com.vn//uploaded/20210513/6ef07928-f580-49f4-96c0-56853c7ef101.JPEG","12:08:14")</f>
      </c>
      <c r="V1697" s="18">
        <v>0.17730324074074075</v>
      </c>
      <c r="W1697" s="15" t="s">
        <v>9876</v>
      </c>
      <c r="X1697" s="15" t="s">
        <v>9877</v>
      </c>
      <c r="Y1697" s="15" t="s">
        <v>35</v>
      </c>
      <c r="Z1697" s="19">
        <v>0</v>
      </c>
      <c r="AA1697" s="15">
        <v>0</v>
      </c>
      <c r="AB1697" s="15" t="s">
        <v>35</v>
      </c>
    </row>
    <row r="1698">
      <c r="A1698" s="15">
        <v>1694</v>
      </c>
      <c r="B1698" s="15" t="s">
        <v>87</v>
      </c>
      <c r="C1698" s="15" t="s">
        <v>88</v>
      </c>
      <c r="D1698" s="15" t="s">
        <v>35</v>
      </c>
      <c r="E1698" s="15" t="s">
        <v>35</v>
      </c>
      <c r="F1698" s="15" t="s">
        <v>2667</v>
      </c>
      <c r="G1698" s="15" t="s">
        <v>36</v>
      </c>
      <c r="H1698" s="15" t="s">
        <v>6342</v>
      </c>
      <c r="I1698" s="15" t="s">
        <v>6343</v>
      </c>
      <c r="J1698" s="15" t="s">
        <v>6344</v>
      </c>
      <c r="K1698" s="15" t="s">
        <v>40</v>
      </c>
      <c r="L1698" s="15" t="s">
        <v>41</v>
      </c>
      <c r="M1698" s="15" t="s">
        <v>1195</v>
      </c>
      <c r="N1698" s="15" t="s">
        <v>1196</v>
      </c>
      <c r="O1698" s="15" t="s">
        <v>44</v>
      </c>
      <c r="P1698" s="15" t="s">
        <v>6345</v>
      </c>
      <c r="Q1698" s="15" t="s">
        <v>6346</v>
      </c>
      <c r="R1698" s="16">
        <v>44329</v>
      </c>
      <c r="S1698" s="17" t="s">
        <v>317</v>
      </c>
      <c r="T1698" s="20">
        <f>HYPERLINK("https://vnm.spiral.com.vn//uploaded/20210513/CD212749-ABEE-47A4-B37A-8F7A41BE7D48.jpg","08:01:08")</f>
      </c>
      <c r="U1698" s="20">
        <f>HYPERLINK("https://vnm.spiral.com.vn//uploaded/20210513/5872F752-5F7F-4ED0-B3BC-68551E22ED68.jpg","12:08:14")</f>
      </c>
      <c r="V1698" s="18">
        <v>0.17159722222222223</v>
      </c>
      <c r="W1698" s="15" t="s">
        <v>9878</v>
      </c>
      <c r="X1698" s="15" t="s">
        <v>9879</v>
      </c>
      <c r="Y1698" s="15" t="s">
        <v>35</v>
      </c>
      <c r="Z1698" s="19">
        <v>0</v>
      </c>
      <c r="AA1698" s="15">
        <v>0</v>
      </c>
      <c r="AB1698" s="15" t="s">
        <v>35</v>
      </c>
    </row>
    <row r="1699">
      <c r="A1699" s="15">
        <v>1695</v>
      </c>
      <c r="B1699" s="15" t="s">
        <v>246</v>
      </c>
      <c r="C1699" s="15" t="s">
        <v>782</v>
      </c>
      <c r="D1699" s="15" t="s">
        <v>35</v>
      </c>
      <c r="E1699" s="15" t="s">
        <v>35</v>
      </c>
      <c r="F1699" s="15" t="s">
        <v>6328</v>
      </c>
      <c r="G1699" s="15" t="s">
        <v>36</v>
      </c>
      <c r="H1699" s="15" t="s">
        <v>6329</v>
      </c>
      <c r="I1699" s="15" t="s">
        <v>6330</v>
      </c>
      <c r="J1699" s="15" t="s">
        <v>6331</v>
      </c>
      <c r="K1699" s="15" t="s">
        <v>40</v>
      </c>
      <c r="L1699" s="15" t="s">
        <v>41</v>
      </c>
      <c r="M1699" s="15" t="s">
        <v>252</v>
      </c>
      <c r="N1699" s="15" t="s">
        <v>253</v>
      </c>
      <c r="O1699" s="15" t="s">
        <v>44</v>
      </c>
      <c r="P1699" s="15" t="s">
        <v>6332</v>
      </c>
      <c r="Q1699" s="15" t="s">
        <v>6333</v>
      </c>
      <c r="R1699" s="16">
        <v>44329</v>
      </c>
      <c r="S1699" s="17" t="s">
        <v>317</v>
      </c>
      <c r="T1699" s="20">
        <f>HYPERLINK("https://vnm.spiral.com.vn//uploaded/20210513/FFECEA0A-42DC-455C-902F-91190841588C.jpg","08:09:13")</f>
      </c>
      <c r="U1699" s="20">
        <f>HYPERLINK("https://vnm.spiral.com.vn//uploaded/20210513/15711304-E33C-41D3-BED6-FFE2BBC4D1B2.jpg","12:08:14")</f>
      </c>
      <c r="V1699" s="18">
        <v>0.1659837962962963</v>
      </c>
      <c r="W1699" s="15" t="s">
        <v>9880</v>
      </c>
      <c r="X1699" s="15" t="s">
        <v>9881</v>
      </c>
      <c r="Y1699" s="15" t="s">
        <v>35</v>
      </c>
      <c r="Z1699" s="19">
        <v>0</v>
      </c>
      <c r="AA1699" s="15">
        <v>0</v>
      </c>
      <c r="AB1699" s="15" t="s">
        <v>35</v>
      </c>
    </row>
    <row r="1700">
      <c r="A1700" s="15">
        <v>1696</v>
      </c>
      <c r="B1700" s="15" t="s">
        <v>246</v>
      </c>
      <c r="C1700" s="15" t="s">
        <v>2005</v>
      </c>
      <c r="D1700" s="15" t="s">
        <v>35</v>
      </c>
      <c r="E1700" s="15" t="s">
        <v>35</v>
      </c>
      <c r="F1700" s="15" t="s">
        <v>3012</v>
      </c>
      <c r="G1700" s="15" t="s">
        <v>36</v>
      </c>
      <c r="H1700" s="15" t="s">
        <v>8851</v>
      </c>
      <c r="I1700" s="15" t="s">
        <v>8852</v>
      </c>
      <c r="J1700" s="15" t="s">
        <v>8853</v>
      </c>
      <c r="K1700" s="15" t="s">
        <v>40</v>
      </c>
      <c r="L1700" s="15" t="s">
        <v>41</v>
      </c>
      <c r="M1700" s="15" t="s">
        <v>252</v>
      </c>
      <c r="N1700" s="15" t="s">
        <v>253</v>
      </c>
      <c r="O1700" s="15" t="s">
        <v>44</v>
      </c>
      <c r="P1700" s="15" t="s">
        <v>8854</v>
      </c>
      <c r="Q1700" s="15" t="s">
        <v>8855</v>
      </c>
      <c r="R1700" s="16">
        <v>44329</v>
      </c>
      <c r="S1700" s="17" t="s">
        <v>3018</v>
      </c>
      <c r="T1700" s="20">
        <f>HYPERLINK("https://vnm.spiral.com.vn//uploaded/20210513/BF664E21-8DE5-4B55-9E4F-6C9D17A6958E.jpg","07:54:07")</f>
      </c>
      <c r="U1700" s="20">
        <f>HYPERLINK("https://vnm.spiral.com.vn//uploaded/20210513/4BFA1A72-E008-4889-A338-BB6FA7262BE7.jpg","12:08:13")</f>
      </c>
      <c r="V1700" s="18">
        <v>0.17645833333333333</v>
      </c>
      <c r="W1700" s="15" t="s">
        <v>9882</v>
      </c>
      <c r="X1700" s="15" t="s">
        <v>9883</v>
      </c>
      <c r="Y1700" s="15" t="s">
        <v>35</v>
      </c>
      <c r="Z1700" s="19">
        <v>0</v>
      </c>
      <c r="AA1700" s="15">
        <v>0</v>
      </c>
      <c r="AB1700" s="15" t="s">
        <v>35</v>
      </c>
    </row>
    <row r="1701">
      <c r="A1701" s="15">
        <v>1697</v>
      </c>
      <c r="B1701" s="15" t="s">
        <v>87</v>
      </c>
      <c r="C1701" s="15" t="s">
        <v>88</v>
      </c>
      <c r="D1701" s="15" t="s">
        <v>35</v>
      </c>
      <c r="E1701" s="15" t="s">
        <v>35</v>
      </c>
      <c r="F1701" s="15" t="s">
        <v>2077</v>
      </c>
      <c r="G1701" s="15" t="s">
        <v>36</v>
      </c>
      <c r="H1701" s="15" t="s">
        <v>9884</v>
      </c>
      <c r="I1701" s="15" t="s">
        <v>9885</v>
      </c>
      <c r="J1701" s="15" t="s">
        <v>9886</v>
      </c>
      <c r="K1701" s="15" t="s">
        <v>40</v>
      </c>
      <c r="L1701" s="15" t="s">
        <v>41</v>
      </c>
      <c r="M1701" s="15" t="s">
        <v>289</v>
      </c>
      <c r="N1701" s="15" t="s">
        <v>290</v>
      </c>
      <c r="O1701" s="15" t="s">
        <v>44</v>
      </c>
      <c r="P1701" s="15" t="s">
        <v>2081</v>
      </c>
      <c r="Q1701" s="15" t="s">
        <v>2082</v>
      </c>
      <c r="R1701" s="16">
        <v>44329</v>
      </c>
      <c r="S1701" s="17" t="s">
        <v>317</v>
      </c>
      <c r="T1701" s="20">
        <f>HYPERLINK("https://vnm.spiral.com.vn//uploaded/20210513/1F9FAD98-2681-4397-A675-09FEAA57A670.jpg","08:06:35")</f>
      </c>
      <c r="U1701" s="20">
        <f>HYPERLINK("https://vnm.spiral.com.vn//uploaded/20210513/1EE1EDE9-0294-4EDE-A6FD-EDC495CEE274.jpg","12:08:12")</f>
      </c>
      <c r="V1701" s="18">
        <v>0.16778935185185184</v>
      </c>
      <c r="W1701" s="15" t="s">
        <v>9887</v>
      </c>
      <c r="X1701" s="15" t="s">
        <v>9888</v>
      </c>
      <c r="Y1701" s="15" t="s">
        <v>35</v>
      </c>
      <c r="Z1701" s="19">
        <v>0</v>
      </c>
      <c r="AA1701" s="15">
        <v>0</v>
      </c>
      <c r="AB1701" s="15" t="s">
        <v>35</v>
      </c>
    </row>
    <row r="1702">
      <c r="A1702" s="15">
        <v>1698</v>
      </c>
      <c r="B1702" s="15" t="s">
        <v>343</v>
      </c>
      <c r="C1702" s="15" t="s">
        <v>2135</v>
      </c>
      <c r="D1702" s="15" t="s">
        <v>35</v>
      </c>
      <c r="E1702" s="15" t="s">
        <v>35</v>
      </c>
      <c r="F1702" s="15" t="s">
        <v>35</v>
      </c>
      <c r="G1702" s="15" t="s">
        <v>36</v>
      </c>
      <c r="H1702" s="15" t="s">
        <v>8518</v>
      </c>
      <c r="I1702" s="15" t="s">
        <v>8519</v>
      </c>
      <c r="J1702" s="15" t="s">
        <v>8520</v>
      </c>
      <c r="K1702" s="15" t="s">
        <v>40</v>
      </c>
      <c r="L1702" s="15" t="s">
        <v>41</v>
      </c>
      <c r="M1702" s="15" t="s">
        <v>595</v>
      </c>
      <c r="N1702" s="15" t="s">
        <v>596</v>
      </c>
      <c r="O1702" s="15" t="s">
        <v>44</v>
      </c>
      <c r="P1702" s="15" t="s">
        <v>8521</v>
      </c>
      <c r="Q1702" s="15" t="s">
        <v>8522</v>
      </c>
      <c r="R1702" s="16">
        <v>44329</v>
      </c>
      <c r="S1702" s="17" t="s">
        <v>317</v>
      </c>
      <c r="T1702" s="20">
        <f>HYPERLINK("https://vnm.spiral.com.vn//uploaded/20210513/E37AC1FA-CE2C-452B-8FCF-1CCDC6AEBBAA.jpg","07:31:30")</f>
      </c>
      <c r="U1702" s="20">
        <f>HYPERLINK("https://vnm.spiral.com.vn//uploaded/20210513/0E20E9D8-7363-4283-9F6D-2B962EAAED5F.jpg","12:08:11")</f>
      </c>
      <c r="V1702" s="18">
        <v>0.19214120370370372</v>
      </c>
      <c r="W1702" s="15" t="s">
        <v>9889</v>
      </c>
      <c r="X1702" s="15" t="s">
        <v>9890</v>
      </c>
      <c r="Y1702" s="15" t="s">
        <v>35</v>
      </c>
      <c r="Z1702" s="19">
        <v>0</v>
      </c>
      <c r="AA1702" s="15">
        <v>0</v>
      </c>
      <c r="AB1702" s="15" t="s">
        <v>35</v>
      </c>
    </row>
    <row r="1703">
      <c r="A1703" s="15">
        <v>1699</v>
      </c>
      <c r="B1703" s="15" t="s">
        <v>343</v>
      </c>
      <c r="C1703" s="15" t="s">
        <v>344</v>
      </c>
      <c r="D1703" s="15" t="s">
        <v>432</v>
      </c>
      <c r="E1703" s="15" t="s">
        <v>116</v>
      </c>
      <c r="F1703" s="15" t="s">
        <v>35</v>
      </c>
      <c r="G1703" s="15" t="s">
        <v>74</v>
      </c>
      <c r="H1703" s="15" t="s">
        <v>9891</v>
      </c>
      <c r="I1703" s="15" t="s">
        <v>9892</v>
      </c>
      <c r="J1703" s="15" t="s">
        <v>9893</v>
      </c>
      <c r="K1703" s="15" t="s">
        <v>1168</v>
      </c>
      <c r="L1703" s="15" t="s">
        <v>1169</v>
      </c>
      <c r="M1703" s="15" t="s">
        <v>1170</v>
      </c>
      <c r="N1703" s="15" t="s">
        <v>1171</v>
      </c>
      <c r="O1703" s="15" t="s">
        <v>82</v>
      </c>
      <c r="P1703" s="15" t="s">
        <v>3799</v>
      </c>
      <c r="Q1703" s="15" t="s">
        <v>3800</v>
      </c>
      <c r="R1703" s="16">
        <v>44329</v>
      </c>
      <c r="S1703" s="17" t="s">
        <v>70</v>
      </c>
      <c r="T1703" s="20">
        <f>HYPERLINK("https://vnm.spiral.com.vn//uploaded/20210513/6d18b24c-8887-4f17-b692-b769a65beec8.JPEG","10:43:34")</f>
      </c>
      <c r="U1703" s="20">
        <f>HYPERLINK("https://vnm.spiral.com.vn//uploaded/20210513/fffcf11c-44fd-4f9f-925e-a2e27c9c5eb5.JPEG","12:07:54")</f>
      </c>
      <c r="V1703" s="18">
        <v>0.05856481481481481</v>
      </c>
      <c r="W1703" s="15" t="s">
        <v>9894</v>
      </c>
      <c r="X1703" s="15" t="s">
        <v>9895</v>
      </c>
      <c r="Y1703" s="15" t="s">
        <v>35</v>
      </c>
      <c r="Z1703" s="19">
        <v>0</v>
      </c>
      <c r="AA1703" s="15">
        <v>0</v>
      </c>
      <c r="AB1703" s="15" t="s">
        <v>35</v>
      </c>
    </row>
    <row r="1704">
      <c r="A1704" s="15">
        <v>1700</v>
      </c>
      <c r="B1704" s="15" t="s">
        <v>87</v>
      </c>
      <c r="C1704" s="15" t="s">
        <v>88</v>
      </c>
      <c r="D1704" s="15" t="s">
        <v>35</v>
      </c>
      <c r="E1704" s="15" t="s">
        <v>35</v>
      </c>
      <c r="F1704" s="15" t="s">
        <v>2773</v>
      </c>
      <c r="G1704" s="15" t="s">
        <v>36</v>
      </c>
      <c r="H1704" s="15" t="s">
        <v>4423</v>
      </c>
      <c r="I1704" s="15" t="s">
        <v>4424</v>
      </c>
      <c r="J1704" s="15" t="s">
        <v>4425</v>
      </c>
      <c r="K1704" s="15" t="s">
        <v>40</v>
      </c>
      <c r="L1704" s="15" t="s">
        <v>41</v>
      </c>
      <c r="M1704" s="15" t="s">
        <v>810</v>
      </c>
      <c r="N1704" s="15" t="s">
        <v>811</v>
      </c>
      <c r="O1704" s="15" t="s">
        <v>44</v>
      </c>
      <c r="P1704" s="15" t="s">
        <v>4426</v>
      </c>
      <c r="Q1704" s="15" t="s">
        <v>4427</v>
      </c>
      <c r="R1704" s="16">
        <v>44329</v>
      </c>
      <c r="S1704" s="17" t="s">
        <v>317</v>
      </c>
      <c r="T1704" s="20">
        <f>HYPERLINK("https://vnm.spiral.com.vn//uploaded/20210513/BCF63B12-17A3-4BF8-B0FE-333117844019.jpg","08:04:25")</f>
      </c>
      <c r="U1704" s="20">
        <f>HYPERLINK("https://vnm.spiral.com.vn//uploaded/20210513/48320D8C-D88A-4245-9CC7-8C9ACBB2A0D5.jpg","12:07:43")</f>
      </c>
      <c r="V1704" s="18">
        <v>0.16895833333333332</v>
      </c>
      <c r="W1704" s="15" t="s">
        <v>9896</v>
      </c>
      <c r="X1704" s="15" t="s">
        <v>9897</v>
      </c>
      <c r="Y1704" s="15" t="s">
        <v>35</v>
      </c>
      <c r="Z1704" s="19">
        <v>0</v>
      </c>
      <c r="AA1704" s="15">
        <v>0</v>
      </c>
      <c r="AB1704" s="15" t="s">
        <v>35</v>
      </c>
    </row>
    <row r="1705">
      <c r="A1705" s="15">
        <v>1701</v>
      </c>
      <c r="B1705" s="15" t="s">
        <v>103</v>
      </c>
      <c r="C1705" s="15" t="s">
        <v>104</v>
      </c>
      <c r="D1705" s="15" t="s">
        <v>35</v>
      </c>
      <c r="E1705" s="15" t="s">
        <v>35</v>
      </c>
      <c r="F1705" s="15" t="s">
        <v>35</v>
      </c>
      <c r="G1705" s="15" t="s">
        <v>36</v>
      </c>
      <c r="H1705" s="15" t="s">
        <v>2872</v>
      </c>
      <c r="I1705" s="15" t="s">
        <v>2873</v>
      </c>
      <c r="J1705" s="15" t="s">
        <v>2874</v>
      </c>
      <c r="K1705" s="15" t="s">
        <v>40</v>
      </c>
      <c r="L1705" s="15" t="s">
        <v>41</v>
      </c>
      <c r="M1705" s="15" t="s">
        <v>108</v>
      </c>
      <c r="N1705" s="15" t="s">
        <v>109</v>
      </c>
      <c r="O1705" s="15" t="s">
        <v>44</v>
      </c>
      <c r="P1705" s="15" t="s">
        <v>2875</v>
      </c>
      <c r="Q1705" s="15" t="s">
        <v>2876</v>
      </c>
      <c r="R1705" s="16">
        <v>44329</v>
      </c>
      <c r="S1705" s="17" t="s">
        <v>9898</v>
      </c>
      <c r="T1705" s="20">
        <f>HYPERLINK("https://vnm.spiral.com.vn//uploaded/20210513/0a2b23bc-9b73-4e2f-b8c9-940c7adcb291.JPEG","07:05:19")</f>
      </c>
      <c r="U1705" s="20">
        <f>HYPERLINK("https://vnm.spiral.com.vn//uploaded/20210513/002d0b5a-00d9-475e-9cd2-c66a82731d3d.JPEG","12:07:41")</f>
      </c>
      <c r="V1705" s="18">
        <v>0.20997685185185186</v>
      </c>
      <c r="W1705" s="15" t="s">
        <v>9899</v>
      </c>
      <c r="X1705" s="15" t="s">
        <v>9900</v>
      </c>
      <c r="Y1705" s="15" t="s">
        <v>35</v>
      </c>
      <c r="Z1705" s="19">
        <v>0</v>
      </c>
      <c r="AA1705" s="15">
        <v>0</v>
      </c>
      <c r="AB1705" s="15" t="s">
        <v>35</v>
      </c>
    </row>
    <row r="1706">
      <c r="A1706" s="15">
        <v>1702</v>
      </c>
      <c r="B1706" s="15" t="s">
        <v>103</v>
      </c>
      <c r="C1706" s="15" t="s">
        <v>2116</v>
      </c>
      <c r="D1706" s="15" t="s">
        <v>89</v>
      </c>
      <c r="E1706" s="15" t="s">
        <v>90</v>
      </c>
      <c r="F1706" s="15" t="s">
        <v>35</v>
      </c>
      <c r="G1706" s="15" t="s">
        <v>74</v>
      </c>
      <c r="H1706" s="15" t="s">
        <v>9901</v>
      </c>
      <c r="I1706" s="15" t="s">
        <v>9902</v>
      </c>
      <c r="J1706" s="15" t="s">
        <v>9903</v>
      </c>
      <c r="K1706" s="15" t="s">
        <v>178</v>
      </c>
      <c r="L1706" s="15" t="s">
        <v>179</v>
      </c>
      <c r="M1706" s="15" t="s">
        <v>2120</v>
      </c>
      <c r="N1706" s="15" t="s">
        <v>2121</v>
      </c>
      <c r="O1706" s="15" t="s">
        <v>156</v>
      </c>
      <c r="P1706" s="15" t="s">
        <v>9904</v>
      </c>
      <c r="Q1706" s="15" t="s">
        <v>9905</v>
      </c>
      <c r="R1706" s="16">
        <v>44329</v>
      </c>
      <c r="S1706" s="17" t="s">
        <v>9411</v>
      </c>
      <c r="T1706" s="20">
        <f>HYPERLINK("https://vnm.spiral.com.vn//uploaded/20210513/CB2231E3-E9B1-4EE4-8D7D-4FF29B8A5F03.jpg","12:07:37")</f>
      </c>
      <c r="U1706" s="18"/>
      <c r="V1706" s="18" t="s">
        <v>35</v>
      </c>
      <c r="W1706" s="15" t="s">
        <v>9906</v>
      </c>
      <c r="X1706" s="15" t="s">
        <v>35</v>
      </c>
      <c r="Y1706" s="15" t="s">
        <v>35</v>
      </c>
      <c r="Z1706" s="19">
        <v>0</v>
      </c>
      <c r="AA1706" s="15">
        <v>0</v>
      </c>
      <c r="AB1706" s="15" t="s">
        <v>35</v>
      </c>
    </row>
    <row r="1707">
      <c r="A1707" s="15">
        <v>1703</v>
      </c>
      <c r="B1707" s="15" t="s">
        <v>87</v>
      </c>
      <c r="C1707" s="15" t="s">
        <v>88</v>
      </c>
      <c r="D1707" s="15" t="s">
        <v>35</v>
      </c>
      <c r="E1707" s="15" t="s">
        <v>35</v>
      </c>
      <c r="F1707" s="15" t="s">
        <v>2667</v>
      </c>
      <c r="G1707" s="15" t="s">
        <v>36</v>
      </c>
      <c r="H1707" s="15" t="s">
        <v>6869</v>
      </c>
      <c r="I1707" s="15" t="s">
        <v>6724</v>
      </c>
      <c r="J1707" s="15" t="s">
        <v>6870</v>
      </c>
      <c r="K1707" s="15" t="s">
        <v>40</v>
      </c>
      <c r="L1707" s="15" t="s">
        <v>41</v>
      </c>
      <c r="M1707" s="15" t="s">
        <v>1195</v>
      </c>
      <c r="N1707" s="15" t="s">
        <v>1196</v>
      </c>
      <c r="O1707" s="15" t="s">
        <v>44</v>
      </c>
      <c r="P1707" s="15" t="s">
        <v>6871</v>
      </c>
      <c r="Q1707" s="15" t="s">
        <v>6872</v>
      </c>
      <c r="R1707" s="16">
        <v>44329</v>
      </c>
      <c r="S1707" s="17" t="s">
        <v>317</v>
      </c>
      <c r="T1707" s="20">
        <f>HYPERLINK("https://vnm.spiral.com.vn//uploaded/20210513/416f30da-0652-41f9-806d-af5e8a529827.JPEG","08:00:49")</f>
      </c>
      <c r="U1707" s="20">
        <f>HYPERLINK("https://vnm.spiral.com.vn//uploaded/20210513/73d07228-3e8a-4879-9878-be511eafb9bc.JPEG","12:07:25")</f>
      </c>
      <c r="V1707" s="18">
        <v>0.17125</v>
      </c>
      <c r="W1707" s="15" t="s">
        <v>9907</v>
      </c>
      <c r="X1707" s="15" t="s">
        <v>9908</v>
      </c>
      <c r="Y1707" s="15" t="s">
        <v>35</v>
      </c>
      <c r="Z1707" s="19">
        <v>0</v>
      </c>
      <c r="AA1707" s="15">
        <v>0</v>
      </c>
      <c r="AB1707" s="15" t="s">
        <v>35</v>
      </c>
    </row>
    <row r="1708">
      <c r="A1708" s="15">
        <v>1704</v>
      </c>
      <c r="B1708" s="15" t="s">
        <v>103</v>
      </c>
      <c r="C1708" s="15" t="s">
        <v>104</v>
      </c>
      <c r="D1708" s="15" t="s">
        <v>35</v>
      </c>
      <c r="E1708" s="15" t="s">
        <v>35</v>
      </c>
      <c r="F1708" s="15" t="s">
        <v>35</v>
      </c>
      <c r="G1708" s="15" t="s">
        <v>36</v>
      </c>
      <c r="H1708" s="15" t="s">
        <v>5350</v>
      </c>
      <c r="I1708" s="15" t="s">
        <v>5351</v>
      </c>
      <c r="J1708" s="15" t="s">
        <v>5352</v>
      </c>
      <c r="K1708" s="15" t="s">
        <v>40</v>
      </c>
      <c r="L1708" s="15" t="s">
        <v>41</v>
      </c>
      <c r="M1708" s="15" t="s">
        <v>108</v>
      </c>
      <c r="N1708" s="15" t="s">
        <v>109</v>
      </c>
      <c r="O1708" s="15" t="s">
        <v>44</v>
      </c>
      <c r="P1708" s="15" t="s">
        <v>5353</v>
      </c>
      <c r="Q1708" s="15" t="s">
        <v>4704</v>
      </c>
      <c r="R1708" s="16">
        <v>44329</v>
      </c>
      <c r="S1708" s="17" t="s">
        <v>317</v>
      </c>
      <c r="T1708" s="20">
        <f>HYPERLINK("https://vnm.spiral.com.vn//uploaded/20210513/c7ec6ae1-2f8e-4686-9aae-e6897a37d7d4.JPEG","08:51:03")</f>
      </c>
      <c r="U1708" s="20">
        <f>HYPERLINK("https://vnm.spiral.com.vn//uploaded/20210513/bd815d2d-2785-4dc5-91c7-fc03ba878b9b.JPEG","12:07:23")</f>
      </c>
      <c r="V1708" s="18">
        <v>0.1363425925925926</v>
      </c>
      <c r="W1708" s="15" t="s">
        <v>9909</v>
      </c>
      <c r="X1708" s="15" t="s">
        <v>9910</v>
      </c>
      <c r="Y1708" s="15" t="s">
        <v>35</v>
      </c>
      <c r="Z1708" s="19">
        <v>0</v>
      </c>
      <c r="AA1708" s="15">
        <v>0</v>
      </c>
      <c r="AB1708" s="15" t="s">
        <v>35</v>
      </c>
    </row>
    <row r="1709">
      <c r="A1709" s="15">
        <v>1705</v>
      </c>
      <c r="B1709" s="15" t="s">
        <v>246</v>
      </c>
      <c r="C1709" s="15" t="s">
        <v>259</v>
      </c>
      <c r="D1709" s="15" t="s">
        <v>35</v>
      </c>
      <c r="E1709" s="15" t="s">
        <v>35</v>
      </c>
      <c r="F1709" s="15" t="s">
        <v>4355</v>
      </c>
      <c r="G1709" s="15" t="s">
        <v>36</v>
      </c>
      <c r="H1709" s="15" t="s">
        <v>5007</v>
      </c>
      <c r="I1709" s="15" t="s">
        <v>5008</v>
      </c>
      <c r="J1709" s="15" t="s">
        <v>5009</v>
      </c>
      <c r="K1709" s="15" t="s">
        <v>40</v>
      </c>
      <c r="L1709" s="15" t="s">
        <v>41</v>
      </c>
      <c r="M1709" s="15" t="s">
        <v>252</v>
      </c>
      <c r="N1709" s="15" t="s">
        <v>253</v>
      </c>
      <c r="O1709" s="15" t="s">
        <v>44</v>
      </c>
      <c r="P1709" s="15" t="s">
        <v>5010</v>
      </c>
      <c r="Q1709" s="15" t="s">
        <v>5011</v>
      </c>
      <c r="R1709" s="16">
        <v>44329</v>
      </c>
      <c r="S1709" s="17" t="s">
        <v>317</v>
      </c>
      <c r="T1709" s="20">
        <f>HYPERLINK("https://vnm.spiral.com.vn//uploaded/20210513/4d00c792-0b8b-4f8c-bc4f-d80eb67c857c.JPEG","07:49:12")</f>
      </c>
      <c r="U1709" s="20">
        <f>HYPERLINK("https://vnm.spiral.com.vn//uploaded/20210513/45f7dbbb-7891-45c5-bd53-e713cd6c72be.JPEG","12:07:13")</f>
      </c>
      <c r="V1709" s="18">
        <v>0.17917824074074074</v>
      </c>
      <c r="W1709" s="15" t="s">
        <v>9911</v>
      </c>
      <c r="X1709" s="15" t="s">
        <v>9912</v>
      </c>
      <c r="Y1709" s="15" t="s">
        <v>35</v>
      </c>
      <c r="Z1709" s="19">
        <v>0</v>
      </c>
      <c r="AA1709" s="15">
        <v>0</v>
      </c>
      <c r="AB1709" s="15" t="s">
        <v>35</v>
      </c>
    </row>
    <row r="1710">
      <c r="A1710" s="15">
        <v>1706</v>
      </c>
      <c r="B1710" s="15" t="s">
        <v>49</v>
      </c>
      <c r="C1710" s="15" t="s">
        <v>369</v>
      </c>
      <c r="D1710" s="15" t="s">
        <v>35</v>
      </c>
      <c r="E1710" s="15" t="s">
        <v>35</v>
      </c>
      <c r="F1710" s="15" t="s">
        <v>370</v>
      </c>
      <c r="G1710" s="15" t="s">
        <v>36</v>
      </c>
      <c r="H1710" s="15" t="s">
        <v>9913</v>
      </c>
      <c r="I1710" s="15" t="s">
        <v>4818</v>
      </c>
      <c r="J1710" s="15" t="s">
        <v>9914</v>
      </c>
      <c r="K1710" s="15" t="s">
        <v>40</v>
      </c>
      <c r="L1710" s="15" t="s">
        <v>41</v>
      </c>
      <c r="M1710" s="15" t="s">
        <v>55</v>
      </c>
      <c r="N1710" s="15" t="s">
        <v>56</v>
      </c>
      <c r="O1710" s="15" t="s">
        <v>44</v>
      </c>
      <c r="P1710" s="15" t="s">
        <v>5589</v>
      </c>
      <c r="Q1710" s="15" t="s">
        <v>5590</v>
      </c>
      <c r="R1710" s="16">
        <v>44329</v>
      </c>
      <c r="S1710" s="17" t="s">
        <v>317</v>
      </c>
      <c r="T1710" s="20">
        <f>HYPERLINK("https://vnm.spiral.com.vn//uploaded/20210513/08C83F29-6680-4630-B5D5-96BD6FDCF5EA.jpg","08:08:17")</f>
      </c>
      <c r="U1710" s="20">
        <f>HYPERLINK("https://vnm.spiral.com.vn//uploaded/20210513/A83A53C4-E046-48F5-9453-D407B2D08FC4.jpg","12:07:04")</f>
      </c>
      <c r="V1710" s="18">
        <v>0.16582175925925927</v>
      </c>
      <c r="W1710" s="15" t="s">
        <v>9915</v>
      </c>
      <c r="X1710" s="15" t="s">
        <v>9916</v>
      </c>
      <c r="Y1710" s="15" t="s">
        <v>35</v>
      </c>
      <c r="Z1710" s="19">
        <v>0</v>
      </c>
      <c r="AA1710" s="15">
        <v>0</v>
      </c>
      <c r="AB1710" s="15" t="s">
        <v>35</v>
      </c>
    </row>
    <row r="1711">
      <c r="A1711" s="15">
        <v>1707</v>
      </c>
      <c r="B1711" s="15" t="s">
        <v>103</v>
      </c>
      <c r="C1711" s="15" t="s">
        <v>186</v>
      </c>
      <c r="D1711" s="15" t="s">
        <v>35</v>
      </c>
      <c r="E1711" s="15" t="s">
        <v>35</v>
      </c>
      <c r="F1711" s="15" t="s">
        <v>35</v>
      </c>
      <c r="G1711" s="15" t="s">
        <v>36</v>
      </c>
      <c r="H1711" s="15" t="s">
        <v>7806</v>
      </c>
      <c r="I1711" s="15" t="s">
        <v>7807</v>
      </c>
      <c r="J1711" s="15" t="s">
        <v>7808</v>
      </c>
      <c r="K1711" s="15" t="s">
        <v>40</v>
      </c>
      <c r="L1711" s="15" t="s">
        <v>41</v>
      </c>
      <c r="M1711" s="15" t="s">
        <v>565</v>
      </c>
      <c r="N1711" s="15" t="s">
        <v>566</v>
      </c>
      <c r="O1711" s="15" t="s">
        <v>44</v>
      </c>
      <c r="P1711" s="15" t="s">
        <v>7809</v>
      </c>
      <c r="Q1711" s="15" t="s">
        <v>7810</v>
      </c>
      <c r="R1711" s="16">
        <v>44329</v>
      </c>
      <c r="S1711" s="17" t="s">
        <v>317</v>
      </c>
      <c r="T1711" s="20">
        <f>HYPERLINK("https://vnm.spiral.com.vn//uploaded/20210513/3E0F7DE5-39FD-465B-8D76-54E6D767E2FE.jpg","08:17:03")</f>
      </c>
      <c r="U1711" s="20">
        <f>HYPERLINK("https://vnm.spiral.com.vn//uploaded/20210513/23C468B3-7CBC-4121-A957-0878AD1BC4D9.jpg","12:07:03")</f>
      </c>
      <c r="V1711" s="18">
        <v>0.1597222222222222</v>
      </c>
      <c r="W1711" s="15" t="s">
        <v>9917</v>
      </c>
      <c r="X1711" s="15" t="s">
        <v>9918</v>
      </c>
      <c r="Y1711" s="15" t="s">
        <v>35</v>
      </c>
      <c r="Z1711" s="19">
        <v>0</v>
      </c>
      <c r="AA1711" s="15">
        <v>0</v>
      </c>
      <c r="AB1711" s="15" t="s">
        <v>35</v>
      </c>
    </row>
    <row r="1712">
      <c r="A1712" s="15">
        <v>1708</v>
      </c>
      <c r="B1712" s="15" t="s">
        <v>343</v>
      </c>
      <c r="C1712" s="15" t="s">
        <v>344</v>
      </c>
      <c r="D1712" s="15" t="s">
        <v>35</v>
      </c>
      <c r="E1712" s="15" t="s">
        <v>35</v>
      </c>
      <c r="F1712" s="15" t="s">
        <v>35</v>
      </c>
      <c r="G1712" s="15" t="s">
        <v>36</v>
      </c>
      <c r="H1712" s="15" t="s">
        <v>6509</v>
      </c>
      <c r="I1712" s="15" t="s">
        <v>5197</v>
      </c>
      <c r="J1712" s="15" t="s">
        <v>6510</v>
      </c>
      <c r="K1712" s="15" t="s">
        <v>40</v>
      </c>
      <c r="L1712" s="15" t="s">
        <v>41</v>
      </c>
      <c r="M1712" s="15" t="s">
        <v>409</v>
      </c>
      <c r="N1712" s="15" t="s">
        <v>410</v>
      </c>
      <c r="O1712" s="15" t="s">
        <v>44</v>
      </c>
      <c r="P1712" s="15" t="s">
        <v>6511</v>
      </c>
      <c r="Q1712" s="15" t="s">
        <v>2743</v>
      </c>
      <c r="R1712" s="16">
        <v>44329</v>
      </c>
      <c r="S1712" s="17" t="s">
        <v>317</v>
      </c>
      <c r="T1712" s="20">
        <f>HYPERLINK("https://vnm.spiral.com.vn//uploaded/20210513/cf0c3c7f-d2b4-4e9b-b6b5-c8c21620d974.JPEG","08:02:32")</f>
      </c>
      <c r="U1712" s="20">
        <f>HYPERLINK("https://vnm.spiral.com.vn//uploaded/20210513/a926fc2a-90c3-4e73-9594-d2b638e07a22.JPEG","12:06:51")</f>
      </c>
      <c r="V1712" s="18">
        <v>0.16966435185185186</v>
      </c>
      <c r="W1712" s="15" t="s">
        <v>9919</v>
      </c>
      <c r="X1712" s="15" t="s">
        <v>9920</v>
      </c>
      <c r="Y1712" s="15" t="s">
        <v>35</v>
      </c>
      <c r="Z1712" s="19">
        <v>0</v>
      </c>
      <c r="AA1712" s="15">
        <v>0</v>
      </c>
      <c r="AB1712" s="15" t="s">
        <v>35</v>
      </c>
    </row>
    <row r="1713">
      <c r="A1713" s="15">
        <v>1709</v>
      </c>
      <c r="B1713" s="15" t="s">
        <v>103</v>
      </c>
      <c r="C1713" s="15" t="s">
        <v>1078</v>
      </c>
      <c r="D1713" s="15" t="s">
        <v>35</v>
      </c>
      <c r="E1713" s="15" t="s">
        <v>35</v>
      </c>
      <c r="F1713" s="15" t="s">
        <v>35</v>
      </c>
      <c r="G1713" s="15" t="s">
        <v>35</v>
      </c>
      <c r="H1713" s="15" t="s">
        <v>7623</v>
      </c>
      <c r="I1713" s="15" t="s">
        <v>7624</v>
      </c>
      <c r="J1713" s="15" t="s">
        <v>7625</v>
      </c>
      <c r="K1713" s="15" t="s">
        <v>40</v>
      </c>
      <c r="L1713" s="15" t="s">
        <v>41</v>
      </c>
      <c r="M1713" s="15" t="s">
        <v>565</v>
      </c>
      <c r="N1713" s="15" t="s">
        <v>566</v>
      </c>
      <c r="O1713" s="15" t="s">
        <v>44</v>
      </c>
      <c r="P1713" s="15" t="s">
        <v>7626</v>
      </c>
      <c r="Q1713" s="15" t="s">
        <v>7627</v>
      </c>
      <c r="R1713" s="16">
        <v>44329</v>
      </c>
      <c r="S1713" s="17" t="s">
        <v>9664</v>
      </c>
      <c r="T1713" s="20">
        <f>HYPERLINK("https://vnm.spiral.com.vn//uploaded/20210513/4db62b0c-963d-4c20-b52a-f56d3612d2b4.JPEG","07:36:42")</f>
      </c>
      <c r="U1713" s="20">
        <f>HYPERLINK("https://vnm.spiral.com.vn//uploaded/20210513/937eda34-23b0-40a7-bf35-d2063596efbf.JPEG","12:06:36")</f>
      </c>
      <c r="V1713" s="18">
        <v>0.18743055555555554</v>
      </c>
      <c r="W1713" s="15" t="s">
        <v>9921</v>
      </c>
      <c r="X1713" s="15" t="s">
        <v>9922</v>
      </c>
      <c r="Y1713" s="15" t="s">
        <v>35</v>
      </c>
      <c r="Z1713" s="19">
        <v>0</v>
      </c>
      <c r="AA1713" s="15">
        <v>0</v>
      </c>
      <c r="AB1713" s="15" t="s">
        <v>35</v>
      </c>
    </row>
    <row r="1714">
      <c r="A1714" s="15">
        <v>1710</v>
      </c>
      <c r="B1714" s="15" t="s">
        <v>103</v>
      </c>
      <c r="C1714" s="15" t="s">
        <v>1078</v>
      </c>
      <c r="D1714" s="15" t="s">
        <v>35</v>
      </c>
      <c r="E1714" s="15" t="s">
        <v>35</v>
      </c>
      <c r="F1714" s="15" t="s">
        <v>35</v>
      </c>
      <c r="G1714" s="15" t="s">
        <v>36</v>
      </c>
      <c r="H1714" s="15" t="s">
        <v>7004</v>
      </c>
      <c r="I1714" s="15" t="s">
        <v>7005</v>
      </c>
      <c r="J1714" s="15" t="s">
        <v>7006</v>
      </c>
      <c r="K1714" s="15" t="s">
        <v>40</v>
      </c>
      <c r="L1714" s="15" t="s">
        <v>41</v>
      </c>
      <c r="M1714" s="15" t="s">
        <v>565</v>
      </c>
      <c r="N1714" s="15" t="s">
        <v>566</v>
      </c>
      <c r="O1714" s="15" t="s">
        <v>44</v>
      </c>
      <c r="P1714" s="15" t="s">
        <v>7007</v>
      </c>
      <c r="Q1714" s="15" t="s">
        <v>7008</v>
      </c>
      <c r="R1714" s="16">
        <v>44329</v>
      </c>
      <c r="S1714" s="17" t="s">
        <v>317</v>
      </c>
      <c r="T1714" s="20">
        <f>HYPERLINK("https://vnm.spiral.com.vn//uploaded/20210513/6203a208-e065-4749-bc03-09e06a2684f6.JPEG","08:02:46")</f>
      </c>
      <c r="U1714" s="20">
        <f>HYPERLINK("https://vnm.spiral.com.vn//uploaded/20210513/3260b25f-54ff-47e3-ae06-dcc8b83c703a.JPEG","12:06:33")</f>
      </c>
      <c r="V1714" s="18">
        <v>0.16929398148148148</v>
      </c>
      <c r="W1714" s="15" t="s">
        <v>9923</v>
      </c>
      <c r="X1714" s="15" t="s">
        <v>9924</v>
      </c>
      <c r="Y1714" s="15" t="s">
        <v>35</v>
      </c>
      <c r="Z1714" s="19">
        <v>0</v>
      </c>
      <c r="AA1714" s="15">
        <v>0</v>
      </c>
      <c r="AB1714" s="15" t="s">
        <v>35</v>
      </c>
    </row>
    <row r="1715">
      <c r="A1715" s="15">
        <v>1711</v>
      </c>
      <c r="B1715" s="15" t="s">
        <v>87</v>
      </c>
      <c r="C1715" s="15" t="s">
        <v>88</v>
      </c>
      <c r="D1715" s="15" t="s">
        <v>35</v>
      </c>
      <c r="E1715" s="15" t="s">
        <v>35</v>
      </c>
      <c r="F1715" s="15" t="s">
        <v>2789</v>
      </c>
      <c r="G1715" s="15" t="s">
        <v>36</v>
      </c>
      <c r="H1715" s="15" t="s">
        <v>5866</v>
      </c>
      <c r="I1715" s="15" t="s">
        <v>5867</v>
      </c>
      <c r="J1715" s="15" t="s">
        <v>5868</v>
      </c>
      <c r="K1715" s="15" t="s">
        <v>40</v>
      </c>
      <c r="L1715" s="15" t="s">
        <v>41</v>
      </c>
      <c r="M1715" s="15" t="s">
        <v>289</v>
      </c>
      <c r="N1715" s="15" t="s">
        <v>290</v>
      </c>
      <c r="O1715" s="15" t="s">
        <v>44</v>
      </c>
      <c r="P1715" s="15" t="s">
        <v>5869</v>
      </c>
      <c r="Q1715" s="15" t="s">
        <v>5870</v>
      </c>
      <c r="R1715" s="16">
        <v>44329</v>
      </c>
      <c r="S1715" s="17" t="s">
        <v>9925</v>
      </c>
      <c r="T1715" s="20">
        <f>HYPERLINK("https://vnm.spiral.com.vn//uploaded/20210513/2F0724D2-FC6C-4A53-BFEB-742A4732259F.jpg","08:06:40")</f>
      </c>
      <c r="U1715" s="20">
        <f>HYPERLINK("https://vnm.spiral.com.vn//uploaded/20210513/63DBC33A-527E-493A-B08C-0A58759DB374.jpg","12:06:32")</f>
      </c>
      <c r="V1715" s="18">
        <v>0.16657407407407407</v>
      </c>
      <c r="W1715" s="15" t="s">
        <v>9926</v>
      </c>
      <c r="X1715" s="15" t="s">
        <v>9927</v>
      </c>
      <c r="Y1715" s="15" t="s">
        <v>35</v>
      </c>
      <c r="Z1715" s="19">
        <v>0</v>
      </c>
      <c r="AA1715" s="15">
        <v>0</v>
      </c>
      <c r="AB1715" s="15" t="s">
        <v>35</v>
      </c>
    </row>
    <row r="1716">
      <c r="A1716" s="15">
        <v>1712</v>
      </c>
      <c r="B1716" s="15" t="s">
        <v>343</v>
      </c>
      <c r="C1716" s="15" t="s">
        <v>344</v>
      </c>
      <c r="D1716" s="15" t="s">
        <v>35</v>
      </c>
      <c r="E1716" s="15" t="s">
        <v>35</v>
      </c>
      <c r="F1716" s="15" t="s">
        <v>35</v>
      </c>
      <c r="G1716" s="15" t="s">
        <v>36</v>
      </c>
      <c r="H1716" s="15" t="s">
        <v>6310</v>
      </c>
      <c r="I1716" s="15" t="s">
        <v>6311</v>
      </c>
      <c r="J1716" s="15" t="s">
        <v>6312</v>
      </c>
      <c r="K1716" s="15" t="s">
        <v>40</v>
      </c>
      <c r="L1716" s="15" t="s">
        <v>41</v>
      </c>
      <c r="M1716" s="15" t="s">
        <v>595</v>
      </c>
      <c r="N1716" s="15" t="s">
        <v>596</v>
      </c>
      <c r="O1716" s="15" t="s">
        <v>44</v>
      </c>
      <c r="P1716" s="15" t="s">
        <v>6313</v>
      </c>
      <c r="Q1716" s="15" t="s">
        <v>6314</v>
      </c>
      <c r="R1716" s="16">
        <v>44329</v>
      </c>
      <c r="S1716" s="17" t="s">
        <v>317</v>
      </c>
      <c r="T1716" s="20">
        <f>HYPERLINK("https://vnm.spiral.com.vn//uploaded/20210513/a62a7313-9f0c-44e7-9104-a9f6db9898fe.JPEG","08:15:42")</f>
      </c>
      <c r="U1716" s="20">
        <f>HYPERLINK("https://vnm.spiral.com.vn//uploaded/20210513/c633956e-a629-4d90-a470-35e8750bb26c.JPEG","12:06:29")</f>
      </c>
      <c r="V1716" s="18">
        <v>0.1602662037037037</v>
      </c>
      <c r="W1716" s="15" t="s">
        <v>9928</v>
      </c>
      <c r="X1716" s="15" t="s">
        <v>9929</v>
      </c>
      <c r="Y1716" s="15" t="s">
        <v>35</v>
      </c>
      <c r="Z1716" s="19">
        <v>0</v>
      </c>
      <c r="AA1716" s="15">
        <v>0</v>
      </c>
      <c r="AB1716" s="15" t="s">
        <v>35</v>
      </c>
    </row>
    <row r="1717">
      <c r="A1717" s="15">
        <v>1713</v>
      </c>
      <c r="B1717" s="15" t="s">
        <v>87</v>
      </c>
      <c r="C1717" s="15" t="s">
        <v>88</v>
      </c>
      <c r="D1717" s="15" t="s">
        <v>35</v>
      </c>
      <c r="E1717" s="15" t="s">
        <v>35</v>
      </c>
      <c r="F1717" s="15" t="s">
        <v>1191</v>
      </c>
      <c r="G1717" s="15" t="s">
        <v>36</v>
      </c>
      <c r="H1717" s="15" t="s">
        <v>1192</v>
      </c>
      <c r="I1717" s="15" t="s">
        <v>1193</v>
      </c>
      <c r="J1717" s="15" t="s">
        <v>1194</v>
      </c>
      <c r="K1717" s="15" t="s">
        <v>40</v>
      </c>
      <c r="L1717" s="15" t="s">
        <v>41</v>
      </c>
      <c r="M1717" s="15" t="s">
        <v>1195</v>
      </c>
      <c r="N1717" s="15" t="s">
        <v>1196</v>
      </c>
      <c r="O1717" s="15" t="s">
        <v>44</v>
      </c>
      <c r="P1717" s="15" t="s">
        <v>1197</v>
      </c>
      <c r="Q1717" s="15" t="s">
        <v>1198</v>
      </c>
      <c r="R1717" s="16">
        <v>44329</v>
      </c>
      <c r="S1717" s="17" t="s">
        <v>317</v>
      </c>
      <c r="T1717" s="20">
        <f>HYPERLINK("https://vnm.spiral.com.vn//uploaded/20210513/552827DB-1207-4D6B-A19E-0070E6061929.jpg","08:09:13")</f>
      </c>
      <c r="U1717" s="20">
        <f>HYPERLINK("https://vnm.spiral.com.vn//uploaded/20210513/2EB9BA98-234B-4D5B-AF9D-EB9FCBE61FA5.jpg","12:06:23")</f>
      </c>
      <c r="V1717" s="18">
        <v>0.16469907407407408</v>
      </c>
      <c r="W1717" s="15" t="s">
        <v>9930</v>
      </c>
      <c r="X1717" s="15" t="s">
        <v>9931</v>
      </c>
      <c r="Y1717" s="15" t="s">
        <v>35</v>
      </c>
      <c r="Z1717" s="19">
        <v>0</v>
      </c>
      <c r="AA1717" s="15">
        <v>0</v>
      </c>
      <c r="AB1717" s="15" t="s">
        <v>35</v>
      </c>
    </row>
    <row r="1718">
      <c r="A1718" s="15">
        <v>1714</v>
      </c>
      <c r="B1718" s="15" t="s">
        <v>49</v>
      </c>
      <c r="C1718" s="15" t="s">
        <v>162</v>
      </c>
      <c r="D1718" s="15" t="s">
        <v>35</v>
      </c>
      <c r="E1718" s="15" t="s">
        <v>35</v>
      </c>
      <c r="F1718" s="15" t="s">
        <v>833</v>
      </c>
      <c r="G1718" s="15" t="s">
        <v>36</v>
      </c>
      <c r="H1718" s="15" t="s">
        <v>8226</v>
      </c>
      <c r="I1718" s="15" t="s">
        <v>8227</v>
      </c>
      <c r="J1718" s="15" t="s">
        <v>8228</v>
      </c>
      <c r="K1718" s="15" t="s">
        <v>40</v>
      </c>
      <c r="L1718" s="15" t="s">
        <v>41</v>
      </c>
      <c r="M1718" s="15" t="s">
        <v>55</v>
      </c>
      <c r="N1718" s="15" t="s">
        <v>56</v>
      </c>
      <c r="O1718" s="15" t="s">
        <v>44</v>
      </c>
      <c r="P1718" s="15" t="s">
        <v>8229</v>
      </c>
      <c r="Q1718" s="15" t="s">
        <v>8230</v>
      </c>
      <c r="R1718" s="16">
        <v>44329</v>
      </c>
      <c r="S1718" s="17" t="s">
        <v>317</v>
      </c>
      <c r="T1718" s="20">
        <f>HYPERLINK("https://vnm.spiral.com.vn//uploaded/20210513/38dd87f0-976c-405e-8f98-4055bdfbd459.JPEG","08:00:20")</f>
      </c>
      <c r="U1718" s="20">
        <f>HYPERLINK("https://vnm.spiral.com.vn//uploaded/20210513/1d953fc5-8cbb-42da-bbe2-1f399302a95d.JPEG","12:06:19")</f>
      </c>
      <c r="V1718" s="18">
        <v>0.17082175925925927</v>
      </c>
      <c r="W1718" s="15" t="s">
        <v>9932</v>
      </c>
      <c r="X1718" s="15" t="s">
        <v>9933</v>
      </c>
      <c r="Y1718" s="15" t="s">
        <v>35</v>
      </c>
      <c r="Z1718" s="19">
        <v>0</v>
      </c>
      <c r="AA1718" s="15">
        <v>0</v>
      </c>
      <c r="AB1718" s="15" t="s">
        <v>35</v>
      </c>
    </row>
    <row r="1719">
      <c r="A1719" s="15">
        <v>1715</v>
      </c>
      <c r="B1719" s="15" t="s">
        <v>61</v>
      </c>
      <c r="C1719" s="15" t="s">
        <v>442</v>
      </c>
      <c r="D1719" s="15" t="s">
        <v>135</v>
      </c>
      <c r="E1719" s="15" t="s">
        <v>116</v>
      </c>
      <c r="F1719" s="15" t="s">
        <v>35</v>
      </c>
      <c r="G1719" s="15" t="s">
        <v>74</v>
      </c>
      <c r="H1719" s="15" t="s">
        <v>9934</v>
      </c>
      <c r="I1719" s="15" t="s">
        <v>9935</v>
      </c>
      <c r="J1719" s="15" t="s">
        <v>9936</v>
      </c>
      <c r="K1719" s="15" t="s">
        <v>152</v>
      </c>
      <c r="L1719" s="15" t="s">
        <v>153</v>
      </c>
      <c r="M1719" s="15" t="s">
        <v>232</v>
      </c>
      <c r="N1719" s="15" t="s">
        <v>233</v>
      </c>
      <c r="O1719" s="15" t="s">
        <v>82</v>
      </c>
      <c r="P1719" s="15" t="s">
        <v>446</v>
      </c>
      <c r="Q1719" s="15" t="s">
        <v>447</v>
      </c>
      <c r="R1719" s="16">
        <v>44329</v>
      </c>
      <c r="S1719" s="17" t="s">
        <v>70</v>
      </c>
      <c r="T1719" s="20">
        <f>HYPERLINK("https://vnm.spiral.com.vn//uploaded/20210513/81ec9279-f704-41bd-ae6c-21b70a89df6e.JPEG","10:31:50")</f>
      </c>
      <c r="U1719" s="20">
        <f>HYPERLINK("https://vnm.spiral.com.vn//uploaded/20210513/805c173c-90ea-4081-89b2-b39c2a72e52e.JPEG","12:06:19")</f>
      </c>
      <c r="V1719" s="18">
        <v>0.06561342592592592</v>
      </c>
      <c r="W1719" s="15" t="s">
        <v>9937</v>
      </c>
      <c r="X1719" s="15" t="s">
        <v>9938</v>
      </c>
      <c r="Y1719" s="15" t="s">
        <v>35</v>
      </c>
      <c r="Z1719" s="19">
        <v>0</v>
      </c>
      <c r="AA1719" s="15">
        <v>0</v>
      </c>
      <c r="AB1719" s="15" t="s">
        <v>35</v>
      </c>
    </row>
    <row r="1720">
      <c r="A1720" s="15">
        <v>1716</v>
      </c>
      <c r="B1720" s="15" t="s">
        <v>103</v>
      </c>
      <c r="C1720" s="15" t="s">
        <v>104</v>
      </c>
      <c r="D1720" s="15" t="s">
        <v>35</v>
      </c>
      <c r="E1720" s="15" t="s">
        <v>35</v>
      </c>
      <c r="F1720" s="15" t="s">
        <v>35</v>
      </c>
      <c r="G1720" s="15" t="s">
        <v>36</v>
      </c>
      <c r="H1720" s="15" t="s">
        <v>3519</v>
      </c>
      <c r="I1720" s="15" t="s">
        <v>3520</v>
      </c>
      <c r="J1720" s="15" t="s">
        <v>3521</v>
      </c>
      <c r="K1720" s="15" t="s">
        <v>40</v>
      </c>
      <c r="L1720" s="15" t="s">
        <v>41</v>
      </c>
      <c r="M1720" s="15" t="s">
        <v>108</v>
      </c>
      <c r="N1720" s="15" t="s">
        <v>109</v>
      </c>
      <c r="O1720" s="15" t="s">
        <v>44</v>
      </c>
      <c r="P1720" s="15" t="s">
        <v>3522</v>
      </c>
      <c r="Q1720" s="15" t="s">
        <v>3523</v>
      </c>
      <c r="R1720" s="16">
        <v>44329</v>
      </c>
      <c r="S1720" s="17" t="s">
        <v>9925</v>
      </c>
      <c r="T1720" s="20">
        <f>HYPERLINK("https://vnm.spiral.com.vn//uploaded/20210513/a1cf4eb8-0057-4fca-b872-9925ab5d4e40.JPEG","08:29:50")</f>
      </c>
      <c r="U1720" s="20">
        <f>HYPERLINK("https://vnm.spiral.com.vn//uploaded/20210513/7f4f98ff-79fd-455f-8d5b-582840a58593.JPEG","12:06:16")</f>
      </c>
      <c r="V1720" s="18">
        <v>0.15030092592592592</v>
      </c>
      <c r="W1720" s="15" t="s">
        <v>9939</v>
      </c>
      <c r="X1720" s="15" t="s">
        <v>9940</v>
      </c>
      <c r="Y1720" s="15" t="s">
        <v>35</v>
      </c>
      <c r="Z1720" s="19">
        <v>0</v>
      </c>
      <c r="AA1720" s="15">
        <v>0</v>
      </c>
      <c r="AB1720" s="15" t="s">
        <v>35</v>
      </c>
    </row>
    <row r="1721">
      <c r="A1721" s="15">
        <v>1717</v>
      </c>
      <c r="B1721" s="15" t="s">
        <v>49</v>
      </c>
      <c r="C1721" s="15" t="s">
        <v>468</v>
      </c>
      <c r="D1721" s="15" t="s">
        <v>35</v>
      </c>
      <c r="E1721" s="15" t="s">
        <v>35</v>
      </c>
      <c r="F1721" s="15" t="s">
        <v>469</v>
      </c>
      <c r="G1721" s="15" t="s">
        <v>36</v>
      </c>
      <c r="H1721" s="15" t="s">
        <v>9941</v>
      </c>
      <c r="I1721" s="15" t="s">
        <v>9942</v>
      </c>
      <c r="J1721" s="15" t="s">
        <v>9943</v>
      </c>
      <c r="K1721" s="15" t="s">
        <v>40</v>
      </c>
      <c r="L1721" s="15" t="s">
        <v>41</v>
      </c>
      <c r="M1721" s="15" t="s">
        <v>55</v>
      </c>
      <c r="N1721" s="15" t="s">
        <v>56</v>
      </c>
      <c r="O1721" s="15" t="s">
        <v>44</v>
      </c>
      <c r="P1721" s="15" t="s">
        <v>9944</v>
      </c>
      <c r="Q1721" s="15" t="s">
        <v>9945</v>
      </c>
      <c r="R1721" s="16">
        <v>44329</v>
      </c>
      <c r="S1721" s="17" t="s">
        <v>9063</v>
      </c>
      <c r="T1721" s="20">
        <f>HYPERLINK("https://vnm.spiral.com.vn//uploaded/20210513/fc17b78e-548f-4c2b-b0c8-7da95da59039.JPEG","12:06:15")</f>
      </c>
      <c r="U1721" s="18"/>
      <c r="V1721" s="18" t="s">
        <v>35</v>
      </c>
      <c r="W1721" s="15" t="s">
        <v>9946</v>
      </c>
      <c r="X1721" s="15" t="s">
        <v>35</v>
      </c>
      <c r="Y1721" s="15" t="s">
        <v>35</v>
      </c>
      <c r="Z1721" s="19">
        <v>0</v>
      </c>
      <c r="AA1721" s="15">
        <v>0</v>
      </c>
      <c r="AB1721" s="15" t="s">
        <v>35</v>
      </c>
    </row>
    <row r="1722">
      <c r="A1722" s="15">
        <v>1718</v>
      </c>
      <c r="B1722" s="15" t="s">
        <v>87</v>
      </c>
      <c r="C1722" s="15" t="s">
        <v>88</v>
      </c>
      <c r="D1722" s="15" t="s">
        <v>35</v>
      </c>
      <c r="E1722" s="15" t="s">
        <v>35</v>
      </c>
      <c r="F1722" s="15" t="s">
        <v>2077</v>
      </c>
      <c r="G1722" s="15" t="s">
        <v>36</v>
      </c>
      <c r="H1722" s="15" t="s">
        <v>6268</v>
      </c>
      <c r="I1722" s="15" t="s">
        <v>6269</v>
      </c>
      <c r="J1722" s="15" t="s">
        <v>6270</v>
      </c>
      <c r="K1722" s="15" t="s">
        <v>40</v>
      </c>
      <c r="L1722" s="15" t="s">
        <v>41</v>
      </c>
      <c r="M1722" s="15" t="s">
        <v>289</v>
      </c>
      <c r="N1722" s="15" t="s">
        <v>290</v>
      </c>
      <c r="O1722" s="15" t="s">
        <v>44</v>
      </c>
      <c r="P1722" s="15" t="s">
        <v>6271</v>
      </c>
      <c r="Q1722" s="15" t="s">
        <v>6272</v>
      </c>
      <c r="R1722" s="16">
        <v>44329</v>
      </c>
      <c r="S1722" s="17" t="s">
        <v>317</v>
      </c>
      <c r="T1722" s="20">
        <f>HYPERLINK("https://vnm.spiral.com.vn//uploaded/20210513/6304079B-D47F-4C23-B5AF-8E3C651DBF2C.jpg","08:07:02")</f>
      </c>
      <c r="U1722" s="20">
        <f>HYPERLINK("https://vnm.spiral.com.vn//uploaded/20210513/62F9CAF5-1DF4-4F54-8325-B42819842982.jpg","12:06:09")</f>
      </c>
      <c r="V1722" s="18">
        <v>0.16605324074074074</v>
      </c>
      <c r="W1722" s="15" t="s">
        <v>9947</v>
      </c>
      <c r="X1722" s="15" t="s">
        <v>9948</v>
      </c>
      <c r="Y1722" s="15" t="s">
        <v>35</v>
      </c>
      <c r="Z1722" s="19">
        <v>0</v>
      </c>
      <c r="AA1722" s="15">
        <v>0</v>
      </c>
      <c r="AB1722" s="15" t="s">
        <v>35</v>
      </c>
    </row>
    <row r="1723">
      <c r="A1723" s="15">
        <v>1719</v>
      </c>
      <c r="B1723" s="15" t="s">
        <v>103</v>
      </c>
      <c r="C1723" s="15" t="s">
        <v>104</v>
      </c>
      <c r="D1723" s="15" t="s">
        <v>35</v>
      </c>
      <c r="E1723" s="15" t="s">
        <v>35</v>
      </c>
      <c r="F1723" s="15" t="s">
        <v>7781</v>
      </c>
      <c r="G1723" s="15" t="s">
        <v>36</v>
      </c>
      <c r="H1723" s="15" t="s">
        <v>7782</v>
      </c>
      <c r="I1723" s="15" t="s">
        <v>7783</v>
      </c>
      <c r="J1723" s="15" t="s">
        <v>7784</v>
      </c>
      <c r="K1723" s="15" t="s">
        <v>40</v>
      </c>
      <c r="L1723" s="15" t="s">
        <v>41</v>
      </c>
      <c r="M1723" s="15" t="s">
        <v>108</v>
      </c>
      <c r="N1723" s="15" t="s">
        <v>109</v>
      </c>
      <c r="O1723" s="15" t="s">
        <v>44</v>
      </c>
      <c r="P1723" s="15" t="s">
        <v>7785</v>
      </c>
      <c r="Q1723" s="15" t="s">
        <v>7786</v>
      </c>
      <c r="R1723" s="16">
        <v>44329</v>
      </c>
      <c r="S1723" s="17" t="s">
        <v>9664</v>
      </c>
      <c r="T1723" s="20">
        <f>HYPERLINK("https://vnm.spiral.com.vn//uploaded/20210513/e62a7db7-0021-4be1-b4c8-7a627ccaa122.JPEG","07:29:29")</f>
      </c>
      <c r="U1723" s="20">
        <f>HYPERLINK("https://vnm.spiral.com.vn//uploaded/20210513/149068d1-024f-4108-8de4-0b9915918aa1.JPEG","12:06:09")</f>
      </c>
      <c r="V1723" s="18">
        <v>0.19212962962962962</v>
      </c>
      <c r="W1723" s="15" t="s">
        <v>9949</v>
      </c>
      <c r="X1723" s="15" t="s">
        <v>9950</v>
      </c>
      <c r="Y1723" s="15" t="s">
        <v>35</v>
      </c>
      <c r="Z1723" s="19">
        <v>0</v>
      </c>
      <c r="AA1723" s="15">
        <v>0</v>
      </c>
      <c r="AB1723" s="15" t="s">
        <v>35</v>
      </c>
    </row>
    <row r="1724">
      <c r="A1724" s="15">
        <v>1720</v>
      </c>
      <c r="B1724" s="15" t="s">
        <v>103</v>
      </c>
      <c r="C1724" s="15" t="s">
        <v>186</v>
      </c>
      <c r="D1724" s="15" t="s">
        <v>35</v>
      </c>
      <c r="E1724" s="15" t="s">
        <v>35</v>
      </c>
      <c r="F1724" s="15" t="s">
        <v>35</v>
      </c>
      <c r="G1724" s="15" t="s">
        <v>36</v>
      </c>
      <c r="H1724" s="15" t="s">
        <v>8365</v>
      </c>
      <c r="I1724" s="15" t="s">
        <v>8366</v>
      </c>
      <c r="J1724" s="15" t="s">
        <v>8367</v>
      </c>
      <c r="K1724" s="15" t="s">
        <v>40</v>
      </c>
      <c r="L1724" s="15" t="s">
        <v>41</v>
      </c>
      <c r="M1724" s="15" t="s">
        <v>565</v>
      </c>
      <c r="N1724" s="15" t="s">
        <v>566</v>
      </c>
      <c r="O1724" s="15" t="s">
        <v>44</v>
      </c>
      <c r="P1724" s="15" t="s">
        <v>8368</v>
      </c>
      <c r="Q1724" s="15" t="s">
        <v>8369</v>
      </c>
      <c r="R1724" s="16">
        <v>44329</v>
      </c>
      <c r="S1724" s="17" t="s">
        <v>317</v>
      </c>
      <c r="T1724" s="20">
        <f>HYPERLINK("https://vnm.spiral.com.vn//uploaded/20210513/91A0E347-7BFA-49A5-85B4-98CB21CE95C9.jpg","08:07:56")</f>
      </c>
      <c r="U1724" s="20">
        <f>HYPERLINK("https://vnm.spiral.com.vn//uploaded/20210513/C477630C-8BCC-4557-852C-4494566B19BA.jpg","12:06:07")</f>
      </c>
      <c r="V1724" s="18">
        <v>0.1654050925925926</v>
      </c>
      <c r="W1724" s="15" t="s">
        <v>9951</v>
      </c>
      <c r="X1724" s="15" t="s">
        <v>9952</v>
      </c>
      <c r="Y1724" s="15" t="s">
        <v>35</v>
      </c>
      <c r="Z1724" s="19">
        <v>0</v>
      </c>
      <c r="AA1724" s="15">
        <v>0</v>
      </c>
      <c r="AB1724" s="15" t="s">
        <v>35</v>
      </c>
    </row>
    <row r="1725">
      <c r="A1725" s="15">
        <v>1721</v>
      </c>
      <c r="B1725" s="15" t="s">
        <v>49</v>
      </c>
      <c r="C1725" s="15" t="s">
        <v>468</v>
      </c>
      <c r="D1725" s="15" t="s">
        <v>35</v>
      </c>
      <c r="E1725" s="15" t="s">
        <v>35</v>
      </c>
      <c r="F1725" s="15" t="s">
        <v>469</v>
      </c>
      <c r="G1725" s="15" t="s">
        <v>36</v>
      </c>
      <c r="H1725" s="15" t="s">
        <v>9941</v>
      </c>
      <c r="I1725" s="15" t="s">
        <v>9942</v>
      </c>
      <c r="J1725" s="15" t="s">
        <v>9943</v>
      </c>
      <c r="K1725" s="15" t="s">
        <v>40</v>
      </c>
      <c r="L1725" s="15" t="s">
        <v>41</v>
      </c>
      <c r="M1725" s="15" t="s">
        <v>55</v>
      </c>
      <c r="N1725" s="15" t="s">
        <v>56</v>
      </c>
      <c r="O1725" s="15" t="s">
        <v>44</v>
      </c>
      <c r="P1725" s="15" t="s">
        <v>9944</v>
      </c>
      <c r="Q1725" s="15" t="s">
        <v>9945</v>
      </c>
      <c r="R1725" s="16">
        <v>44329</v>
      </c>
      <c r="S1725" s="17" t="s">
        <v>9925</v>
      </c>
      <c r="T1725" s="20">
        <f>HYPERLINK("https://vnm.spiral.com.vn//uploaded/20210513/8a9808ac-a4c0-43d7-871a-634540856ca5.JPEG","08:16:44")</f>
      </c>
      <c r="U1725" s="20">
        <f>HYPERLINK("https://vnm.spiral.com.vn//uploaded/20210513/f99b25b3-a3be-4f98-ac6a-3ff53e76d287.JPEG","12:05:58")</f>
      </c>
      <c r="V1725" s="18">
        <v>0.1591898148148148</v>
      </c>
      <c r="W1725" s="15" t="s">
        <v>9953</v>
      </c>
      <c r="X1725" s="15" t="s">
        <v>9954</v>
      </c>
      <c r="Y1725" s="15" t="s">
        <v>35</v>
      </c>
      <c r="Z1725" s="19">
        <v>0</v>
      </c>
      <c r="AA1725" s="15">
        <v>0</v>
      </c>
      <c r="AB1725" s="15" t="s">
        <v>35</v>
      </c>
    </row>
    <row r="1726">
      <c r="A1726" s="15">
        <v>1722</v>
      </c>
      <c r="B1726" s="15" t="s">
        <v>87</v>
      </c>
      <c r="C1726" s="15" t="s">
        <v>88</v>
      </c>
      <c r="D1726" s="15" t="s">
        <v>1910</v>
      </c>
      <c r="E1726" s="15" t="s">
        <v>1910</v>
      </c>
      <c r="F1726" s="15" t="s">
        <v>35</v>
      </c>
      <c r="G1726" s="15" t="s">
        <v>74</v>
      </c>
      <c r="H1726" s="15" t="s">
        <v>9955</v>
      </c>
      <c r="I1726" s="15" t="s">
        <v>9956</v>
      </c>
      <c r="J1726" s="15" t="s">
        <v>9957</v>
      </c>
      <c r="K1726" s="15" t="s">
        <v>888</v>
      </c>
      <c r="L1726" s="15" t="s">
        <v>889</v>
      </c>
      <c r="M1726" s="15" t="s">
        <v>890</v>
      </c>
      <c r="N1726" s="15" t="s">
        <v>891</v>
      </c>
      <c r="O1726" s="15" t="s">
        <v>82</v>
      </c>
      <c r="P1726" s="15" t="s">
        <v>2094</v>
      </c>
      <c r="Q1726" s="15" t="s">
        <v>2095</v>
      </c>
      <c r="R1726" s="16">
        <v>44329</v>
      </c>
      <c r="S1726" s="17" t="s">
        <v>70</v>
      </c>
      <c r="T1726" s="20">
        <f>HYPERLINK("https://vnm.spiral.com.vn//uploaded/20210513/81B53997-D080-48B1-85D7-8FF18684E516.jpg","11:34:03")</f>
      </c>
      <c r="U1726" s="20">
        <f>HYPERLINK("https://vnm.spiral.com.vn//uploaded/20210513/268197AF-D751-4223-B670-AC798A4C5D8E.jpg","12:05:58")</f>
      </c>
      <c r="V1726" s="18">
        <v>0.022164351851851852</v>
      </c>
      <c r="W1726" s="15" t="s">
        <v>9958</v>
      </c>
      <c r="X1726" s="15" t="s">
        <v>9959</v>
      </c>
      <c r="Y1726" s="15" t="s">
        <v>35</v>
      </c>
      <c r="Z1726" s="19">
        <v>0</v>
      </c>
      <c r="AA1726" s="15">
        <v>0</v>
      </c>
      <c r="AB1726" s="15" t="s">
        <v>35</v>
      </c>
    </row>
    <row r="1727">
      <c r="A1727" s="15">
        <v>1723</v>
      </c>
      <c r="B1727" s="15" t="s">
        <v>49</v>
      </c>
      <c r="C1727" s="15" t="s">
        <v>162</v>
      </c>
      <c r="D1727" s="15" t="s">
        <v>35</v>
      </c>
      <c r="E1727" s="15" t="s">
        <v>35</v>
      </c>
      <c r="F1727" s="15" t="s">
        <v>3675</v>
      </c>
      <c r="G1727" s="15" t="s">
        <v>36</v>
      </c>
      <c r="H1727" s="15" t="s">
        <v>7736</v>
      </c>
      <c r="I1727" s="15" t="s">
        <v>7737</v>
      </c>
      <c r="J1727" s="15" t="s">
        <v>7738</v>
      </c>
      <c r="K1727" s="15" t="s">
        <v>40</v>
      </c>
      <c r="L1727" s="15" t="s">
        <v>41</v>
      </c>
      <c r="M1727" s="15" t="s">
        <v>55</v>
      </c>
      <c r="N1727" s="15" t="s">
        <v>56</v>
      </c>
      <c r="O1727" s="15" t="s">
        <v>44</v>
      </c>
      <c r="P1727" s="15" t="s">
        <v>7739</v>
      </c>
      <c r="Q1727" s="15" t="s">
        <v>7740</v>
      </c>
      <c r="R1727" s="16">
        <v>44329</v>
      </c>
      <c r="S1727" s="17" t="s">
        <v>317</v>
      </c>
      <c r="T1727" s="20">
        <f>HYPERLINK("https://vnm.spiral.com.vn//uploaded/20210513/F5A1C94C-D84A-4FEB-ABF7-AED801D39FC0.jpg","08:00:59")</f>
      </c>
      <c r="U1727" s="20">
        <f>HYPERLINK("https://vnm.spiral.com.vn//uploaded/20210513/3AD7F132-70A3-4D98-9050-7E7E9FAD83D7.jpg","12:05:56")</f>
      </c>
      <c r="V1727" s="18">
        <v>0.17010416666666667</v>
      </c>
      <c r="W1727" s="15" t="s">
        <v>9960</v>
      </c>
      <c r="X1727" s="15" t="s">
        <v>9961</v>
      </c>
      <c r="Y1727" s="15" t="s">
        <v>35</v>
      </c>
      <c r="Z1727" s="19">
        <v>0</v>
      </c>
      <c r="AA1727" s="15">
        <v>0</v>
      </c>
      <c r="AB1727" s="15" t="s">
        <v>35</v>
      </c>
    </row>
    <row r="1728">
      <c r="A1728" s="15">
        <v>1724</v>
      </c>
      <c r="B1728" s="15" t="s">
        <v>87</v>
      </c>
      <c r="C1728" s="15" t="s">
        <v>88</v>
      </c>
      <c r="D1728" s="15" t="s">
        <v>35</v>
      </c>
      <c r="E1728" s="15" t="s">
        <v>35</v>
      </c>
      <c r="F1728" s="15" t="s">
        <v>2773</v>
      </c>
      <c r="G1728" s="15" t="s">
        <v>36</v>
      </c>
      <c r="H1728" s="15" t="s">
        <v>9962</v>
      </c>
      <c r="I1728" s="15" t="s">
        <v>9963</v>
      </c>
      <c r="J1728" s="15" t="s">
        <v>9964</v>
      </c>
      <c r="K1728" s="15" t="s">
        <v>40</v>
      </c>
      <c r="L1728" s="15" t="s">
        <v>41</v>
      </c>
      <c r="M1728" s="15" t="s">
        <v>810</v>
      </c>
      <c r="N1728" s="15" t="s">
        <v>811</v>
      </c>
      <c r="O1728" s="15" t="s">
        <v>44</v>
      </c>
      <c r="P1728" s="15" t="s">
        <v>9965</v>
      </c>
      <c r="Q1728" s="15" t="s">
        <v>9966</v>
      </c>
      <c r="R1728" s="16">
        <v>44329</v>
      </c>
      <c r="S1728" s="17" t="s">
        <v>6144</v>
      </c>
      <c r="T1728" s="20">
        <f>HYPERLINK("https://vnm.spiral.com.vn//uploaded/20210513/3403d47f-55d3-4e52-8ba0-8485bfe85f98.JPEG","12:05:55")</f>
      </c>
      <c r="U1728" s="18"/>
      <c r="V1728" s="18" t="s">
        <v>35</v>
      </c>
      <c r="W1728" s="15" t="s">
        <v>9967</v>
      </c>
      <c r="X1728" s="15" t="s">
        <v>35</v>
      </c>
      <c r="Y1728" s="15" t="s">
        <v>35</v>
      </c>
      <c r="Z1728" s="19">
        <v>0</v>
      </c>
      <c r="AA1728" s="15">
        <v>0</v>
      </c>
      <c r="AB1728" s="15" t="s">
        <v>35</v>
      </c>
    </row>
    <row r="1729">
      <c r="A1729" s="15">
        <v>1725</v>
      </c>
      <c r="B1729" s="15" t="s">
        <v>246</v>
      </c>
      <c r="C1729" s="15" t="s">
        <v>2845</v>
      </c>
      <c r="D1729" s="15" t="s">
        <v>35</v>
      </c>
      <c r="E1729" s="15" t="s">
        <v>35</v>
      </c>
      <c r="F1729" s="15" t="s">
        <v>4265</v>
      </c>
      <c r="G1729" s="15" t="s">
        <v>36</v>
      </c>
      <c r="H1729" s="15" t="s">
        <v>6524</v>
      </c>
      <c r="I1729" s="15" t="s">
        <v>6525</v>
      </c>
      <c r="J1729" s="15" t="s">
        <v>6526</v>
      </c>
      <c r="K1729" s="15" t="s">
        <v>40</v>
      </c>
      <c r="L1729" s="15" t="s">
        <v>41</v>
      </c>
      <c r="M1729" s="15" t="s">
        <v>252</v>
      </c>
      <c r="N1729" s="15" t="s">
        <v>253</v>
      </c>
      <c r="O1729" s="15" t="s">
        <v>44</v>
      </c>
      <c r="P1729" s="15" t="s">
        <v>6527</v>
      </c>
      <c r="Q1729" s="15" t="s">
        <v>6528</v>
      </c>
      <c r="R1729" s="16">
        <v>44329</v>
      </c>
      <c r="S1729" s="17" t="s">
        <v>317</v>
      </c>
      <c r="T1729" s="20">
        <f>HYPERLINK("https://vnm.spiral.com.vn//uploaded/20210513/6c8d667a-4690-4db4-bf69-21e8932731de.JPEG","08:03:54")</f>
      </c>
      <c r="U1729" s="20">
        <f>HYPERLINK("https://vnm.spiral.com.vn//uploaded/20210513/e0a7e593-1a8b-49ba-97c1-903dc6c876e5.JPEG","12:05:53")</f>
      </c>
      <c r="V1729" s="18">
        <v>0.16804398148148147</v>
      </c>
      <c r="W1729" s="15" t="s">
        <v>9968</v>
      </c>
      <c r="X1729" s="15" t="s">
        <v>9969</v>
      </c>
      <c r="Y1729" s="15" t="s">
        <v>35</v>
      </c>
      <c r="Z1729" s="19">
        <v>0</v>
      </c>
      <c r="AA1729" s="15">
        <v>0</v>
      </c>
      <c r="AB1729" s="15" t="s">
        <v>35</v>
      </c>
    </row>
    <row r="1730">
      <c r="A1730" s="15">
        <v>1726</v>
      </c>
      <c r="B1730" s="15" t="s">
        <v>87</v>
      </c>
      <c r="C1730" s="15" t="s">
        <v>88</v>
      </c>
      <c r="D1730" s="15" t="s">
        <v>135</v>
      </c>
      <c r="E1730" s="15" t="s">
        <v>116</v>
      </c>
      <c r="F1730" s="15" t="s">
        <v>35</v>
      </c>
      <c r="G1730" s="15" t="s">
        <v>74</v>
      </c>
      <c r="H1730" s="15" t="s">
        <v>9970</v>
      </c>
      <c r="I1730" s="15" t="s">
        <v>9971</v>
      </c>
      <c r="J1730" s="15" t="s">
        <v>9972</v>
      </c>
      <c r="K1730" s="15" t="s">
        <v>94</v>
      </c>
      <c r="L1730" s="15" t="s">
        <v>95</v>
      </c>
      <c r="M1730" s="15" t="s">
        <v>139</v>
      </c>
      <c r="N1730" s="15" t="s">
        <v>140</v>
      </c>
      <c r="O1730" s="15" t="s">
        <v>98</v>
      </c>
      <c r="P1730" s="15" t="s">
        <v>530</v>
      </c>
      <c r="Q1730" s="15" t="s">
        <v>531</v>
      </c>
      <c r="R1730" s="16">
        <v>44329</v>
      </c>
      <c r="S1730" s="17" t="s">
        <v>70</v>
      </c>
      <c r="T1730" s="20">
        <f>HYPERLINK("https://vnm.spiral.com.vn//uploaded/20210513/A4E24301-BBBF-44C3-ACD0-954DBE0AEE9B.jpg","11:40:47")</f>
      </c>
      <c r="U1730" s="20">
        <f>HYPERLINK("https://vnm.spiral.com.vn//uploaded/20210513/480799A8-4BCE-40AB-921D-126DC3983EDA.jpg","12:05:52")</f>
      </c>
      <c r="V1730" s="18">
        <v>0.017418981481481483</v>
      </c>
      <c r="W1730" s="15" t="s">
        <v>9973</v>
      </c>
      <c r="X1730" s="15" t="s">
        <v>9974</v>
      </c>
      <c r="Y1730" s="15" t="s">
        <v>35</v>
      </c>
      <c r="Z1730" s="19">
        <v>0</v>
      </c>
      <c r="AA1730" s="15">
        <v>0</v>
      </c>
      <c r="AB1730" s="15" t="s">
        <v>35</v>
      </c>
    </row>
    <row r="1731">
      <c r="A1731" s="15">
        <v>1727</v>
      </c>
      <c r="B1731" s="15" t="s">
        <v>246</v>
      </c>
      <c r="C1731" s="15" t="s">
        <v>864</v>
      </c>
      <c r="D1731" s="15" t="s">
        <v>35</v>
      </c>
      <c r="E1731" s="15" t="s">
        <v>35</v>
      </c>
      <c r="F1731" s="15" t="s">
        <v>1676</v>
      </c>
      <c r="G1731" s="15" t="s">
        <v>36</v>
      </c>
      <c r="H1731" s="15" t="s">
        <v>8763</v>
      </c>
      <c r="I1731" s="15" t="s">
        <v>2408</v>
      </c>
      <c r="J1731" s="15" t="s">
        <v>8764</v>
      </c>
      <c r="K1731" s="15" t="s">
        <v>40</v>
      </c>
      <c r="L1731" s="15" t="s">
        <v>41</v>
      </c>
      <c r="M1731" s="15" t="s">
        <v>252</v>
      </c>
      <c r="N1731" s="15" t="s">
        <v>253</v>
      </c>
      <c r="O1731" s="15" t="s">
        <v>44</v>
      </c>
      <c r="P1731" s="15" t="s">
        <v>8765</v>
      </c>
      <c r="Q1731" s="15" t="s">
        <v>3425</v>
      </c>
      <c r="R1731" s="16">
        <v>44329</v>
      </c>
      <c r="S1731" s="17" t="s">
        <v>317</v>
      </c>
      <c r="T1731" s="20">
        <f>HYPERLINK("https://vnm.spiral.com.vn//uploaded/20210513/baecfd14-68ff-4702-8d4e-4c5c736358f7.JPEG","08:03:59")</f>
      </c>
      <c r="U1731" s="20">
        <f>HYPERLINK("https://vnm.spiral.com.vn//uploaded/20210513/8cb5717d-6604-4b26-aecd-a30bd0e45b79.JPEG","12:05:49")</f>
      </c>
      <c r="V1731" s="18">
        <v>0.16793981481481482</v>
      </c>
      <c r="W1731" s="15" t="s">
        <v>9975</v>
      </c>
      <c r="X1731" s="15" t="s">
        <v>9976</v>
      </c>
      <c r="Y1731" s="15" t="s">
        <v>35</v>
      </c>
      <c r="Z1731" s="19">
        <v>0</v>
      </c>
      <c r="AA1731" s="15">
        <v>0</v>
      </c>
      <c r="AB1731" s="15" t="s">
        <v>35</v>
      </c>
    </row>
    <row r="1732">
      <c r="A1732" s="15">
        <v>1728</v>
      </c>
      <c r="B1732" s="15" t="s">
        <v>103</v>
      </c>
      <c r="C1732" s="15" t="s">
        <v>186</v>
      </c>
      <c r="D1732" s="15" t="s">
        <v>35</v>
      </c>
      <c r="E1732" s="15" t="s">
        <v>35</v>
      </c>
      <c r="F1732" s="15" t="s">
        <v>35</v>
      </c>
      <c r="G1732" s="15" t="s">
        <v>36</v>
      </c>
      <c r="H1732" s="15" t="s">
        <v>6518</v>
      </c>
      <c r="I1732" s="15" t="s">
        <v>6519</v>
      </c>
      <c r="J1732" s="15" t="s">
        <v>6520</v>
      </c>
      <c r="K1732" s="15" t="s">
        <v>40</v>
      </c>
      <c r="L1732" s="15" t="s">
        <v>41</v>
      </c>
      <c r="M1732" s="15" t="s">
        <v>565</v>
      </c>
      <c r="N1732" s="15" t="s">
        <v>566</v>
      </c>
      <c r="O1732" s="15" t="s">
        <v>44</v>
      </c>
      <c r="P1732" s="15" t="s">
        <v>6521</v>
      </c>
      <c r="Q1732" s="15" t="s">
        <v>6522</v>
      </c>
      <c r="R1732" s="16">
        <v>44329</v>
      </c>
      <c r="S1732" s="17" t="s">
        <v>317</v>
      </c>
      <c r="T1732" s="20">
        <f>HYPERLINK("https://vnm.spiral.com.vn//uploaded/20210513/1d2fbf87-fb01-4ec6-857b-39610f89e209.JPEG","08:17:04")</f>
      </c>
      <c r="U1732" s="20">
        <f>HYPERLINK("https://vnm.spiral.com.vn//uploaded/20210513/46a9af18-315a-4e8a-827c-cb039a5d5657.JPEG","12:05:47")</f>
      </c>
      <c r="V1732" s="18">
        <v>0.15883101851851852</v>
      </c>
      <c r="W1732" s="15" t="s">
        <v>9977</v>
      </c>
      <c r="X1732" s="15" t="s">
        <v>9978</v>
      </c>
      <c r="Y1732" s="15" t="s">
        <v>35</v>
      </c>
      <c r="Z1732" s="19">
        <v>0</v>
      </c>
      <c r="AA1732" s="15">
        <v>0</v>
      </c>
      <c r="AB1732" s="15" t="s">
        <v>35</v>
      </c>
    </row>
    <row r="1733">
      <c r="A1733" s="15">
        <v>1729</v>
      </c>
      <c r="B1733" s="15" t="s">
        <v>103</v>
      </c>
      <c r="C1733" s="15" t="s">
        <v>186</v>
      </c>
      <c r="D1733" s="15" t="s">
        <v>35</v>
      </c>
      <c r="E1733" s="15" t="s">
        <v>35</v>
      </c>
      <c r="F1733" s="15" t="s">
        <v>35</v>
      </c>
      <c r="G1733" s="15" t="s">
        <v>36</v>
      </c>
      <c r="H1733" s="15" t="s">
        <v>5801</v>
      </c>
      <c r="I1733" s="15" t="s">
        <v>5802</v>
      </c>
      <c r="J1733" s="15" t="s">
        <v>5803</v>
      </c>
      <c r="K1733" s="15" t="s">
        <v>40</v>
      </c>
      <c r="L1733" s="15" t="s">
        <v>41</v>
      </c>
      <c r="M1733" s="15" t="s">
        <v>565</v>
      </c>
      <c r="N1733" s="15" t="s">
        <v>566</v>
      </c>
      <c r="O1733" s="15" t="s">
        <v>44</v>
      </c>
      <c r="P1733" s="15" t="s">
        <v>5804</v>
      </c>
      <c r="Q1733" s="15" t="s">
        <v>5805</v>
      </c>
      <c r="R1733" s="16">
        <v>44329</v>
      </c>
      <c r="S1733" s="17" t="s">
        <v>317</v>
      </c>
      <c r="T1733" s="20">
        <f>HYPERLINK("https://vnm.spiral.com.vn//uploaded/20210513/8560962F-54E6-426B-9449-D9220DA534FC.jpg","07:59:43")</f>
      </c>
      <c r="U1733" s="20">
        <f>HYPERLINK("https://vnm.spiral.com.vn//uploaded/20210513/7976D004-6B3D-4E2B-88D3-8A4D3D73B026.jpg","12:05:46")</f>
      </c>
      <c r="V1733" s="18">
        <v>0.17086805555555556</v>
      </c>
      <c r="W1733" s="15" t="s">
        <v>9979</v>
      </c>
      <c r="X1733" s="15" t="s">
        <v>9980</v>
      </c>
      <c r="Y1733" s="15" t="s">
        <v>35</v>
      </c>
      <c r="Z1733" s="19">
        <v>0</v>
      </c>
      <c r="AA1733" s="15">
        <v>0</v>
      </c>
      <c r="AB1733" s="15" t="s">
        <v>35</v>
      </c>
    </row>
    <row r="1734">
      <c r="A1734" s="15">
        <v>1730</v>
      </c>
      <c r="B1734" s="15" t="s">
        <v>87</v>
      </c>
      <c r="C1734" s="15" t="s">
        <v>88</v>
      </c>
      <c r="D1734" s="15" t="s">
        <v>35</v>
      </c>
      <c r="E1734" s="15" t="s">
        <v>35</v>
      </c>
      <c r="F1734" s="15" t="s">
        <v>1091</v>
      </c>
      <c r="G1734" s="15" t="s">
        <v>36</v>
      </c>
      <c r="H1734" s="15" t="s">
        <v>9981</v>
      </c>
      <c r="I1734" s="15" t="s">
        <v>9982</v>
      </c>
      <c r="J1734" s="15" t="s">
        <v>9983</v>
      </c>
      <c r="K1734" s="15" t="s">
        <v>40</v>
      </c>
      <c r="L1734" s="15" t="s">
        <v>41</v>
      </c>
      <c r="M1734" s="15" t="s">
        <v>810</v>
      </c>
      <c r="N1734" s="15" t="s">
        <v>811</v>
      </c>
      <c r="O1734" s="15" t="s">
        <v>44</v>
      </c>
      <c r="P1734" s="15" t="s">
        <v>4488</v>
      </c>
      <c r="Q1734" s="15" t="s">
        <v>4489</v>
      </c>
      <c r="R1734" s="16">
        <v>44329</v>
      </c>
      <c r="S1734" s="17" t="s">
        <v>317</v>
      </c>
      <c r="T1734" s="20">
        <f>HYPERLINK("https://vnm.spiral.com.vn//uploaded/20210513/4E5031EA-074A-4460-ACE3-3141FC79FD75.jpg","07:59:17")</f>
      </c>
      <c r="U1734" s="20">
        <f>HYPERLINK("https://vnm.spiral.com.vn//uploaded/20210513/48644F23-83AA-4150-A56C-20644BD86D9F.jpg","12:05:42")</f>
      </c>
      <c r="V1734" s="18">
        <v>0.1711226851851852</v>
      </c>
      <c r="W1734" s="15" t="s">
        <v>9984</v>
      </c>
      <c r="X1734" s="15" t="s">
        <v>9985</v>
      </c>
      <c r="Y1734" s="15" t="s">
        <v>35</v>
      </c>
      <c r="Z1734" s="19">
        <v>0</v>
      </c>
      <c r="AA1734" s="15">
        <v>0</v>
      </c>
      <c r="AB1734" s="15" t="s">
        <v>35</v>
      </c>
    </row>
    <row r="1735">
      <c r="A1735" s="15">
        <v>1731</v>
      </c>
      <c r="B1735" s="15" t="s">
        <v>246</v>
      </c>
      <c r="C1735" s="15" t="s">
        <v>864</v>
      </c>
      <c r="D1735" s="15" t="s">
        <v>35</v>
      </c>
      <c r="E1735" s="15" t="s">
        <v>35</v>
      </c>
      <c r="F1735" s="15" t="s">
        <v>3410</v>
      </c>
      <c r="G1735" s="15" t="s">
        <v>36</v>
      </c>
      <c r="H1735" s="15" t="s">
        <v>6322</v>
      </c>
      <c r="I1735" s="15" t="s">
        <v>6323</v>
      </c>
      <c r="J1735" s="15" t="s">
        <v>6324</v>
      </c>
      <c r="K1735" s="15" t="s">
        <v>40</v>
      </c>
      <c r="L1735" s="15" t="s">
        <v>41</v>
      </c>
      <c r="M1735" s="15" t="s">
        <v>252</v>
      </c>
      <c r="N1735" s="15" t="s">
        <v>253</v>
      </c>
      <c r="O1735" s="15" t="s">
        <v>44</v>
      </c>
      <c r="P1735" s="15" t="s">
        <v>6325</v>
      </c>
      <c r="Q1735" s="15" t="s">
        <v>6326</v>
      </c>
      <c r="R1735" s="16">
        <v>44329</v>
      </c>
      <c r="S1735" s="17" t="s">
        <v>317</v>
      </c>
      <c r="T1735" s="20">
        <f>HYPERLINK("https://vnm.spiral.com.vn//uploaded/20210513/BC089E70-D006-46BD-BF68-08926F1CE52E.jpg","07:55:23")</f>
      </c>
      <c r="U1735" s="20">
        <f>HYPERLINK("https://vnm.spiral.com.vn//uploaded/20210513/3979476C-2687-43B6-8C9D-7F1949EA420B.jpg","12:05:36")</f>
      </c>
      <c r="V1735" s="18">
        <v>0.17376157407407408</v>
      </c>
      <c r="W1735" s="15" t="s">
        <v>9986</v>
      </c>
      <c r="X1735" s="15" t="s">
        <v>9987</v>
      </c>
      <c r="Y1735" s="15" t="s">
        <v>35</v>
      </c>
      <c r="Z1735" s="19">
        <v>0</v>
      </c>
      <c r="AA1735" s="15">
        <v>0</v>
      </c>
      <c r="AB1735" s="15" t="s">
        <v>35</v>
      </c>
    </row>
    <row r="1736">
      <c r="A1736" s="15">
        <v>1732</v>
      </c>
      <c r="B1736" s="15" t="s">
        <v>343</v>
      </c>
      <c r="C1736" s="15" t="s">
        <v>344</v>
      </c>
      <c r="D1736" s="15" t="s">
        <v>432</v>
      </c>
      <c r="E1736" s="15" t="s">
        <v>116</v>
      </c>
      <c r="F1736" s="15" t="s">
        <v>35</v>
      </c>
      <c r="G1736" s="15" t="s">
        <v>74</v>
      </c>
      <c r="H1736" s="15" t="s">
        <v>9988</v>
      </c>
      <c r="I1736" s="15" t="s">
        <v>9989</v>
      </c>
      <c r="J1736" s="15" t="s">
        <v>9990</v>
      </c>
      <c r="K1736" s="15" t="s">
        <v>1168</v>
      </c>
      <c r="L1736" s="15" t="s">
        <v>1169</v>
      </c>
      <c r="M1736" s="15" t="s">
        <v>1170</v>
      </c>
      <c r="N1736" s="15" t="s">
        <v>1171</v>
      </c>
      <c r="O1736" s="15" t="s">
        <v>82</v>
      </c>
      <c r="P1736" s="15" t="s">
        <v>1726</v>
      </c>
      <c r="Q1736" s="15" t="s">
        <v>1727</v>
      </c>
      <c r="R1736" s="16">
        <v>44329</v>
      </c>
      <c r="S1736" s="17" t="s">
        <v>70</v>
      </c>
      <c r="T1736" s="20">
        <f>HYPERLINK("https://vnm.spiral.com.vn//uploaded/20210513/6a00a778-97a0-4f55-b5a9-37b8ff41a217.JPEG","11:08:44")</f>
      </c>
      <c r="U1736" s="20">
        <f>HYPERLINK("https://vnm.spiral.com.vn//uploaded/20210513/9673a793-b07f-458b-b2ed-95934ac3c0ea.JPEG","12:05:32")</f>
      </c>
      <c r="V1736" s="18">
        <v>0.03944444444444444</v>
      </c>
      <c r="W1736" s="15" t="s">
        <v>9991</v>
      </c>
      <c r="X1736" s="15" t="s">
        <v>9992</v>
      </c>
      <c r="Y1736" s="15" t="s">
        <v>35</v>
      </c>
      <c r="Z1736" s="19">
        <v>0</v>
      </c>
      <c r="AA1736" s="15">
        <v>0</v>
      </c>
      <c r="AB1736" s="15" t="s">
        <v>35</v>
      </c>
    </row>
    <row r="1737">
      <c r="A1737" s="15">
        <v>1733</v>
      </c>
      <c r="B1737" s="15" t="s">
        <v>103</v>
      </c>
      <c r="C1737" s="15" t="s">
        <v>186</v>
      </c>
      <c r="D1737" s="15" t="s">
        <v>35</v>
      </c>
      <c r="E1737" s="15" t="s">
        <v>35</v>
      </c>
      <c r="F1737" s="15" t="s">
        <v>5564</v>
      </c>
      <c r="G1737" s="15" t="s">
        <v>36</v>
      </c>
      <c r="H1737" s="15" t="s">
        <v>7643</v>
      </c>
      <c r="I1737" s="15" t="s">
        <v>7644</v>
      </c>
      <c r="J1737" s="15" t="s">
        <v>7645</v>
      </c>
      <c r="K1737" s="15" t="s">
        <v>40</v>
      </c>
      <c r="L1737" s="15" t="s">
        <v>41</v>
      </c>
      <c r="M1737" s="15" t="s">
        <v>565</v>
      </c>
      <c r="N1737" s="15" t="s">
        <v>566</v>
      </c>
      <c r="O1737" s="15" t="s">
        <v>44</v>
      </c>
      <c r="P1737" s="15" t="s">
        <v>7646</v>
      </c>
      <c r="Q1737" s="15" t="s">
        <v>7647</v>
      </c>
      <c r="R1737" s="16">
        <v>44329</v>
      </c>
      <c r="S1737" s="17" t="s">
        <v>9664</v>
      </c>
      <c r="T1737" s="20">
        <f>HYPERLINK("https://vnm.spiral.com.vn//uploaded/20210513/6d016dd6-fb98-4abc-b5db-49cbbb86c5a5.JPEG","07:26:44")</f>
      </c>
      <c r="U1737" s="20">
        <f>HYPERLINK("https://vnm.spiral.com.vn//uploaded/20210513/b7ef1788-48ac-465e-b23b-b006995c286d.JPEG","12:05:27")</f>
      </c>
      <c r="V1737" s="18">
        <v>0.19355324074074073</v>
      </c>
      <c r="W1737" s="15" t="s">
        <v>9993</v>
      </c>
      <c r="X1737" s="15" t="s">
        <v>9994</v>
      </c>
      <c r="Y1737" s="15" t="s">
        <v>35</v>
      </c>
      <c r="Z1737" s="19">
        <v>0</v>
      </c>
      <c r="AA1737" s="15">
        <v>0</v>
      </c>
      <c r="AB1737" s="15" t="s">
        <v>35</v>
      </c>
    </row>
    <row r="1738">
      <c r="A1738" s="15">
        <v>1734</v>
      </c>
      <c r="B1738" s="15" t="s">
        <v>103</v>
      </c>
      <c r="C1738" s="15" t="s">
        <v>104</v>
      </c>
      <c r="D1738" s="15" t="s">
        <v>35</v>
      </c>
      <c r="E1738" s="15" t="s">
        <v>35</v>
      </c>
      <c r="F1738" s="15" t="s">
        <v>35</v>
      </c>
      <c r="G1738" s="15" t="s">
        <v>36</v>
      </c>
      <c r="H1738" s="15" t="s">
        <v>6632</v>
      </c>
      <c r="I1738" s="15" t="s">
        <v>6633</v>
      </c>
      <c r="J1738" s="15" t="s">
        <v>6634</v>
      </c>
      <c r="K1738" s="15" t="s">
        <v>40</v>
      </c>
      <c r="L1738" s="15" t="s">
        <v>41</v>
      </c>
      <c r="M1738" s="15" t="s">
        <v>108</v>
      </c>
      <c r="N1738" s="15" t="s">
        <v>109</v>
      </c>
      <c r="O1738" s="15" t="s">
        <v>44</v>
      </c>
      <c r="P1738" s="15" t="s">
        <v>6635</v>
      </c>
      <c r="Q1738" s="15" t="s">
        <v>6636</v>
      </c>
      <c r="R1738" s="16">
        <v>44329</v>
      </c>
      <c r="S1738" s="17" t="s">
        <v>317</v>
      </c>
      <c r="T1738" s="20">
        <f>HYPERLINK("https://vnm.spiral.com.vn//uploaded/20210513/AF3F9461-43E8-40EA-87E9-DF7B4CE700F2.jpg","08:00:30")</f>
      </c>
      <c r="U1738" s="20">
        <f>HYPERLINK("https://vnm.spiral.com.vn//uploaded/20210513/51859252-C353-4F55-B0B7-5864F8164892.jpg","12:05:21")</f>
      </c>
      <c r="V1738" s="18">
        <v>0.1700347222222222</v>
      </c>
      <c r="W1738" s="15" t="s">
        <v>9995</v>
      </c>
      <c r="X1738" s="15" t="s">
        <v>9996</v>
      </c>
      <c r="Y1738" s="15" t="s">
        <v>35</v>
      </c>
      <c r="Z1738" s="19">
        <v>0</v>
      </c>
      <c r="AA1738" s="15">
        <v>0</v>
      </c>
      <c r="AB1738" s="15" t="s">
        <v>35</v>
      </c>
    </row>
    <row r="1739">
      <c r="A1739" s="15">
        <v>1735</v>
      </c>
      <c r="B1739" s="15" t="s">
        <v>246</v>
      </c>
      <c r="C1739" s="15" t="s">
        <v>276</v>
      </c>
      <c r="D1739" s="15" t="s">
        <v>35</v>
      </c>
      <c r="E1739" s="15" t="s">
        <v>35</v>
      </c>
      <c r="F1739" s="15" t="s">
        <v>6817</v>
      </c>
      <c r="G1739" s="15" t="s">
        <v>36</v>
      </c>
      <c r="H1739" s="15" t="s">
        <v>7854</v>
      </c>
      <c r="I1739" s="15" t="s">
        <v>7855</v>
      </c>
      <c r="J1739" s="15" t="s">
        <v>7856</v>
      </c>
      <c r="K1739" s="15" t="s">
        <v>40</v>
      </c>
      <c r="L1739" s="15" t="s">
        <v>41</v>
      </c>
      <c r="M1739" s="15" t="s">
        <v>252</v>
      </c>
      <c r="N1739" s="15" t="s">
        <v>253</v>
      </c>
      <c r="O1739" s="15" t="s">
        <v>44</v>
      </c>
      <c r="P1739" s="15" t="s">
        <v>7857</v>
      </c>
      <c r="Q1739" s="15" t="s">
        <v>7858</v>
      </c>
      <c r="R1739" s="16">
        <v>44329</v>
      </c>
      <c r="S1739" s="17" t="s">
        <v>317</v>
      </c>
      <c r="T1739" s="20">
        <f>HYPERLINK("https://vnm.spiral.com.vn//uploaded/20210513/4D8EB3CB-344A-4CAC-831C-6B3FDA052C50.jpg","07:52:20")</f>
      </c>
      <c r="U1739" s="20">
        <f>HYPERLINK("https://vnm.spiral.com.vn//uploaded/20210513/0E7B9F43-8663-48B0-904B-B2E73DEA38B3.jpg","12:05:16")</f>
      </c>
      <c r="V1739" s="18">
        <v>0.17564814814814814</v>
      </c>
      <c r="W1739" s="15" t="s">
        <v>9997</v>
      </c>
      <c r="X1739" s="15" t="s">
        <v>9998</v>
      </c>
      <c r="Y1739" s="15" t="s">
        <v>35</v>
      </c>
      <c r="Z1739" s="19">
        <v>0</v>
      </c>
      <c r="AA1739" s="15">
        <v>0</v>
      </c>
      <c r="AB1739" s="15" t="s">
        <v>35</v>
      </c>
    </row>
    <row r="1740">
      <c r="A1740" s="15">
        <v>1736</v>
      </c>
      <c r="B1740" s="15" t="s">
        <v>103</v>
      </c>
      <c r="C1740" s="15" t="s">
        <v>186</v>
      </c>
      <c r="D1740" s="15" t="s">
        <v>35</v>
      </c>
      <c r="E1740" s="15" t="s">
        <v>35</v>
      </c>
      <c r="F1740" s="15" t="s">
        <v>35</v>
      </c>
      <c r="G1740" s="15" t="s">
        <v>36</v>
      </c>
      <c r="H1740" s="15" t="s">
        <v>7769</v>
      </c>
      <c r="I1740" s="15" t="s">
        <v>7770</v>
      </c>
      <c r="J1740" s="15" t="s">
        <v>7771</v>
      </c>
      <c r="K1740" s="15" t="s">
        <v>40</v>
      </c>
      <c r="L1740" s="15" t="s">
        <v>41</v>
      </c>
      <c r="M1740" s="15" t="s">
        <v>565</v>
      </c>
      <c r="N1740" s="15" t="s">
        <v>566</v>
      </c>
      <c r="O1740" s="15" t="s">
        <v>44</v>
      </c>
      <c r="P1740" s="15" t="s">
        <v>7772</v>
      </c>
      <c r="Q1740" s="15" t="s">
        <v>7773</v>
      </c>
      <c r="R1740" s="16">
        <v>44329</v>
      </c>
      <c r="S1740" s="17" t="s">
        <v>317</v>
      </c>
      <c r="T1740" s="20">
        <f>HYPERLINK("https://vnm.spiral.com.vn//uploaded/20210513/9F1B7906-DE60-4517-AE1E-4E296282A5F4.jpg","08:02:32")</f>
      </c>
      <c r="U1740" s="20">
        <f>HYPERLINK("https://vnm.spiral.com.vn//uploaded/20210513/1E979C77-7E89-4ACA-8D64-62FB899887DD.jpg","12:05:14")</f>
      </c>
      <c r="V1740" s="18">
        <v>0.16854166666666667</v>
      </c>
      <c r="W1740" s="15" t="s">
        <v>9999</v>
      </c>
      <c r="X1740" s="15" t="s">
        <v>10000</v>
      </c>
      <c r="Y1740" s="15" t="s">
        <v>35</v>
      </c>
      <c r="Z1740" s="19">
        <v>0</v>
      </c>
      <c r="AA1740" s="15">
        <v>0</v>
      </c>
      <c r="AB1740" s="15" t="s">
        <v>35</v>
      </c>
    </row>
    <row r="1741">
      <c r="A1741" s="15">
        <v>1737</v>
      </c>
      <c r="B1741" s="15" t="s">
        <v>33</v>
      </c>
      <c r="C1741" s="15" t="s">
        <v>34</v>
      </c>
      <c r="D1741" s="15" t="s">
        <v>35</v>
      </c>
      <c r="E1741" s="15" t="s">
        <v>35</v>
      </c>
      <c r="F1741" s="15" t="s">
        <v>35</v>
      </c>
      <c r="G1741" s="15" t="s">
        <v>36</v>
      </c>
      <c r="H1741" s="15" t="s">
        <v>37</v>
      </c>
      <c r="I1741" s="15" t="s">
        <v>38</v>
      </c>
      <c r="J1741" s="15" t="s">
        <v>39</v>
      </c>
      <c r="K1741" s="15" t="s">
        <v>40</v>
      </c>
      <c r="L1741" s="15" t="s">
        <v>41</v>
      </c>
      <c r="M1741" s="15" t="s">
        <v>42</v>
      </c>
      <c r="N1741" s="15" t="s">
        <v>43</v>
      </c>
      <c r="O1741" s="15" t="s">
        <v>44</v>
      </c>
      <c r="P1741" s="15" t="s">
        <v>45</v>
      </c>
      <c r="Q1741" s="15" t="s">
        <v>46</v>
      </c>
      <c r="R1741" s="16">
        <v>44329</v>
      </c>
      <c r="S1741" s="17" t="s">
        <v>317</v>
      </c>
      <c r="T1741" s="20">
        <f>HYPERLINK("https://vnm.spiral.com.vn//uploaded/20210513/4cfd606c-f113-4350-9993-8565cb8492b3.JPEG","08:07:38")</f>
      </c>
      <c r="U1741" s="20">
        <f>HYPERLINK("https://vnm.spiral.com.vn//uploaded/20210513/fe8dbcf0-f4bc-4921-997f-8b44b74471c3.JPEG","12:05:10")</f>
      </c>
      <c r="V1741" s="18">
        <v>0.1649537037037037</v>
      </c>
      <c r="W1741" s="15" t="s">
        <v>10001</v>
      </c>
      <c r="X1741" s="15" t="s">
        <v>10002</v>
      </c>
      <c r="Y1741" s="15" t="s">
        <v>35</v>
      </c>
      <c r="Z1741" s="19">
        <v>0</v>
      </c>
      <c r="AA1741" s="15">
        <v>0</v>
      </c>
      <c r="AB1741" s="15" t="s">
        <v>35</v>
      </c>
    </row>
    <row r="1742">
      <c r="A1742" s="15">
        <v>1738</v>
      </c>
      <c r="B1742" s="15" t="s">
        <v>246</v>
      </c>
      <c r="C1742" s="15" t="s">
        <v>247</v>
      </c>
      <c r="D1742" s="15" t="s">
        <v>35</v>
      </c>
      <c r="E1742" s="15" t="s">
        <v>35</v>
      </c>
      <c r="F1742" s="15" t="s">
        <v>35</v>
      </c>
      <c r="G1742" s="15" t="s">
        <v>35</v>
      </c>
      <c r="H1742" s="15" t="s">
        <v>6190</v>
      </c>
      <c r="I1742" s="15" t="s">
        <v>6191</v>
      </c>
      <c r="J1742" s="15" t="s">
        <v>6192</v>
      </c>
      <c r="K1742" s="15" t="s">
        <v>40</v>
      </c>
      <c r="L1742" s="15" t="s">
        <v>41</v>
      </c>
      <c r="M1742" s="15" t="s">
        <v>252</v>
      </c>
      <c r="N1742" s="15" t="s">
        <v>253</v>
      </c>
      <c r="O1742" s="15" t="s">
        <v>44</v>
      </c>
      <c r="P1742" s="15" t="s">
        <v>6193</v>
      </c>
      <c r="Q1742" s="15" t="s">
        <v>6194</v>
      </c>
      <c r="R1742" s="16">
        <v>44329</v>
      </c>
      <c r="S1742" s="17" t="s">
        <v>317</v>
      </c>
      <c r="T1742" s="20">
        <f>HYPERLINK("https://vnm.spiral.com.vn//uploaded/20210513/5298c8b5-97ec-47da-9743-1fc6df3d2ea8.JPEG","08:09:59")</f>
      </c>
      <c r="U1742" s="20">
        <f>HYPERLINK("https://vnm.spiral.com.vn//uploaded/20210513/ad25a992-0b1d-4886-a671-611e4e2d26eb.JPEG","12:05:08")</f>
      </c>
      <c r="V1742" s="18">
        <v>0.1632986111111111</v>
      </c>
      <c r="W1742" s="15" t="s">
        <v>10003</v>
      </c>
      <c r="X1742" s="15" t="s">
        <v>10004</v>
      </c>
      <c r="Y1742" s="15" t="s">
        <v>35</v>
      </c>
      <c r="Z1742" s="19">
        <v>0</v>
      </c>
      <c r="AA1742" s="15">
        <v>0</v>
      </c>
      <c r="AB1742" s="15" t="s">
        <v>35</v>
      </c>
    </row>
    <row r="1743">
      <c r="A1743" s="15">
        <v>1739</v>
      </c>
      <c r="B1743" s="15" t="s">
        <v>87</v>
      </c>
      <c r="C1743" s="15" t="s">
        <v>88</v>
      </c>
      <c r="D1743" s="15" t="s">
        <v>35</v>
      </c>
      <c r="E1743" s="15" t="s">
        <v>35</v>
      </c>
      <c r="F1743" s="15" t="s">
        <v>35</v>
      </c>
      <c r="G1743" s="15" t="s">
        <v>74</v>
      </c>
      <c r="H1743" s="15" t="s">
        <v>10005</v>
      </c>
      <c r="I1743" s="15" t="s">
        <v>10006</v>
      </c>
      <c r="J1743" s="15" t="s">
        <v>10007</v>
      </c>
      <c r="K1743" s="15" t="s">
        <v>888</v>
      </c>
      <c r="L1743" s="15" t="s">
        <v>889</v>
      </c>
      <c r="M1743" s="15" t="s">
        <v>924</v>
      </c>
      <c r="N1743" s="15" t="s">
        <v>925</v>
      </c>
      <c r="O1743" s="15" t="s">
        <v>82</v>
      </c>
      <c r="P1743" s="15" t="s">
        <v>926</v>
      </c>
      <c r="Q1743" s="15" t="s">
        <v>927</v>
      </c>
      <c r="R1743" s="16">
        <v>44329</v>
      </c>
      <c r="S1743" s="17" t="s">
        <v>70</v>
      </c>
      <c r="T1743" s="20">
        <f>HYPERLINK("https://vnm.spiral.com.vn//uploaded/20210513/1DBB9EDE-F790-4A6C-8FAD-96B079018EDD.jpg","11:35:10")</f>
      </c>
      <c r="U1743" s="20">
        <f>HYPERLINK("https://vnm.spiral.com.vn//uploaded/20210513/B5A89D86-E295-486C-B0D3-4A8467658A94.jpg","12:05:01")</f>
      </c>
      <c r="V1743" s="18">
        <v>0.020729166666666667</v>
      </c>
      <c r="W1743" s="15" t="s">
        <v>10008</v>
      </c>
      <c r="X1743" s="15" t="s">
        <v>10009</v>
      </c>
      <c r="Y1743" s="15" t="s">
        <v>35</v>
      </c>
      <c r="Z1743" s="19">
        <v>0</v>
      </c>
      <c r="AA1743" s="15">
        <v>0</v>
      </c>
      <c r="AB1743" s="15" t="s">
        <v>35</v>
      </c>
    </row>
    <row r="1744">
      <c r="A1744" s="15">
        <v>1740</v>
      </c>
      <c r="B1744" s="15" t="s">
        <v>103</v>
      </c>
      <c r="C1744" s="15" t="s">
        <v>186</v>
      </c>
      <c r="D1744" s="15" t="s">
        <v>35</v>
      </c>
      <c r="E1744" s="15" t="s">
        <v>35</v>
      </c>
      <c r="F1744" s="15" t="s">
        <v>35</v>
      </c>
      <c r="G1744" s="15" t="s">
        <v>36</v>
      </c>
      <c r="H1744" s="15" t="s">
        <v>7918</v>
      </c>
      <c r="I1744" s="15" t="s">
        <v>7919</v>
      </c>
      <c r="J1744" s="15" t="s">
        <v>7920</v>
      </c>
      <c r="K1744" s="15" t="s">
        <v>40</v>
      </c>
      <c r="L1744" s="15" t="s">
        <v>41</v>
      </c>
      <c r="M1744" s="15" t="s">
        <v>565</v>
      </c>
      <c r="N1744" s="15" t="s">
        <v>566</v>
      </c>
      <c r="O1744" s="15" t="s">
        <v>44</v>
      </c>
      <c r="P1744" s="15" t="s">
        <v>7921</v>
      </c>
      <c r="Q1744" s="15" t="s">
        <v>7922</v>
      </c>
      <c r="R1744" s="16">
        <v>44329</v>
      </c>
      <c r="S1744" s="17" t="s">
        <v>317</v>
      </c>
      <c r="T1744" s="20">
        <f>HYPERLINK("https://vnm.spiral.com.vn//uploaded/20210513/C38B0290-6B83-4F49-B123-0755076FBAA6.jpg","08:19:48")</f>
      </c>
      <c r="U1744" s="20">
        <f>HYPERLINK("https://vnm.spiral.com.vn//uploaded/20210513/B42CB5C6-88E2-49AE-8E3A-A94651BC5A91.jpg","12:04:46")</f>
      </c>
      <c r="V1744" s="18">
        <v>0.15622685185185184</v>
      </c>
      <c r="W1744" s="15" t="s">
        <v>10010</v>
      </c>
      <c r="X1744" s="15" t="s">
        <v>10011</v>
      </c>
      <c r="Y1744" s="15" t="s">
        <v>35</v>
      </c>
      <c r="Z1744" s="19">
        <v>0</v>
      </c>
      <c r="AA1744" s="15">
        <v>0</v>
      </c>
      <c r="AB1744" s="15" t="s">
        <v>35</v>
      </c>
    </row>
    <row r="1745">
      <c r="A1745" s="15">
        <v>1741</v>
      </c>
      <c r="B1745" s="15" t="s">
        <v>61</v>
      </c>
      <c r="C1745" s="15" t="s">
        <v>320</v>
      </c>
      <c r="D1745" s="15" t="s">
        <v>35</v>
      </c>
      <c r="E1745" s="15" t="s">
        <v>35</v>
      </c>
      <c r="F1745" s="15" t="s">
        <v>35</v>
      </c>
      <c r="G1745" s="15" t="s">
        <v>36</v>
      </c>
      <c r="H1745" s="15" t="s">
        <v>6919</v>
      </c>
      <c r="I1745" s="15" t="s">
        <v>6920</v>
      </c>
      <c r="J1745" s="15" t="s">
        <v>6921</v>
      </c>
      <c r="K1745" s="15" t="s">
        <v>40</v>
      </c>
      <c r="L1745" s="15" t="s">
        <v>41</v>
      </c>
      <c r="M1745" s="15" t="s">
        <v>205</v>
      </c>
      <c r="N1745" s="15" t="s">
        <v>206</v>
      </c>
      <c r="O1745" s="15" t="s">
        <v>44</v>
      </c>
      <c r="P1745" s="15" t="s">
        <v>6922</v>
      </c>
      <c r="Q1745" s="15" t="s">
        <v>6923</v>
      </c>
      <c r="R1745" s="16">
        <v>44329</v>
      </c>
      <c r="S1745" s="17" t="s">
        <v>317</v>
      </c>
      <c r="T1745" s="20">
        <f>HYPERLINK("https://vnm.spiral.com.vn//uploaded/20210513/fa240b24-3cb4-4329-b013-c7db91aa2e6b.JPEG","08:00:40")</f>
      </c>
      <c r="U1745" s="20">
        <f>HYPERLINK("https://vnm.spiral.com.vn//uploaded/20210513/ec99751b-ed0b-4434-8293-c4d26e8ea3f6.JPEG","12:04:44")</f>
      </c>
      <c r="V1745" s="18">
        <v>0.16949074074074075</v>
      </c>
      <c r="W1745" s="15" t="s">
        <v>10012</v>
      </c>
      <c r="X1745" s="15" t="s">
        <v>10013</v>
      </c>
      <c r="Y1745" s="15" t="s">
        <v>35</v>
      </c>
      <c r="Z1745" s="19">
        <v>0</v>
      </c>
      <c r="AA1745" s="15">
        <v>0</v>
      </c>
      <c r="AB1745" s="15" t="s">
        <v>35</v>
      </c>
    </row>
    <row r="1746">
      <c r="A1746" s="15">
        <v>1742</v>
      </c>
      <c r="B1746" s="15" t="s">
        <v>103</v>
      </c>
      <c r="C1746" s="15" t="s">
        <v>186</v>
      </c>
      <c r="D1746" s="15" t="s">
        <v>35</v>
      </c>
      <c r="E1746" s="15" t="s">
        <v>35</v>
      </c>
      <c r="F1746" s="15" t="s">
        <v>35</v>
      </c>
      <c r="G1746" s="15" t="s">
        <v>36</v>
      </c>
      <c r="H1746" s="15" t="s">
        <v>6925</v>
      </c>
      <c r="I1746" s="15" t="s">
        <v>6926</v>
      </c>
      <c r="J1746" s="15" t="s">
        <v>6927</v>
      </c>
      <c r="K1746" s="15" t="s">
        <v>40</v>
      </c>
      <c r="L1746" s="15" t="s">
        <v>41</v>
      </c>
      <c r="M1746" s="15" t="s">
        <v>565</v>
      </c>
      <c r="N1746" s="15" t="s">
        <v>566</v>
      </c>
      <c r="O1746" s="15" t="s">
        <v>44</v>
      </c>
      <c r="P1746" s="15" t="s">
        <v>6928</v>
      </c>
      <c r="Q1746" s="15" t="s">
        <v>6929</v>
      </c>
      <c r="R1746" s="16">
        <v>44329</v>
      </c>
      <c r="S1746" s="17" t="s">
        <v>317</v>
      </c>
      <c r="T1746" s="20">
        <f>HYPERLINK("https://vnm.spiral.com.vn//uploaded/20210513/F5FF2871-1D47-442D-886E-73AB72EFB878.jpg","07:56:07")</f>
      </c>
      <c r="U1746" s="20">
        <f>HYPERLINK("https://vnm.spiral.com.vn//uploaded/20210513/7E827E12-61A3-4410-9AE8-2ACA9ED2262D.jpg","12:04:43")</f>
      </c>
      <c r="V1746" s="18">
        <v>0.1726388888888889</v>
      </c>
      <c r="W1746" s="15" t="s">
        <v>10014</v>
      </c>
      <c r="X1746" s="15" t="s">
        <v>10015</v>
      </c>
      <c r="Y1746" s="15" t="s">
        <v>35</v>
      </c>
      <c r="Z1746" s="19">
        <v>0</v>
      </c>
      <c r="AA1746" s="15">
        <v>0</v>
      </c>
      <c r="AB1746" s="15" t="s">
        <v>35</v>
      </c>
    </row>
    <row r="1747">
      <c r="A1747" s="15">
        <v>1743</v>
      </c>
      <c r="B1747" s="15" t="s">
        <v>246</v>
      </c>
      <c r="C1747" s="15" t="s">
        <v>782</v>
      </c>
      <c r="D1747" s="15" t="s">
        <v>35</v>
      </c>
      <c r="E1747" s="15" t="s">
        <v>35</v>
      </c>
      <c r="F1747" s="15" t="s">
        <v>5859</v>
      </c>
      <c r="G1747" s="15" t="s">
        <v>36</v>
      </c>
      <c r="H1747" s="15" t="s">
        <v>6660</v>
      </c>
      <c r="I1747" s="15" t="s">
        <v>6661</v>
      </c>
      <c r="J1747" s="15" t="s">
        <v>6662</v>
      </c>
      <c r="K1747" s="15" t="s">
        <v>40</v>
      </c>
      <c r="L1747" s="15" t="s">
        <v>41</v>
      </c>
      <c r="M1747" s="15" t="s">
        <v>252</v>
      </c>
      <c r="N1747" s="15" t="s">
        <v>253</v>
      </c>
      <c r="O1747" s="15" t="s">
        <v>44</v>
      </c>
      <c r="P1747" s="15" t="s">
        <v>6663</v>
      </c>
      <c r="Q1747" s="15" t="s">
        <v>6664</v>
      </c>
      <c r="R1747" s="16">
        <v>44329</v>
      </c>
      <c r="S1747" s="17" t="s">
        <v>317</v>
      </c>
      <c r="T1747" s="20">
        <f>HYPERLINK("https://vnm.spiral.com.vn//uploaded/20210513/2b9e7c11-fdd0-44be-b58e-8eb52d072207.JPEG","08:06:14")</f>
      </c>
      <c r="U1747" s="20">
        <f>HYPERLINK("https://vnm.spiral.com.vn//uploaded/20210513/b3e66ea4-dd88-4d52-bf2b-f9c992dde49e.JPEG","12:04:38")</f>
      </c>
      <c r="V1747" s="18">
        <v>0.16555555555555557</v>
      </c>
      <c r="W1747" s="15" t="s">
        <v>10016</v>
      </c>
      <c r="X1747" s="15" t="s">
        <v>10017</v>
      </c>
      <c r="Y1747" s="15" t="s">
        <v>35</v>
      </c>
      <c r="Z1747" s="19">
        <v>0</v>
      </c>
      <c r="AA1747" s="15">
        <v>0</v>
      </c>
      <c r="AB1747" s="15" t="s">
        <v>35</v>
      </c>
    </row>
    <row r="1748">
      <c r="A1748" s="15">
        <v>1744</v>
      </c>
      <c r="B1748" s="15" t="s">
        <v>343</v>
      </c>
      <c r="C1748" s="15" t="s">
        <v>344</v>
      </c>
      <c r="D1748" s="15" t="s">
        <v>35</v>
      </c>
      <c r="E1748" s="15" t="s">
        <v>35</v>
      </c>
      <c r="F1748" s="15" t="s">
        <v>35</v>
      </c>
      <c r="G1748" s="15" t="s">
        <v>36</v>
      </c>
      <c r="H1748" s="15" t="s">
        <v>7130</v>
      </c>
      <c r="I1748" s="15" t="s">
        <v>7131</v>
      </c>
      <c r="J1748" s="15" t="s">
        <v>7132</v>
      </c>
      <c r="K1748" s="15" t="s">
        <v>40</v>
      </c>
      <c r="L1748" s="15" t="s">
        <v>41</v>
      </c>
      <c r="M1748" s="15" t="s">
        <v>595</v>
      </c>
      <c r="N1748" s="15" t="s">
        <v>596</v>
      </c>
      <c r="O1748" s="15" t="s">
        <v>44</v>
      </c>
      <c r="P1748" s="15" t="s">
        <v>7133</v>
      </c>
      <c r="Q1748" s="15" t="s">
        <v>7134</v>
      </c>
      <c r="R1748" s="16">
        <v>44329</v>
      </c>
      <c r="S1748" s="17" t="s">
        <v>317</v>
      </c>
      <c r="T1748" s="20">
        <f>HYPERLINK("https://vnm.spiral.com.vn//uploaded/20210513/6dbda805-3781-4a16-94eb-9651fd361204.JPEG","08:09:46")</f>
      </c>
      <c r="U1748" s="20">
        <f>HYPERLINK("https://vnm.spiral.com.vn//uploaded/20210513/094fec93-f37a-4de2-8bb5-0577dea0c500.JPEG","12:04:36")</f>
      </c>
      <c r="V1748" s="18">
        <v>0.1630787037037037</v>
      </c>
      <c r="W1748" s="15" t="s">
        <v>10018</v>
      </c>
      <c r="X1748" s="15" t="s">
        <v>10018</v>
      </c>
      <c r="Y1748" s="15" t="s">
        <v>35</v>
      </c>
      <c r="Z1748" s="19">
        <v>0</v>
      </c>
      <c r="AA1748" s="15">
        <v>0</v>
      </c>
      <c r="AB1748" s="15" t="s">
        <v>35</v>
      </c>
    </row>
    <row r="1749">
      <c r="A1749" s="15">
        <v>1745</v>
      </c>
      <c r="B1749" s="15" t="s">
        <v>61</v>
      </c>
      <c r="C1749" s="15" t="s">
        <v>442</v>
      </c>
      <c r="D1749" s="15" t="s">
        <v>35</v>
      </c>
      <c r="E1749" s="15" t="s">
        <v>35</v>
      </c>
      <c r="F1749" s="15" t="s">
        <v>35</v>
      </c>
      <c r="G1749" s="15" t="s">
        <v>36</v>
      </c>
      <c r="H1749" s="15" t="s">
        <v>5178</v>
      </c>
      <c r="I1749" s="15" t="s">
        <v>5179</v>
      </c>
      <c r="J1749" s="15" t="s">
        <v>5180</v>
      </c>
      <c r="K1749" s="15" t="s">
        <v>40</v>
      </c>
      <c r="L1749" s="15" t="s">
        <v>41</v>
      </c>
      <c r="M1749" s="15" t="s">
        <v>205</v>
      </c>
      <c r="N1749" s="15" t="s">
        <v>206</v>
      </c>
      <c r="O1749" s="15" t="s">
        <v>44</v>
      </c>
      <c r="P1749" s="15" t="s">
        <v>5181</v>
      </c>
      <c r="Q1749" s="15" t="s">
        <v>5182</v>
      </c>
      <c r="R1749" s="16">
        <v>44329</v>
      </c>
      <c r="S1749" s="17" t="s">
        <v>317</v>
      </c>
      <c r="T1749" s="20">
        <f>HYPERLINK("https://vnm.spiral.com.vn//uploaded/20210513/c7556b37-ed4d-4e30-8daf-119ab3dc332b.JPEG","07:44:51")</f>
      </c>
      <c r="U1749" s="20">
        <f>HYPERLINK("https://vnm.spiral.com.vn//uploaded/20210513/556c21ab-998e-4014-9968-5d2927eabe22.JPEG","12:04:29")</f>
      </c>
      <c r="V1749" s="18">
        <v>0.18030092592592592</v>
      </c>
      <c r="W1749" s="15" t="s">
        <v>10019</v>
      </c>
      <c r="X1749" s="15" t="s">
        <v>10020</v>
      </c>
      <c r="Y1749" s="15" t="s">
        <v>35</v>
      </c>
      <c r="Z1749" s="19">
        <v>0</v>
      </c>
      <c r="AA1749" s="15">
        <v>0</v>
      </c>
      <c r="AB1749" s="15" t="s">
        <v>35</v>
      </c>
    </row>
    <row r="1750">
      <c r="A1750" s="15">
        <v>1746</v>
      </c>
      <c r="B1750" s="15" t="s">
        <v>103</v>
      </c>
      <c r="C1750" s="15" t="s">
        <v>186</v>
      </c>
      <c r="D1750" s="15" t="s">
        <v>35</v>
      </c>
      <c r="E1750" s="15" t="s">
        <v>35</v>
      </c>
      <c r="F1750" s="15" t="s">
        <v>6735</v>
      </c>
      <c r="G1750" s="15" t="s">
        <v>36</v>
      </c>
      <c r="H1750" s="15" t="s">
        <v>6830</v>
      </c>
      <c r="I1750" s="15" t="s">
        <v>6831</v>
      </c>
      <c r="J1750" s="15" t="s">
        <v>6832</v>
      </c>
      <c r="K1750" s="15" t="s">
        <v>40</v>
      </c>
      <c r="L1750" s="15" t="s">
        <v>41</v>
      </c>
      <c r="M1750" s="15" t="s">
        <v>565</v>
      </c>
      <c r="N1750" s="15" t="s">
        <v>566</v>
      </c>
      <c r="O1750" s="15" t="s">
        <v>44</v>
      </c>
      <c r="P1750" s="15" t="s">
        <v>6833</v>
      </c>
      <c r="Q1750" s="15" t="s">
        <v>6834</v>
      </c>
      <c r="R1750" s="16">
        <v>44329</v>
      </c>
      <c r="S1750" s="17" t="s">
        <v>317</v>
      </c>
      <c r="T1750" s="20">
        <f>HYPERLINK("https://vnm.spiral.com.vn//uploaded/20210513/6b2ae445-eb6d-41f5-818a-84181c84ade6.JPEG","07:57:21")</f>
      </c>
      <c r="U1750" s="20">
        <f>HYPERLINK("https://vnm.spiral.com.vn//uploaded/20210513/b159d70d-bfe1-4c82-be97-5bcb23eaa988.JPEG","12:04:20")</f>
      </c>
      <c r="V1750" s="18">
        <v>0.1715162037037037</v>
      </c>
      <c r="W1750" s="15" t="s">
        <v>10021</v>
      </c>
      <c r="X1750" s="15" t="s">
        <v>10022</v>
      </c>
      <c r="Y1750" s="15" t="s">
        <v>35</v>
      </c>
      <c r="Z1750" s="19">
        <v>0</v>
      </c>
      <c r="AA1750" s="15">
        <v>0</v>
      </c>
      <c r="AB1750" s="15" t="s">
        <v>35</v>
      </c>
    </row>
    <row r="1751">
      <c r="A1751" s="15">
        <v>1747</v>
      </c>
      <c r="B1751" s="15" t="s">
        <v>49</v>
      </c>
      <c r="C1751" s="15" t="s">
        <v>756</v>
      </c>
      <c r="D1751" s="15" t="s">
        <v>35</v>
      </c>
      <c r="E1751" s="15" t="s">
        <v>35</v>
      </c>
      <c r="F1751" s="15" t="s">
        <v>6964</v>
      </c>
      <c r="G1751" s="15" t="s">
        <v>36</v>
      </c>
      <c r="H1751" s="15" t="s">
        <v>6965</v>
      </c>
      <c r="I1751" s="15" t="s">
        <v>6966</v>
      </c>
      <c r="J1751" s="15" t="s">
        <v>6967</v>
      </c>
      <c r="K1751" s="15" t="s">
        <v>40</v>
      </c>
      <c r="L1751" s="15" t="s">
        <v>41</v>
      </c>
      <c r="M1751" s="15" t="s">
        <v>55</v>
      </c>
      <c r="N1751" s="15" t="s">
        <v>56</v>
      </c>
      <c r="O1751" s="15" t="s">
        <v>44</v>
      </c>
      <c r="P1751" s="15" t="s">
        <v>6968</v>
      </c>
      <c r="Q1751" s="15" t="s">
        <v>6969</v>
      </c>
      <c r="R1751" s="16">
        <v>44329</v>
      </c>
      <c r="S1751" s="17" t="s">
        <v>317</v>
      </c>
      <c r="T1751" s="20">
        <f>HYPERLINK("https://vnm.spiral.com.vn//uploaded/20210513/b670ad45-c0c6-44da-b941-f5423745e547.JPEG","07:45:27")</f>
      </c>
      <c r="U1751" s="20">
        <f>HYPERLINK("https://vnm.spiral.com.vn//uploaded/20210513/6411ebac-8b50-410e-b904-4f644d2d7272.JPEG","12:04:19")</f>
      </c>
      <c r="V1751" s="18">
        <v>0.17976851851851852</v>
      </c>
      <c r="W1751" s="15" t="s">
        <v>6970</v>
      </c>
      <c r="X1751" s="15" t="s">
        <v>6970</v>
      </c>
      <c r="Y1751" s="15" t="s">
        <v>35</v>
      </c>
      <c r="Z1751" s="19">
        <v>0</v>
      </c>
      <c r="AA1751" s="15">
        <v>0</v>
      </c>
      <c r="AB1751" s="15" t="s">
        <v>35</v>
      </c>
    </row>
    <row r="1752">
      <c r="A1752" s="15">
        <v>1748</v>
      </c>
      <c r="B1752" s="15" t="s">
        <v>246</v>
      </c>
      <c r="C1752" s="15" t="s">
        <v>259</v>
      </c>
      <c r="D1752" s="15" t="s">
        <v>35</v>
      </c>
      <c r="E1752" s="15" t="s">
        <v>35</v>
      </c>
      <c r="F1752" s="15" t="s">
        <v>943</v>
      </c>
      <c r="G1752" s="15" t="s">
        <v>36</v>
      </c>
      <c r="H1752" s="15" t="s">
        <v>4629</v>
      </c>
      <c r="I1752" s="15" t="s">
        <v>4630</v>
      </c>
      <c r="J1752" s="15" t="s">
        <v>4631</v>
      </c>
      <c r="K1752" s="15" t="s">
        <v>40</v>
      </c>
      <c r="L1752" s="15" t="s">
        <v>41</v>
      </c>
      <c r="M1752" s="15" t="s">
        <v>252</v>
      </c>
      <c r="N1752" s="15" t="s">
        <v>253</v>
      </c>
      <c r="O1752" s="15" t="s">
        <v>44</v>
      </c>
      <c r="P1752" s="15" t="s">
        <v>4632</v>
      </c>
      <c r="Q1752" s="15" t="s">
        <v>4633</v>
      </c>
      <c r="R1752" s="16">
        <v>44329</v>
      </c>
      <c r="S1752" s="17" t="s">
        <v>317</v>
      </c>
      <c r="T1752" s="20">
        <f>HYPERLINK("https://vnm.spiral.com.vn//uploaded/20210513/C22D0E5E-8119-409A-951C-329CF29FD0C4.jpg","08:00:32")</f>
      </c>
      <c r="U1752" s="20">
        <f>HYPERLINK("https://vnm.spiral.com.vn//uploaded/20210513/BE40B417-8968-4269-87F3-A79813D3CE2F.jpg","12:04:18")</f>
      </c>
      <c r="V1752" s="18">
        <v>0.1692824074074074</v>
      </c>
      <c r="W1752" s="15" t="s">
        <v>10023</v>
      </c>
      <c r="X1752" s="15" t="s">
        <v>10024</v>
      </c>
      <c r="Y1752" s="15" t="s">
        <v>35</v>
      </c>
      <c r="Z1752" s="19">
        <v>0</v>
      </c>
      <c r="AA1752" s="15">
        <v>0</v>
      </c>
      <c r="AB1752" s="15" t="s">
        <v>35</v>
      </c>
    </row>
    <row r="1753">
      <c r="A1753" s="15">
        <v>1749</v>
      </c>
      <c r="B1753" s="15" t="s">
        <v>61</v>
      </c>
      <c r="C1753" s="15" t="s">
        <v>1730</v>
      </c>
      <c r="D1753" s="15" t="s">
        <v>35</v>
      </c>
      <c r="E1753" s="15" t="s">
        <v>35</v>
      </c>
      <c r="F1753" s="15" t="s">
        <v>35</v>
      </c>
      <c r="G1753" s="15" t="s">
        <v>36</v>
      </c>
      <c r="H1753" s="15" t="s">
        <v>5344</v>
      </c>
      <c r="I1753" s="15" t="s">
        <v>4124</v>
      </c>
      <c r="J1753" s="15" t="s">
        <v>5345</v>
      </c>
      <c r="K1753" s="15" t="s">
        <v>40</v>
      </c>
      <c r="L1753" s="15" t="s">
        <v>41</v>
      </c>
      <c r="M1753" s="15" t="s">
        <v>205</v>
      </c>
      <c r="N1753" s="15" t="s">
        <v>206</v>
      </c>
      <c r="O1753" s="15" t="s">
        <v>44</v>
      </c>
      <c r="P1753" s="15" t="s">
        <v>5346</v>
      </c>
      <c r="Q1753" s="15" t="s">
        <v>4810</v>
      </c>
      <c r="R1753" s="16">
        <v>44329</v>
      </c>
      <c r="S1753" s="17" t="s">
        <v>317</v>
      </c>
      <c r="T1753" s="20">
        <f>HYPERLINK("https://vnm.spiral.com.vn//uploaded/20210513/F02C51AF-4453-411E-8077-BBC399E24006.jpg","08:00:03")</f>
      </c>
      <c r="U1753" s="20">
        <f>HYPERLINK("https://vnm.spiral.com.vn//uploaded/20210513/1361D336-FBA7-433E-AC73-F1285A5614B3.jpg","12:04:08")</f>
      </c>
      <c r="V1753" s="18">
        <v>0.16950231481481481</v>
      </c>
      <c r="W1753" s="15" t="s">
        <v>10025</v>
      </c>
      <c r="X1753" s="15" t="s">
        <v>10026</v>
      </c>
      <c r="Y1753" s="15" t="s">
        <v>35</v>
      </c>
      <c r="Z1753" s="19">
        <v>0</v>
      </c>
      <c r="AA1753" s="15">
        <v>0</v>
      </c>
      <c r="AB1753" s="15" t="s">
        <v>35</v>
      </c>
    </row>
    <row r="1754">
      <c r="A1754" s="15">
        <v>1750</v>
      </c>
      <c r="B1754" s="15" t="s">
        <v>103</v>
      </c>
      <c r="C1754" s="15" t="s">
        <v>104</v>
      </c>
      <c r="D1754" s="15" t="s">
        <v>35</v>
      </c>
      <c r="E1754" s="15" t="s">
        <v>35</v>
      </c>
      <c r="F1754" s="15" t="s">
        <v>35</v>
      </c>
      <c r="G1754" s="15" t="s">
        <v>35</v>
      </c>
      <c r="H1754" s="15" t="s">
        <v>8284</v>
      </c>
      <c r="I1754" s="15" t="s">
        <v>8285</v>
      </c>
      <c r="J1754" s="15" t="s">
        <v>8286</v>
      </c>
      <c r="K1754" s="15" t="s">
        <v>40</v>
      </c>
      <c r="L1754" s="15" t="s">
        <v>41</v>
      </c>
      <c r="M1754" s="15" t="s">
        <v>108</v>
      </c>
      <c r="N1754" s="15" t="s">
        <v>109</v>
      </c>
      <c r="O1754" s="15" t="s">
        <v>44</v>
      </c>
      <c r="P1754" s="15" t="s">
        <v>8287</v>
      </c>
      <c r="Q1754" s="15" t="s">
        <v>8288</v>
      </c>
      <c r="R1754" s="16">
        <v>44329</v>
      </c>
      <c r="S1754" s="17" t="s">
        <v>9925</v>
      </c>
      <c r="T1754" s="20">
        <f>HYPERLINK("https://vnm.spiral.com.vn//uploaded/20210513/0e57a6e1-1939-4d31-a332-87abd2e7bb22.JPEG","08:32:50")</f>
      </c>
      <c r="U1754" s="20">
        <f>HYPERLINK("https://vnm.spiral.com.vn//uploaded/20210513/668329b2-4f7d-415e-a1a3-6cfcccf54c5c.JPEG","12:04:05")</f>
      </c>
      <c r="V1754" s="18">
        <v>0.1467013888888889</v>
      </c>
      <c r="W1754" s="15" t="s">
        <v>10027</v>
      </c>
      <c r="X1754" s="15" t="s">
        <v>10028</v>
      </c>
      <c r="Y1754" s="15" t="s">
        <v>35</v>
      </c>
      <c r="Z1754" s="19">
        <v>0</v>
      </c>
      <c r="AA1754" s="15">
        <v>0</v>
      </c>
      <c r="AB1754" s="15" t="s">
        <v>35</v>
      </c>
    </row>
    <row r="1755">
      <c r="A1755" s="15">
        <v>1751</v>
      </c>
      <c r="B1755" s="15" t="s">
        <v>87</v>
      </c>
      <c r="C1755" s="15" t="s">
        <v>88</v>
      </c>
      <c r="D1755" s="15" t="s">
        <v>610</v>
      </c>
      <c r="E1755" s="15" t="s">
        <v>90</v>
      </c>
      <c r="F1755" s="15" t="s">
        <v>35</v>
      </c>
      <c r="G1755" s="15" t="s">
        <v>74</v>
      </c>
      <c r="H1755" s="15" t="s">
        <v>10029</v>
      </c>
      <c r="I1755" s="15" t="s">
        <v>10030</v>
      </c>
      <c r="J1755" s="15" t="s">
        <v>10031</v>
      </c>
      <c r="K1755" s="15" t="s">
        <v>614</v>
      </c>
      <c r="L1755" s="15" t="s">
        <v>615</v>
      </c>
      <c r="M1755" s="15" t="s">
        <v>616</v>
      </c>
      <c r="N1755" s="15" t="s">
        <v>617</v>
      </c>
      <c r="O1755" s="15" t="s">
        <v>82</v>
      </c>
      <c r="P1755" s="15" t="s">
        <v>1251</v>
      </c>
      <c r="Q1755" s="15" t="s">
        <v>1252</v>
      </c>
      <c r="R1755" s="16">
        <v>44329</v>
      </c>
      <c r="S1755" s="17" t="s">
        <v>70</v>
      </c>
      <c r="T1755" s="20">
        <f>HYPERLINK("https://vnm.spiral.com.vn//uploaded/20210513/9B47E8FB-2853-44A2-83EB-AA016AEB1C34.jpg","10:43:22")</f>
      </c>
      <c r="U1755" s="20">
        <f>HYPERLINK("https://vnm.spiral.com.vn//uploaded/20210513/F6B872D0-556C-4CD8-8917-00B80DF2301B.jpg","12:04:02")</f>
      </c>
      <c r="V1755" s="18">
        <v>0.056018518518518516</v>
      </c>
      <c r="W1755" s="15" t="s">
        <v>10032</v>
      </c>
      <c r="X1755" s="15" t="s">
        <v>10033</v>
      </c>
      <c r="Y1755" s="15" t="s">
        <v>35</v>
      </c>
      <c r="Z1755" s="19">
        <v>0</v>
      </c>
      <c r="AA1755" s="15">
        <v>0</v>
      </c>
      <c r="AB1755" s="15" t="s">
        <v>35</v>
      </c>
    </row>
    <row r="1756">
      <c r="A1756" s="15">
        <v>1752</v>
      </c>
      <c r="B1756" s="15" t="s">
        <v>103</v>
      </c>
      <c r="C1756" s="15" t="s">
        <v>2116</v>
      </c>
      <c r="D1756" s="15" t="s">
        <v>35</v>
      </c>
      <c r="E1756" s="15" t="s">
        <v>35</v>
      </c>
      <c r="F1756" s="15" t="s">
        <v>35</v>
      </c>
      <c r="G1756" s="15" t="s">
        <v>36</v>
      </c>
      <c r="H1756" s="15" t="s">
        <v>5207</v>
      </c>
      <c r="I1756" s="15" t="s">
        <v>5208</v>
      </c>
      <c r="J1756" s="15" t="s">
        <v>5209</v>
      </c>
      <c r="K1756" s="15" t="s">
        <v>40</v>
      </c>
      <c r="L1756" s="15" t="s">
        <v>41</v>
      </c>
      <c r="M1756" s="15" t="s">
        <v>108</v>
      </c>
      <c r="N1756" s="15" t="s">
        <v>109</v>
      </c>
      <c r="O1756" s="15" t="s">
        <v>44</v>
      </c>
      <c r="P1756" s="15" t="s">
        <v>5210</v>
      </c>
      <c r="Q1756" s="15" t="s">
        <v>58</v>
      </c>
      <c r="R1756" s="16">
        <v>44329</v>
      </c>
      <c r="S1756" s="17" t="s">
        <v>317</v>
      </c>
      <c r="T1756" s="20">
        <f>HYPERLINK("https://vnm.spiral.com.vn//uploaded/20210513/117dae72-8d44-47f3-b3b5-fb5810349c8f.JPEG","08:05:00")</f>
      </c>
      <c r="U1756" s="20">
        <f>HYPERLINK("https://vnm.spiral.com.vn//uploaded/20210513/66579de0-fecf-4835-9c7d-ebe5b85d13e5.JPEG","12:04:00")</f>
      </c>
      <c r="V1756" s="18">
        <v>0.16597222222222222</v>
      </c>
      <c r="W1756" s="15" t="s">
        <v>10034</v>
      </c>
      <c r="X1756" s="15" t="s">
        <v>10035</v>
      </c>
      <c r="Y1756" s="15" t="s">
        <v>35</v>
      </c>
      <c r="Z1756" s="19">
        <v>0</v>
      </c>
      <c r="AA1756" s="15">
        <v>0</v>
      </c>
      <c r="AB1756" s="15" t="s">
        <v>35</v>
      </c>
    </row>
    <row r="1757">
      <c r="A1757" s="15">
        <v>1753</v>
      </c>
      <c r="B1757" s="15" t="s">
        <v>246</v>
      </c>
      <c r="C1757" s="15" t="s">
        <v>259</v>
      </c>
      <c r="D1757" s="15" t="s">
        <v>35</v>
      </c>
      <c r="E1757" s="15" t="s">
        <v>35</v>
      </c>
      <c r="F1757" s="15" t="s">
        <v>943</v>
      </c>
      <c r="G1757" s="15" t="s">
        <v>36</v>
      </c>
      <c r="H1757" s="15" t="s">
        <v>4817</v>
      </c>
      <c r="I1757" s="15" t="s">
        <v>4818</v>
      </c>
      <c r="J1757" s="15" t="s">
        <v>4819</v>
      </c>
      <c r="K1757" s="15" t="s">
        <v>40</v>
      </c>
      <c r="L1757" s="15" t="s">
        <v>41</v>
      </c>
      <c r="M1757" s="15" t="s">
        <v>252</v>
      </c>
      <c r="N1757" s="15" t="s">
        <v>253</v>
      </c>
      <c r="O1757" s="15" t="s">
        <v>44</v>
      </c>
      <c r="P1757" s="15" t="s">
        <v>4820</v>
      </c>
      <c r="Q1757" s="15" t="s">
        <v>4821</v>
      </c>
      <c r="R1757" s="16">
        <v>44329</v>
      </c>
      <c r="S1757" s="17" t="s">
        <v>317</v>
      </c>
      <c r="T1757" s="20">
        <f>HYPERLINK("https://vnm.spiral.com.vn//uploaded/20210513/2ac9210b-99a7-4f07-b377-c5149962e88b.JPEG","08:02:43")</f>
      </c>
      <c r="U1757" s="20">
        <f>HYPERLINK("https://vnm.spiral.com.vn//uploaded/20210513/62b36677-905d-40e1-9269-52e67f9237e6.JPEG","12:03:57")</f>
      </c>
      <c r="V1757" s="18">
        <v>0.16752314814814814</v>
      </c>
      <c r="W1757" s="15" t="s">
        <v>10036</v>
      </c>
      <c r="X1757" s="15" t="s">
        <v>10037</v>
      </c>
      <c r="Y1757" s="15" t="s">
        <v>35</v>
      </c>
      <c r="Z1757" s="19">
        <v>0</v>
      </c>
      <c r="AA1757" s="15">
        <v>0</v>
      </c>
      <c r="AB1757" s="15" t="s">
        <v>35</v>
      </c>
    </row>
    <row r="1758">
      <c r="A1758" s="15">
        <v>1754</v>
      </c>
      <c r="B1758" s="15" t="s">
        <v>49</v>
      </c>
      <c r="C1758" s="15" t="s">
        <v>756</v>
      </c>
      <c r="D1758" s="15" t="s">
        <v>35</v>
      </c>
      <c r="E1758" s="15" t="s">
        <v>35</v>
      </c>
      <c r="F1758" s="15" t="s">
        <v>6964</v>
      </c>
      <c r="G1758" s="15" t="s">
        <v>36</v>
      </c>
      <c r="H1758" s="15" t="s">
        <v>10038</v>
      </c>
      <c r="I1758" s="15" t="s">
        <v>10039</v>
      </c>
      <c r="J1758" s="15" t="s">
        <v>10040</v>
      </c>
      <c r="K1758" s="15" t="s">
        <v>40</v>
      </c>
      <c r="L1758" s="15" t="s">
        <v>41</v>
      </c>
      <c r="M1758" s="15" t="s">
        <v>55</v>
      </c>
      <c r="N1758" s="15" t="s">
        <v>56</v>
      </c>
      <c r="O1758" s="15" t="s">
        <v>44</v>
      </c>
      <c r="P1758" s="15" t="s">
        <v>8092</v>
      </c>
      <c r="Q1758" s="15" t="s">
        <v>8093</v>
      </c>
      <c r="R1758" s="16">
        <v>44329</v>
      </c>
      <c r="S1758" s="17" t="s">
        <v>317</v>
      </c>
      <c r="T1758" s="20">
        <f>HYPERLINK("https://vnm.spiral.com.vn//uploaded/20210513/F1A2873E-4164-457C-A896-C894C8D44A6A.jpg","07:59:14")</f>
      </c>
      <c r="U1758" s="20">
        <f>HYPERLINK("https://vnm.spiral.com.vn//uploaded/20210513/9A0E6EF5-2633-45EB-8D62-AE7E35A4D50E.jpg","12:03:54")</f>
      </c>
      <c r="V1758" s="18">
        <v>0.1699074074074074</v>
      </c>
      <c r="W1758" s="15" t="s">
        <v>10041</v>
      </c>
      <c r="X1758" s="15" t="s">
        <v>10042</v>
      </c>
      <c r="Y1758" s="15" t="s">
        <v>35</v>
      </c>
      <c r="Z1758" s="19">
        <v>0</v>
      </c>
      <c r="AA1758" s="15">
        <v>0</v>
      </c>
      <c r="AB1758" s="15" t="s">
        <v>35</v>
      </c>
    </row>
    <row r="1759">
      <c r="A1759" s="15">
        <v>1755</v>
      </c>
      <c r="B1759" s="15" t="s">
        <v>87</v>
      </c>
      <c r="C1759" s="15" t="s">
        <v>88</v>
      </c>
      <c r="D1759" s="15" t="s">
        <v>35</v>
      </c>
      <c r="E1759" s="15" t="s">
        <v>35</v>
      </c>
      <c r="F1759" s="15" t="s">
        <v>2667</v>
      </c>
      <c r="G1759" s="15" t="s">
        <v>36</v>
      </c>
      <c r="H1759" s="15" t="s">
        <v>5669</v>
      </c>
      <c r="I1759" s="15" t="s">
        <v>5670</v>
      </c>
      <c r="J1759" s="15" t="s">
        <v>5671</v>
      </c>
      <c r="K1759" s="15" t="s">
        <v>40</v>
      </c>
      <c r="L1759" s="15" t="s">
        <v>41</v>
      </c>
      <c r="M1759" s="15" t="s">
        <v>1195</v>
      </c>
      <c r="N1759" s="15" t="s">
        <v>1196</v>
      </c>
      <c r="O1759" s="15" t="s">
        <v>44</v>
      </c>
      <c r="P1759" s="15" t="s">
        <v>5672</v>
      </c>
      <c r="Q1759" s="15" t="s">
        <v>5673</v>
      </c>
      <c r="R1759" s="16">
        <v>44329</v>
      </c>
      <c r="S1759" s="17" t="s">
        <v>317</v>
      </c>
      <c r="T1759" s="20">
        <f>HYPERLINK("https://vnm.spiral.com.vn//uploaded/20210513/0f6ad461-a981-4896-bf83-6dc1a7d28faf.JPEG","08:08:41")</f>
      </c>
      <c r="U1759" s="20">
        <f>HYPERLINK("https://vnm.spiral.com.vn//uploaded/20210513/18c3b1c5-5821-4709-a035-5f974d126992.JPEG","12:03:52")</f>
      </c>
      <c r="V1759" s="18">
        <v>0.16332175925925926</v>
      </c>
      <c r="W1759" s="15" t="s">
        <v>10043</v>
      </c>
      <c r="X1759" s="15" t="s">
        <v>10044</v>
      </c>
      <c r="Y1759" s="15" t="s">
        <v>35</v>
      </c>
      <c r="Z1759" s="19">
        <v>0</v>
      </c>
      <c r="AA1759" s="15">
        <v>0</v>
      </c>
      <c r="AB1759" s="15" t="s">
        <v>35</v>
      </c>
    </row>
    <row r="1760">
      <c r="A1760" s="15">
        <v>1756</v>
      </c>
      <c r="B1760" s="15" t="s">
        <v>87</v>
      </c>
      <c r="C1760" s="15" t="s">
        <v>88</v>
      </c>
      <c r="D1760" s="15" t="s">
        <v>35</v>
      </c>
      <c r="E1760" s="15" t="s">
        <v>35</v>
      </c>
      <c r="F1760" s="15" t="s">
        <v>806</v>
      </c>
      <c r="G1760" s="15" t="s">
        <v>36</v>
      </c>
      <c r="H1760" s="15" t="s">
        <v>4583</v>
      </c>
      <c r="I1760" s="15" t="s">
        <v>4584</v>
      </c>
      <c r="J1760" s="15" t="s">
        <v>4585</v>
      </c>
      <c r="K1760" s="15" t="s">
        <v>40</v>
      </c>
      <c r="L1760" s="15" t="s">
        <v>41</v>
      </c>
      <c r="M1760" s="15" t="s">
        <v>810</v>
      </c>
      <c r="N1760" s="15" t="s">
        <v>811</v>
      </c>
      <c r="O1760" s="15" t="s">
        <v>44</v>
      </c>
      <c r="P1760" s="15" t="s">
        <v>4586</v>
      </c>
      <c r="Q1760" s="15" t="s">
        <v>4587</v>
      </c>
      <c r="R1760" s="16">
        <v>44329</v>
      </c>
      <c r="S1760" s="17" t="s">
        <v>317</v>
      </c>
      <c r="T1760" s="20">
        <f>HYPERLINK("https://vnm.spiral.com.vn//uploaded/20210513/aa68b3e2-37eb-458e-8203-680f5dcbd20b.JPEG","08:02:37")</f>
      </c>
      <c r="U1760" s="20">
        <f>HYPERLINK("https://vnm.spiral.com.vn//uploaded/20210513/5891228b-2e3c-4b84-a428-50821d97828e.JPEG","12:03:33")</f>
      </c>
      <c r="V1760" s="18">
        <v>0.1673148148148148</v>
      </c>
      <c r="W1760" s="15" t="s">
        <v>10045</v>
      </c>
      <c r="X1760" s="15" t="s">
        <v>10046</v>
      </c>
      <c r="Y1760" s="15" t="s">
        <v>35</v>
      </c>
      <c r="Z1760" s="19">
        <v>0</v>
      </c>
      <c r="AA1760" s="15">
        <v>0</v>
      </c>
      <c r="AB1760" s="15" t="s">
        <v>35</v>
      </c>
    </row>
    <row r="1761">
      <c r="A1761" s="15">
        <v>1757</v>
      </c>
      <c r="B1761" s="15" t="s">
        <v>61</v>
      </c>
      <c r="C1761" s="15" t="s">
        <v>1106</v>
      </c>
      <c r="D1761" s="15" t="s">
        <v>35</v>
      </c>
      <c r="E1761" s="15" t="s">
        <v>35</v>
      </c>
      <c r="F1761" s="15" t="s">
        <v>35</v>
      </c>
      <c r="G1761" s="15" t="s">
        <v>36</v>
      </c>
      <c r="H1761" s="15" t="s">
        <v>10047</v>
      </c>
      <c r="I1761" s="15" t="s">
        <v>10048</v>
      </c>
      <c r="J1761" s="15" t="s">
        <v>10049</v>
      </c>
      <c r="K1761" s="15" t="s">
        <v>40</v>
      </c>
      <c r="L1761" s="15" t="s">
        <v>41</v>
      </c>
      <c r="M1761" s="15" t="s">
        <v>66</v>
      </c>
      <c r="N1761" s="15" t="s">
        <v>67</v>
      </c>
      <c r="O1761" s="15" t="s">
        <v>44</v>
      </c>
      <c r="P1761" s="15" t="s">
        <v>10050</v>
      </c>
      <c r="Q1761" s="15" t="s">
        <v>10051</v>
      </c>
      <c r="R1761" s="16">
        <v>44329</v>
      </c>
      <c r="S1761" s="17" t="s">
        <v>10052</v>
      </c>
      <c r="T1761" s="20">
        <f>HYPERLINK("https://vnm.spiral.com.vn//uploaded/20210513/1491b9d1-37a4-4e23-9094-0a4315088732.JPEG","12:03:30")</f>
      </c>
      <c r="U1761" s="18"/>
      <c r="V1761" s="18" t="s">
        <v>35</v>
      </c>
      <c r="W1761" s="15" t="s">
        <v>10053</v>
      </c>
      <c r="X1761" s="15" t="s">
        <v>35</v>
      </c>
      <c r="Y1761" s="15" t="s">
        <v>35</v>
      </c>
      <c r="Z1761" s="19">
        <v>0</v>
      </c>
      <c r="AA1761" s="15">
        <v>0</v>
      </c>
      <c r="AB1761" s="15" t="s">
        <v>35</v>
      </c>
    </row>
    <row r="1762">
      <c r="A1762" s="15">
        <v>1758</v>
      </c>
      <c r="B1762" s="15" t="s">
        <v>87</v>
      </c>
      <c r="C1762" s="15" t="s">
        <v>88</v>
      </c>
      <c r="D1762" s="15" t="s">
        <v>35</v>
      </c>
      <c r="E1762" s="15" t="s">
        <v>35</v>
      </c>
      <c r="F1762" s="15" t="s">
        <v>2667</v>
      </c>
      <c r="G1762" s="15" t="s">
        <v>36</v>
      </c>
      <c r="H1762" s="15" t="s">
        <v>2668</v>
      </c>
      <c r="I1762" s="15" t="s">
        <v>2669</v>
      </c>
      <c r="J1762" s="15" t="s">
        <v>2670</v>
      </c>
      <c r="K1762" s="15" t="s">
        <v>40</v>
      </c>
      <c r="L1762" s="15" t="s">
        <v>41</v>
      </c>
      <c r="M1762" s="15" t="s">
        <v>1195</v>
      </c>
      <c r="N1762" s="15" t="s">
        <v>1196</v>
      </c>
      <c r="O1762" s="15" t="s">
        <v>44</v>
      </c>
      <c r="P1762" s="15" t="s">
        <v>2671</v>
      </c>
      <c r="Q1762" s="15" t="s">
        <v>2672</v>
      </c>
      <c r="R1762" s="16">
        <v>44329</v>
      </c>
      <c r="S1762" s="17" t="s">
        <v>317</v>
      </c>
      <c r="T1762" s="20">
        <f>HYPERLINK("https://vnm.spiral.com.vn//uploaded/20210513/27de1d03-cf8d-4d09-9726-598712b6af1e.JPEG","08:01:15")</f>
      </c>
      <c r="U1762" s="20">
        <f>HYPERLINK("https://vnm.spiral.com.vn//uploaded/20210513/93a74e05-d5c4-42bf-a5d6-b5dc2922e5e8.JPEG","12:03:29")</f>
      </c>
      <c r="V1762" s="18">
        <v>0.16821759259259259</v>
      </c>
      <c r="W1762" s="15" t="s">
        <v>10054</v>
      </c>
      <c r="X1762" s="15" t="s">
        <v>10055</v>
      </c>
      <c r="Y1762" s="15" t="s">
        <v>35</v>
      </c>
      <c r="Z1762" s="19">
        <v>0</v>
      </c>
      <c r="AA1762" s="15">
        <v>0</v>
      </c>
      <c r="AB1762" s="15" t="s">
        <v>35</v>
      </c>
    </row>
    <row r="1763">
      <c r="A1763" s="15">
        <v>1759</v>
      </c>
      <c r="B1763" s="15" t="s">
        <v>103</v>
      </c>
      <c r="C1763" s="15" t="s">
        <v>186</v>
      </c>
      <c r="D1763" s="15" t="s">
        <v>35</v>
      </c>
      <c r="E1763" s="15" t="s">
        <v>35</v>
      </c>
      <c r="F1763" s="15" t="s">
        <v>35</v>
      </c>
      <c r="G1763" s="15" t="s">
        <v>36</v>
      </c>
      <c r="H1763" s="15" t="s">
        <v>6208</v>
      </c>
      <c r="I1763" s="15" t="s">
        <v>6209</v>
      </c>
      <c r="J1763" s="15" t="s">
        <v>6210</v>
      </c>
      <c r="K1763" s="15" t="s">
        <v>40</v>
      </c>
      <c r="L1763" s="15" t="s">
        <v>41</v>
      </c>
      <c r="M1763" s="15" t="s">
        <v>565</v>
      </c>
      <c r="N1763" s="15" t="s">
        <v>566</v>
      </c>
      <c r="O1763" s="15" t="s">
        <v>44</v>
      </c>
      <c r="P1763" s="15" t="s">
        <v>6211</v>
      </c>
      <c r="Q1763" s="15" t="s">
        <v>6212</v>
      </c>
      <c r="R1763" s="16">
        <v>44329</v>
      </c>
      <c r="S1763" s="17" t="s">
        <v>9084</v>
      </c>
      <c r="T1763" s="20">
        <f>HYPERLINK("https://vnm.spiral.com.vn//uploaded/20210513/47cea567-7f03-4948-8f14-968073b5f2d9.JPEG","08:52:25")</f>
      </c>
      <c r="U1763" s="20">
        <f>HYPERLINK("https://vnm.spiral.com.vn//uploaded/20210513/8d0150f9-0e36-4a79-a99f-8f7a387e802f.JPEG","12:03:29")</f>
      </c>
      <c r="V1763" s="18">
        <v>0.13268518518518518</v>
      </c>
      <c r="W1763" s="15" t="s">
        <v>10056</v>
      </c>
      <c r="X1763" s="15" t="s">
        <v>10057</v>
      </c>
      <c r="Y1763" s="15" t="s">
        <v>35</v>
      </c>
      <c r="Z1763" s="19">
        <v>0</v>
      </c>
      <c r="AA1763" s="15">
        <v>0</v>
      </c>
      <c r="AB1763" s="15" t="s">
        <v>35</v>
      </c>
    </row>
    <row r="1764">
      <c r="A1764" s="15">
        <v>1760</v>
      </c>
      <c r="B1764" s="15" t="s">
        <v>246</v>
      </c>
      <c r="C1764" s="15" t="s">
        <v>247</v>
      </c>
      <c r="D1764" s="15" t="s">
        <v>35</v>
      </c>
      <c r="E1764" s="15" t="s">
        <v>35</v>
      </c>
      <c r="F1764" s="15" t="s">
        <v>5302</v>
      </c>
      <c r="G1764" s="15" t="s">
        <v>36</v>
      </c>
      <c r="H1764" s="15" t="s">
        <v>10058</v>
      </c>
      <c r="I1764" s="15" t="s">
        <v>10059</v>
      </c>
      <c r="J1764" s="15" t="s">
        <v>10060</v>
      </c>
      <c r="K1764" s="15" t="s">
        <v>40</v>
      </c>
      <c r="L1764" s="15" t="s">
        <v>41</v>
      </c>
      <c r="M1764" s="15" t="s">
        <v>252</v>
      </c>
      <c r="N1764" s="15" t="s">
        <v>253</v>
      </c>
      <c r="O1764" s="15" t="s">
        <v>44</v>
      </c>
      <c r="P1764" s="15" t="s">
        <v>10061</v>
      </c>
      <c r="Q1764" s="15" t="s">
        <v>10062</v>
      </c>
      <c r="R1764" s="16">
        <v>44329</v>
      </c>
      <c r="S1764" s="17" t="s">
        <v>569</v>
      </c>
      <c r="T1764" s="20">
        <f>HYPERLINK("https://vnm.spiral.com.vn//uploaded/20210513/ceaf1720-0c78-4930-8949-b6b875e42dd6.JPEG","12:03:25")</f>
      </c>
      <c r="U1764" s="18"/>
      <c r="V1764" s="18" t="s">
        <v>35</v>
      </c>
      <c r="W1764" s="15" t="s">
        <v>10063</v>
      </c>
      <c r="X1764" s="15" t="s">
        <v>35</v>
      </c>
      <c r="Y1764" s="15" t="s">
        <v>35</v>
      </c>
      <c r="Z1764" s="19">
        <v>0</v>
      </c>
      <c r="AA1764" s="15">
        <v>0</v>
      </c>
      <c r="AB1764" s="15" t="s">
        <v>35</v>
      </c>
    </row>
    <row r="1765">
      <c r="A1765" s="15">
        <v>1761</v>
      </c>
      <c r="B1765" s="15" t="s">
        <v>87</v>
      </c>
      <c r="C1765" s="15" t="s">
        <v>88</v>
      </c>
      <c r="D1765" s="15" t="s">
        <v>35</v>
      </c>
      <c r="E1765" s="15" t="s">
        <v>35</v>
      </c>
      <c r="F1765" s="15" t="s">
        <v>2077</v>
      </c>
      <c r="G1765" s="15" t="s">
        <v>36</v>
      </c>
      <c r="H1765" s="15" t="s">
        <v>10064</v>
      </c>
      <c r="I1765" s="15" t="s">
        <v>10065</v>
      </c>
      <c r="J1765" s="15" t="s">
        <v>10066</v>
      </c>
      <c r="K1765" s="15" t="s">
        <v>40</v>
      </c>
      <c r="L1765" s="15" t="s">
        <v>41</v>
      </c>
      <c r="M1765" s="15" t="s">
        <v>289</v>
      </c>
      <c r="N1765" s="15" t="s">
        <v>290</v>
      </c>
      <c r="O1765" s="15" t="s">
        <v>44</v>
      </c>
      <c r="P1765" s="15" t="s">
        <v>4946</v>
      </c>
      <c r="Q1765" s="15" t="s">
        <v>4947</v>
      </c>
      <c r="R1765" s="16">
        <v>44329</v>
      </c>
      <c r="S1765" s="17" t="s">
        <v>317</v>
      </c>
      <c r="T1765" s="20">
        <f>HYPERLINK("https://vnm.spiral.com.vn//uploaded/20210513/C2A299CD-D93E-41E2-BB3A-BEE96C4B71FA.jpg","08:04:30")</f>
      </c>
      <c r="U1765" s="20">
        <f>HYPERLINK("https://vnm.spiral.com.vn//uploaded/20210513/80F121CC-7F04-42DE-9508-404B5144D2BF.jpg","12:03:21")</f>
      </c>
      <c r="V1765" s="18">
        <v>0.16586805555555556</v>
      </c>
      <c r="W1765" s="15" t="s">
        <v>10067</v>
      </c>
      <c r="X1765" s="15" t="s">
        <v>10068</v>
      </c>
      <c r="Y1765" s="15" t="s">
        <v>35</v>
      </c>
      <c r="Z1765" s="19">
        <v>0</v>
      </c>
      <c r="AA1765" s="15">
        <v>0</v>
      </c>
      <c r="AB1765" s="15" t="s">
        <v>35</v>
      </c>
    </row>
    <row r="1766">
      <c r="A1766" s="15">
        <v>1762</v>
      </c>
      <c r="B1766" s="15" t="s">
        <v>49</v>
      </c>
      <c r="C1766" s="15" t="s">
        <v>468</v>
      </c>
      <c r="D1766" s="15" t="s">
        <v>35</v>
      </c>
      <c r="E1766" s="15" t="s">
        <v>35</v>
      </c>
      <c r="F1766" s="15" t="s">
        <v>469</v>
      </c>
      <c r="G1766" s="15" t="s">
        <v>36</v>
      </c>
      <c r="H1766" s="15" t="s">
        <v>3695</v>
      </c>
      <c r="I1766" s="15" t="s">
        <v>3174</v>
      </c>
      <c r="J1766" s="15" t="s">
        <v>3696</v>
      </c>
      <c r="K1766" s="15" t="s">
        <v>40</v>
      </c>
      <c r="L1766" s="15" t="s">
        <v>41</v>
      </c>
      <c r="M1766" s="15" t="s">
        <v>55</v>
      </c>
      <c r="N1766" s="15" t="s">
        <v>56</v>
      </c>
      <c r="O1766" s="15" t="s">
        <v>44</v>
      </c>
      <c r="P1766" s="15" t="s">
        <v>3697</v>
      </c>
      <c r="Q1766" s="15" t="s">
        <v>3698</v>
      </c>
      <c r="R1766" s="16">
        <v>44329</v>
      </c>
      <c r="S1766" s="17" t="s">
        <v>317</v>
      </c>
      <c r="T1766" s="20">
        <f>HYPERLINK("https://vnm.spiral.com.vn//uploaded/20210513/DBF0675D-ABB6-4ECD-AD41-2C166E62D15E.jpg","08:16:32")</f>
      </c>
      <c r="U1766" s="20">
        <f>HYPERLINK("https://vnm.spiral.com.vn//uploaded/20210513/EABB4100-77C7-45F0-8C8E-53AD46F77910.jpg","12:03:16")</f>
      </c>
      <c r="V1766" s="18">
        <v>0.1574537037037037</v>
      </c>
      <c r="W1766" s="15" t="s">
        <v>10069</v>
      </c>
      <c r="X1766" s="15" t="s">
        <v>3700</v>
      </c>
      <c r="Y1766" s="15" t="s">
        <v>35</v>
      </c>
      <c r="Z1766" s="19">
        <v>0</v>
      </c>
      <c r="AA1766" s="15">
        <v>0</v>
      </c>
      <c r="AB1766" s="15" t="s">
        <v>35</v>
      </c>
    </row>
    <row r="1767">
      <c r="A1767" s="15">
        <v>1763</v>
      </c>
      <c r="B1767" s="15" t="s">
        <v>343</v>
      </c>
      <c r="C1767" s="15" t="s">
        <v>344</v>
      </c>
      <c r="D1767" s="15" t="s">
        <v>432</v>
      </c>
      <c r="E1767" s="15" t="s">
        <v>116</v>
      </c>
      <c r="F1767" s="15" t="s">
        <v>35</v>
      </c>
      <c r="G1767" s="15" t="s">
        <v>74</v>
      </c>
      <c r="H1767" s="15" t="s">
        <v>10070</v>
      </c>
      <c r="I1767" s="15" t="s">
        <v>10071</v>
      </c>
      <c r="J1767" s="15" t="s">
        <v>10072</v>
      </c>
      <c r="K1767" s="15" t="s">
        <v>512</v>
      </c>
      <c r="L1767" s="15" t="s">
        <v>513</v>
      </c>
      <c r="M1767" s="15" t="s">
        <v>514</v>
      </c>
      <c r="N1767" s="15" t="s">
        <v>515</v>
      </c>
      <c r="O1767" s="15" t="s">
        <v>82</v>
      </c>
      <c r="P1767" s="15" t="s">
        <v>1334</v>
      </c>
      <c r="Q1767" s="15" t="s">
        <v>1335</v>
      </c>
      <c r="R1767" s="16">
        <v>44329</v>
      </c>
      <c r="S1767" s="17" t="s">
        <v>70</v>
      </c>
      <c r="T1767" s="20">
        <f>HYPERLINK("https://vnm.spiral.com.vn//uploaded/20210513/C4AAF39E-8D62-4CF9-99B1-8AA777165325.jpg","11:10:45")</f>
      </c>
      <c r="U1767" s="20">
        <f>HYPERLINK("https://vnm.spiral.com.vn//uploaded/20210513/E04B3B19-3897-4DC1-9D7E-CBDADB0317EE.jpg","12:03:16")</f>
      </c>
      <c r="V1767" s="18">
        <v>0.03646990740740741</v>
      </c>
      <c r="W1767" s="15" t="s">
        <v>10073</v>
      </c>
      <c r="X1767" s="15" t="s">
        <v>10074</v>
      </c>
      <c r="Y1767" s="15" t="s">
        <v>35</v>
      </c>
      <c r="Z1767" s="19">
        <v>0</v>
      </c>
      <c r="AA1767" s="15">
        <v>0</v>
      </c>
      <c r="AB1767" s="15" t="s">
        <v>35</v>
      </c>
    </row>
    <row r="1768">
      <c r="A1768" s="15">
        <v>1764</v>
      </c>
      <c r="B1768" s="15" t="s">
        <v>246</v>
      </c>
      <c r="C1768" s="15" t="s">
        <v>247</v>
      </c>
      <c r="D1768" s="15" t="s">
        <v>35</v>
      </c>
      <c r="E1768" s="15" t="s">
        <v>35</v>
      </c>
      <c r="F1768" s="15" t="s">
        <v>5302</v>
      </c>
      <c r="G1768" s="15" t="s">
        <v>36</v>
      </c>
      <c r="H1768" s="15" t="s">
        <v>10058</v>
      </c>
      <c r="I1768" s="15" t="s">
        <v>10059</v>
      </c>
      <c r="J1768" s="15" t="s">
        <v>10060</v>
      </c>
      <c r="K1768" s="15" t="s">
        <v>40</v>
      </c>
      <c r="L1768" s="15" t="s">
        <v>41</v>
      </c>
      <c r="M1768" s="15" t="s">
        <v>252</v>
      </c>
      <c r="N1768" s="15" t="s">
        <v>253</v>
      </c>
      <c r="O1768" s="15" t="s">
        <v>44</v>
      </c>
      <c r="P1768" s="15" t="s">
        <v>10061</v>
      </c>
      <c r="Q1768" s="15" t="s">
        <v>10062</v>
      </c>
      <c r="R1768" s="16">
        <v>44329</v>
      </c>
      <c r="S1768" s="17" t="s">
        <v>317</v>
      </c>
      <c r="T1768" s="20">
        <f>HYPERLINK("https://vnm.spiral.com.vn//uploaded/20210513/cc064fb4-83ec-4f7b-af20-f1067934c99c.JPEG","07:58:26")</f>
      </c>
      <c r="U1768" s="20">
        <f>HYPERLINK("https://vnm.spiral.com.vn//uploaded/20210513/566641c6-5ad6-48a4-b55a-ce9b65c62ab0.JPEG","12:03:10")</f>
      </c>
      <c r="V1768" s="18">
        <v>0.1699537037037037</v>
      </c>
      <c r="W1768" s="15" t="s">
        <v>10075</v>
      </c>
      <c r="X1768" s="15" t="s">
        <v>10076</v>
      </c>
      <c r="Y1768" s="15" t="s">
        <v>35</v>
      </c>
      <c r="Z1768" s="19">
        <v>0</v>
      </c>
      <c r="AA1768" s="15">
        <v>0</v>
      </c>
      <c r="AB1768" s="15" t="s">
        <v>35</v>
      </c>
    </row>
    <row r="1769">
      <c r="A1769" s="15">
        <v>1765</v>
      </c>
      <c r="B1769" s="15" t="s">
        <v>87</v>
      </c>
      <c r="C1769" s="15" t="s">
        <v>88</v>
      </c>
      <c r="D1769" s="15" t="s">
        <v>35</v>
      </c>
      <c r="E1769" s="15" t="s">
        <v>35</v>
      </c>
      <c r="F1769" s="15" t="s">
        <v>806</v>
      </c>
      <c r="G1769" s="15" t="s">
        <v>36</v>
      </c>
      <c r="H1769" s="15" t="s">
        <v>10077</v>
      </c>
      <c r="I1769" s="15" t="s">
        <v>10078</v>
      </c>
      <c r="J1769" s="15" t="s">
        <v>10079</v>
      </c>
      <c r="K1769" s="15" t="s">
        <v>40</v>
      </c>
      <c r="L1769" s="15" t="s">
        <v>41</v>
      </c>
      <c r="M1769" s="15" t="s">
        <v>810</v>
      </c>
      <c r="N1769" s="15" t="s">
        <v>811</v>
      </c>
      <c r="O1769" s="15" t="s">
        <v>44</v>
      </c>
      <c r="P1769" s="15" t="s">
        <v>10080</v>
      </c>
      <c r="Q1769" s="15" t="s">
        <v>10081</v>
      </c>
      <c r="R1769" s="16">
        <v>44329</v>
      </c>
      <c r="S1769" s="17" t="s">
        <v>6144</v>
      </c>
      <c r="T1769" s="20">
        <f>HYPERLINK("https://vnm.spiral.com.vn//uploaded/20210513/4f0b156e-dfa8-49af-82c1-1660ce58be16.JPEG","12:03:08")</f>
      </c>
      <c r="U1769" s="18"/>
      <c r="V1769" s="18" t="s">
        <v>35</v>
      </c>
      <c r="W1769" s="15" t="s">
        <v>10082</v>
      </c>
      <c r="X1769" s="15" t="s">
        <v>35</v>
      </c>
      <c r="Y1769" s="15" t="s">
        <v>35</v>
      </c>
      <c r="Z1769" s="19">
        <v>0</v>
      </c>
      <c r="AA1769" s="15">
        <v>0</v>
      </c>
      <c r="AB1769" s="15" t="s">
        <v>35</v>
      </c>
    </row>
    <row r="1770">
      <c r="A1770" s="15">
        <v>1766</v>
      </c>
      <c r="B1770" s="15" t="s">
        <v>103</v>
      </c>
      <c r="C1770" s="15" t="s">
        <v>186</v>
      </c>
      <c r="D1770" s="15" t="s">
        <v>35</v>
      </c>
      <c r="E1770" s="15" t="s">
        <v>35</v>
      </c>
      <c r="F1770" s="15" t="s">
        <v>35</v>
      </c>
      <c r="G1770" s="15" t="s">
        <v>36</v>
      </c>
      <c r="H1770" s="15" t="s">
        <v>7336</v>
      </c>
      <c r="I1770" s="15" t="s">
        <v>7337</v>
      </c>
      <c r="J1770" s="15" t="s">
        <v>7338</v>
      </c>
      <c r="K1770" s="15" t="s">
        <v>40</v>
      </c>
      <c r="L1770" s="15" t="s">
        <v>41</v>
      </c>
      <c r="M1770" s="15" t="s">
        <v>565</v>
      </c>
      <c r="N1770" s="15" t="s">
        <v>566</v>
      </c>
      <c r="O1770" s="15" t="s">
        <v>44</v>
      </c>
      <c r="P1770" s="15" t="s">
        <v>7339</v>
      </c>
      <c r="Q1770" s="15" t="s">
        <v>7340</v>
      </c>
      <c r="R1770" s="16">
        <v>44329</v>
      </c>
      <c r="S1770" s="17" t="s">
        <v>317</v>
      </c>
      <c r="T1770" s="20">
        <f>HYPERLINK("https://vnm.spiral.com.vn//uploaded/20210513/D689EC39-A09C-4151-8A3F-008B75D5DD57.jpg","08:04:10")</f>
      </c>
      <c r="U1770" s="20">
        <f>HYPERLINK("https://vnm.spiral.com.vn//uploaded/20210513/DA02AED8-FAAD-4D8E-821D-6FE0B09D3B7C.jpg","12:02:52")</f>
      </c>
      <c r="V1770" s="18">
        <v>0.16576388888888888</v>
      </c>
      <c r="W1770" s="15" t="s">
        <v>10083</v>
      </c>
      <c r="X1770" s="15" t="s">
        <v>10084</v>
      </c>
      <c r="Y1770" s="15" t="s">
        <v>35</v>
      </c>
      <c r="Z1770" s="19">
        <v>0</v>
      </c>
      <c r="AA1770" s="15">
        <v>0</v>
      </c>
      <c r="AB1770" s="15" t="s">
        <v>35</v>
      </c>
    </row>
    <row r="1771">
      <c r="A1771" s="15">
        <v>1767</v>
      </c>
      <c r="B1771" s="15" t="s">
        <v>49</v>
      </c>
      <c r="C1771" s="15" t="s">
        <v>369</v>
      </c>
      <c r="D1771" s="15" t="s">
        <v>35</v>
      </c>
      <c r="E1771" s="15" t="s">
        <v>35</v>
      </c>
      <c r="F1771" s="15" t="s">
        <v>370</v>
      </c>
      <c r="G1771" s="15" t="s">
        <v>36</v>
      </c>
      <c r="H1771" s="15" t="s">
        <v>10085</v>
      </c>
      <c r="I1771" s="15" t="s">
        <v>10086</v>
      </c>
      <c r="J1771" s="15" t="s">
        <v>10087</v>
      </c>
      <c r="K1771" s="15" t="s">
        <v>40</v>
      </c>
      <c r="L1771" s="15" t="s">
        <v>41</v>
      </c>
      <c r="M1771" s="15" t="s">
        <v>55</v>
      </c>
      <c r="N1771" s="15" t="s">
        <v>56</v>
      </c>
      <c r="O1771" s="15" t="s">
        <v>44</v>
      </c>
      <c r="P1771" s="15" t="s">
        <v>7558</v>
      </c>
      <c r="Q1771" s="15" t="s">
        <v>7559</v>
      </c>
      <c r="R1771" s="16">
        <v>44329</v>
      </c>
      <c r="S1771" s="17" t="s">
        <v>317</v>
      </c>
      <c r="T1771" s="20">
        <f>HYPERLINK("https://vnm.spiral.com.vn//uploaded/20210513/7DEEA78C-D98E-4CCE-8B3A-EA8B33D76F92.jpg","07:58:26")</f>
      </c>
      <c r="U1771" s="20">
        <f>HYPERLINK("https://vnm.spiral.com.vn//uploaded/20210513/61023B94-3069-4937-AA79-493D8D020F5D.jpg","12:02:46")</f>
      </c>
      <c r="V1771" s="18">
        <v>0.16967592592592592</v>
      </c>
      <c r="W1771" s="15" t="s">
        <v>10088</v>
      </c>
      <c r="X1771" s="15" t="s">
        <v>10089</v>
      </c>
      <c r="Y1771" s="15" t="s">
        <v>35</v>
      </c>
      <c r="Z1771" s="19">
        <v>0</v>
      </c>
      <c r="AA1771" s="15">
        <v>0</v>
      </c>
      <c r="AB1771" s="15" t="s">
        <v>35</v>
      </c>
    </row>
    <row r="1772">
      <c r="A1772" s="15">
        <v>1768</v>
      </c>
      <c r="B1772" s="15" t="s">
        <v>87</v>
      </c>
      <c r="C1772" s="15" t="s">
        <v>88</v>
      </c>
      <c r="D1772" s="15" t="s">
        <v>35</v>
      </c>
      <c r="E1772" s="15" t="s">
        <v>35</v>
      </c>
      <c r="F1772" s="15" t="s">
        <v>2667</v>
      </c>
      <c r="G1772" s="15" t="s">
        <v>36</v>
      </c>
      <c r="H1772" s="15" t="s">
        <v>5921</v>
      </c>
      <c r="I1772" s="15" t="s">
        <v>5922</v>
      </c>
      <c r="J1772" s="15" t="s">
        <v>5923</v>
      </c>
      <c r="K1772" s="15" t="s">
        <v>40</v>
      </c>
      <c r="L1772" s="15" t="s">
        <v>41</v>
      </c>
      <c r="M1772" s="15" t="s">
        <v>1195</v>
      </c>
      <c r="N1772" s="15" t="s">
        <v>1196</v>
      </c>
      <c r="O1772" s="15" t="s">
        <v>44</v>
      </c>
      <c r="P1772" s="15" t="s">
        <v>5924</v>
      </c>
      <c r="Q1772" s="15" t="s">
        <v>5925</v>
      </c>
      <c r="R1772" s="16">
        <v>44329</v>
      </c>
      <c r="S1772" s="17" t="s">
        <v>317</v>
      </c>
      <c r="T1772" s="20">
        <f>HYPERLINK("https://vnm.spiral.com.vn//uploaded/20210513/390ab2be-2121-4d4b-85f2-0f6761357509.JPEG","08:05:34")</f>
      </c>
      <c r="U1772" s="20">
        <f>HYPERLINK("https://vnm.spiral.com.vn//uploaded/20210513/43852407-0830-4835-bd35-44151069e40a.JPEG","12:02:42")</f>
      </c>
      <c r="V1772" s="18">
        <v>0.16467592592592592</v>
      </c>
      <c r="W1772" s="15" t="s">
        <v>10090</v>
      </c>
      <c r="X1772" s="15" t="s">
        <v>10091</v>
      </c>
      <c r="Y1772" s="15" t="s">
        <v>35</v>
      </c>
      <c r="Z1772" s="19">
        <v>0</v>
      </c>
      <c r="AA1772" s="15">
        <v>0</v>
      </c>
      <c r="AB1772" s="15" t="s">
        <v>35</v>
      </c>
    </row>
    <row r="1773">
      <c r="A1773" s="15">
        <v>1769</v>
      </c>
      <c r="B1773" s="15" t="s">
        <v>87</v>
      </c>
      <c r="C1773" s="15" t="s">
        <v>88</v>
      </c>
      <c r="D1773" s="15" t="s">
        <v>35</v>
      </c>
      <c r="E1773" s="15" t="s">
        <v>35</v>
      </c>
      <c r="F1773" s="15" t="s">
        <v>35</v>
      </c>
      <c r="G1773" s="15" t="s">
        <v>74</v>
      </c>
      <c r="H1773" s="15" t="s">
        <v>10092</v>
      </c>
      <c r="I1773" s="15" t="s">
        <v>10093</v>
      </c>
      <c r="J1773" s="15" t="s">
        <v>10094</v>
      </c>
      <c r="K1773" s="15" t="s">
        <v>120</v>
      </c>
      <c r="L1773" s="15" t="s">
        <v>121</v>
      </c>
      <c r="M1773" s="15" t="s">
        <v>1073</v>
      </c>
      <c r="N1773" s="15" t="s">
        <v>1074</v>
      </c>
      <c r="O1773" s="15" t="s">
        <v>82</v>
      </c>
      <c r="P1773" s="15" t="s">
        <v>1075</v>
      </c>
      <c r="Q1773" s="15" t="s">
        <v>1076</v>
      </c>
      <c r="R1773" s="16">
        <v>44329</v>
      </c>
      <c r="S1773" s="17" t="s">
        <v>70</v>
      </c>
      <c r="T1773" s="20">
        <f>HYPERLINK("https://vnm.spiral.com.vn//uploaded/20210513/3ca58cc5-9bb2-4dce-814c-42f212740c6c.jpg","11:20:19")</f>
      </c>
      <c r="U1773" s="20">
        <f>HYPERLINK("https://vnm.spiral.com.vn//uploaded/20210513/a5fc82fa-21fa-4617-9291-38fc4453cf93.jpg","12:02:42")</f>
      </c>
      <c r="V1773" s="18">
        <v>0.02943287037037037</v>
      </c>
      <c r="W1773" s="15" t="s">
        <v>5473</v>
      </c>
      <c r="X1773" s="15" t="s">
        <v>5473</v>
      </c>
      <c r="Y1773" s="15" t="s">
        <v>35</v>
      </c>
      <c r="Z1773" s="19">
        <v>0</v>
      </c>
      <c r="AA1773" s="15">
        <v>0</v>
      </c>
      <c r="AB1773" s="15" t="s">
        <v>35</v>
      </c>
    </row>
    <row r="1774">
      <c r="A1774" s="15">
        <v>1770</v>
      </c>
      <c r="B1774" s="15" t="s">
        <v>103</v>
      </c>
      <c r="C1774" s="15" t="s">
        <v>2116</v>
      </c>
      <c r="D1774" s="15" t="s">
        <v>35</v>
      </c>
      <c r="E1774" s="15" t="s">
        <v>35</v>
      </c>
      <c r="F1774" s="15" t="s">
        <v>35</v>
      </c>
      <c r="G1774" s="15" t="s">
        <v>35</v>
      </c>
      <c r="H1774" s="15" t="s">
        <v>6573</v>
      </c>
      <c r="I1774" s="15" t="s">
        <v>6574</v>
      </c>
      <c r="J1774" s="15" t="s">
        <v>6575</v>
      </c>
      <c r="K1774" s="15" t="s">
        <v>40</v>
      </c>
      <c r="L1774" s="15" t="s">
        <v>41</v>
      </c>
      <c r="M1774" s="15" t="s">
        <v>108</v>
      </c>
      <c r="N1774" s="15" t="s">
        <v>109</v>
      </c>
      <c r="O1774" s="15" t="s">
        <v>44</v>
      </c>
      <c r="P1774" s="15" t="s">
        <v>6576</v>
      </c>
      <c r="Q1774" s="15" t="s">
        <v>6577</v>
      </c>
      <c r="R1774" s="16">
        <v>44329</v>
      </c>
      <c r="S1774" s="17" t="s">
        <v>317</v>
      </c>
      <c r="T1774" s="20">
        <f>HYPERLINK("https://vnm.spiral.com.vn//uploaded/20210513/8CE28EF6-D0D3-4D66-87B0-80E9C2CD5933.jpg","08:03:49")</f>
      </c>
      <c r="U1774" s="20">
        <f>HYPERLINK("https://vnm.spiral.com.vn//uploaded/20210513/F4DE129C-FC22-4159-AF6C-3D159B5E227B.jpg","12:02:41")</f>
      </c>
      <c r="V1774" s="18">
        <v>0.16587962962962963</v>
      </c>
      <c r="W1774" s="15" t="s">
        <v>10095</v>
      </c>
      <c r="X1774" s="15" t="s">
        <v>10096</v>
      </c>
      <c r="Y1774" s="15" t="s">
        <v>35</v>
      </c>
      <c r="Z1774" s="19">
        <v>0</v>
      </c>
      <c r="AA1774" s="15">
        <v>0</v>
      </c>
      <c r="AB1774" s="15" t="s">
        <v>35</v>
      </c>
    </row>
    <row r="1775">
      <c r="A1775" s="15">
        <v>1771</v>
      </c>
      <c r="B1775" s="15" t="s">
        <v>87</v>
      </c>
      <c r="C1775" s="15" t="s">
        <v>88</v>
      </c>
      <c r="D1775" s="15" t="s">
        <v>35</v>
      </c>
      <c r="E1775" s="15" t="s">
        <v>35</v>
      </c>
      <c r="F1775" s="15" t="s">
        <v>1091</v>
      </c>
      <c r="G1775" s="15" t="s">
        <v>36</v>
      </c>
      <c r="H1775" s="15" t="s">
        <v>10097</v>
      </c>
      <c r="I1775" s="15" t="s">
        <v>10098</v>
      </c>
      <c r="J1775" s="15" t="s">
        <v>10099</v>
      </c>
      <c r="K1775" s="15" t="s">
        <v>40</v>
      </c>
      <c r="L1775" s="15" t="s">
        <v>41</v>
      </c>
      <c r="M1775" s="15" t="s">
        <v>810</v>
      </c>
      <c r="N1775" s="15" t="s">
        <v>811</v>
      </c>
      <c r="O1775" s="15" t="s">
        <v>44</v>
      </c>
      <c r="P1775" s="15" t="s">
        <v>10100</v>
      </c>
      <c r="Q1775" s="15" t="s">
        <v>10101</v>
      </c>
      <c r="R1775" s="16">
        <v>44329</v>
      </c>
      <c r="S1775" s="17" t="s">
        <v>317</v>
      </c>
      <c r="T1775" s="20">
        <f>HYPERLINK("https://vnm.spiral.com.vn//uploaded/20210513/8a75b10c-94d2-49c3-b0c7-a55f1d3a8aba.JPEG","08:01:24")</f>
      </c>
      <c r="U1775" s="20">
        <f>HYPERLINK("https://vnm.spiral.com.vn//uploaded/20210513/bb41f4ab-34e0-448d-996f-2a804612b20c.JPEG","12:02:32")</f>
      </c>
      <c r="V1775" s="18">
        <v>0.16745370370370372</v>
      </c>
      <c r="W1775" s="15" t="s">
        <v>10102</v>
      </c>
      <c r="X1775" s="15" t="s">
        <v>10103</v>
      </c>
      <c r="Y1775" s="15" t="s">
        <v>35</v>
      </c>
      <c r="Z1775" s="19">
        <v>0</v>
      </c>
      <c r="AA1775" s="15">
        <v>0</v>
      </c>
      <c r="AB1775" s="15" t="s">
        <v>35</v>
      </c>
    </row>
    <row r="1776">
      <c r="A1776" s="15">
        <v>1772</v>
      </c>
      <c r="B1776" s="15" t="s">
        <v>103</v>
      </c>
      <c r="C1776" s="15" t="s">
        <v>186</v>
      </c>
      <c r="D1776" s="15" t="s">
        <v>35</v>
      </c>
      <c r="E1776" s="15" t="s">
        <v>35</v>
      </c>
      <c r="F1776" s="15" t="s">
        <v>35</v>
      </c>
      <c r="G1776" s="15" t="s">
        <v>36</v>
      </c>
      <c r="H1776" s="15" t="s">
        <v>562</v>
      </c>
      <c r="I1776" s="15" t="s">
        <v>563</v>
      </c>
      <c r="J1776" s="15" t="s">
        <v>564</v>
      </c>
      <c r="K1776" s="15" t="s">
        <v>40</v>
      </c>
      <c r="L1776" s="15" t="s">
        <v>41</v>
      </c>
      <c r="M1776" s="15" t="s">
        <v>565</v>
      </c>
      <c r="N1776" s="15" t="s">
        <v>566</v>
      </c>
      <c r="O1776" s="15" t="s">
        <v>44</v>
      </c>
      <c r="P1776" s="15" t="s">
        <v>567</v>
      </c>
      <c r="Q1776" s="15" t="s">
        <v>568</v>
      </c>
      <c r="R1776" s="16">
        <v>44329</v>
      </c>
      <c r="S1776" s="17" t="s">
        <v>317</v>
      </c>
      <c r="T1776" s="20">
        <f>HYPERLINK("https://vnm.spiral.com.vn//uploaded/20210513/A50D72D8-21C7-4142-BD46-2F582F2679AA.jpg","08:18:38")</f>
      </c>
      <c r="U1776" s="20">
        <f>HYPERLINK("https://vnm.spiral.com.vn//uploaded/20210513/252E34C0-0F9C-4D0B-B157-C390753600DC.jpg","12:02:31")</f>
      </c>
      <c r="V1776" s="18">
        <v>0.15547453703703704</v>
      </c>
      <c r="W1776" s="15" t="s">
        <v>10104</v>
      </c>
      <c r="X1776" s="15" t="s">
        <v>10105</v>
      </c>
      <c r="Y1776" s="15" t="s">
        <v>35</v>
      </c>
      <c r="Z1776" s="19">
        <v>0</v>
      </c>
      <c r="AA1776" s="15">
        <v>0</v>
      </c>
      <c r="AB1776" s="15" t="s">
        <v>35</v>
      </c>
    </row>
    <row r="1777">
      <c r="A1777" s="15">
        <v>1773</v>
      </c>
      <c r="B1777" s="15" t="s">
        <v>103</v>
      </c>
      <c r="C1777" s="15" t="s">
        <v>1078</v>
      </c>
      <c r="D1777" s="15" t="s">
        <v>304</v>
      </c>
      <c r="E1777" s="15" t="s">
        <v>305</v>
      </c>
      <c r="F1777" s="15" t="s">
        <v>35</v>
      </c>
      <c r="G1777" s="15" t="s">
        <v>74</v>
      </c>
      <c r="H1777" s="15" t="s">
        <v>5753</v>
      </c>
      <c r="I1777" s="15" t="s">
        <v>5754</v>
      </c>
      <c r="J1777" s="15" t="s">
        <v>5755</v>
      </c>
      <c r="K1777" s="15" t="s">
        <v>190</v>
      </c>
      <c r="L1777" s="15" t="s">
        <v>191</v>
      </c>
      <c r="M1777" s="15" t="s">
        <v>436</v>
      </c>
      <c r="N1777" s="15" t="s">
        <v>437</v>
      </c>
      <c r="O1777" s="15" t="s">
        <v>98</v>
      </c>
      <c r="P1777" s="15" t="s">
        <v>1429</v>
      </c>
      <c r="Q1777" s="15" t="s">
        <v>1430</v>
      </c>
      <c r="R1777" s="16">
        <v>44329</v>
      </c>
      <c r="S1777" s="17" t="s">
        <v>35</v>
      </c>
      <c r="T1777" s="20">
        <f>HYPERLINK("https://vnm.spiral.com.vn//uploaded/20210513/2091273c-00eb-413a-a1b3-7f867c06dbb1.JPEG","11:48:53")</f>
      </c>
      <c r="U1777" s="20">
        <f>HYPERLINK("https://vnm.spiral.com.vn//uploaded/20210513/99bb6f53-1a73-46e2-9d59-89ee34ae81bb.JPEG","12:02:24")</f>
      </c>
      <c r="V1777" s="18">
        <v>0.009386574074074073</v>
      </c>
      <c r="W1777" s="15" t="s">
        <v>10106</v>
      </c>
      <c r="X1777" s="15" t="s">
        <v>10107</v>
      </c>
      <c r="Y1777" s="15" t="s">
        <v>35</v>
      </c>
      <c r="Z1777" s="19">
        <v>0</v>
      </c>
      <c r="AA1777" s="15">
        <v>0</v>
      </c>
      <c r="AB1777" s="15" t="s">
        <v>35</v>
      </c>
    </row>
    <row r="1778">
      <c r="A1778" s="15">
        <v>1774</v>
      </c>
      <c r="B1778" s="15" t="s">
        <v>49</v>
      </c>
      <c r="C1778" s="15" t="s">
        <v>756</v>
      </c>
      <c r="D1778" s="15" t="s">
        <v>35</v>
      </c>
      <c r="E1778" s="15" t="s">
        <v>35</v>
      </c>
      <c r="F1778" s="15" t="s">
        <v>6964</v>
      </c>
      <c r="G1778" s="15" t="s">
        <v>36</v>
      </c>
      <c r="H1778" s="15" t="s">
        <v>7655</v>
      </c>
      <c r="I1778" s="15" t="s">
        <v>7656</v>
      </c>
      <c r="J1778" s="15" t="s">
        <v>7657</v>
      </c>
      <c r="K1778" s="15" t="s">
        <v>40</v>
      </c>
      <c r="L1778" s="15" t="s">
        <v>41</v>
      </c>
      <c r="M1778" s="15" t="s">
        <v>55</v>
      </c>
      <c r="N1778" s="15" t="s">
        <v>56</v>
      </c>
      <c r="O1778" s="15" t="s">
        <v>44</v>
      </c>
      <c r="P1778" s="15" t="s">
        <v>7658</v>
      </c>
      <c r="Q1778" s="15" t="s">
        <v>7659</v>
      </c>
      <c r="R1778" s="16">
        <v>44329</v>
      </c>
      <c r="S1778" s="17" t="s">
        <v>9898</v>
      </c>
      <c r="T1778" s="20">
        <f>HYPERLINK("https://vnm.spiral.com.vn//uploaded/20210513/f1f9de5d-9017-4713-8882-f56d9c6ad382.JPEG","07:00:08")</f>
      </c>
      <c r="U1778" s="20">
        <f>HYPERLINK("https://vnm.spiral.com.vn//uploaded/20210513/5d30107e-c358-45f6-9be8-9c4c9ce511d7.JPEG","12:02:24")</f>
      </c>
      <c r="V1778" s="18">
        <v>0.2099074074074074</v>
      </c>
      <c r="W1778" s="15" t="s">
        <v>10108</v>
      </c>
      <c r="X1778" s="15" t="s">
        <v>10109</v>
      </c>
      <c r="Y1778" s="15" t="s">
        <v>35</v>
      </c>
      <c r="Z1778" s="19">
        <v>0</v>
      </c>
      <c r="AA1778" s="15">
        <v>0</v>
      </c>
      <c r="AB1778" s="15" t="s">
        <v>35</v>
      </c>
    </row>
    <row r="1779">
      <c r="A1779" s="15">
        <v>1775</v>
      </c>
      <c r="B1779" s="15" t="s">
        <v>343</v>
      </c>
      <c r="C1779" s="15" t="s">
        <v>344</v>
      </c>
      <c r="D1779" s="15" t="s">
        <v>35</v>
      </c>
      <c r="E1779" s="15" t="s">
        <v>35</v>
      </c>
      <c r="F1779" s="15" t="s">
        <v>35</v>
      </c>
      <c r="G1779" s="15" t="s">
        <v>36</v>
      </c>
      <c r="H1779" s="15" t="s">
        <v>6203</v>
      </c>
      <c r="I1779" s="15" t="s">
        <v>4818</v>
      </c>
      <c r="J1779" s="15" t="s">
        <v>6204</v>
      </c>
      <c r="K1779" s="15" t="s">
        <v>40</v>
      </c>
      <c r="L1779" s="15" t="s">
        <v>41</v>
      </c>
      <c r="M1779" s="15" t="s">
        <v>409</v>
      </c>
      <c r="N1779" s="15" t="s">
        <v>410</v>
      </c>
      <c r="O1779" s="15" t="s">
        <v>44</v>
      </c>
      <c r="P1779" s="15" t="s">
        <v>6205</v>
      </c>
      <c r="Q1779" s="15" t="s">
        <v>6206</v>
      </c>
      <c r="R1779" s="16">
        <v>44329</v>
      </c>
      <c r="S1779" s="17" t="s">
        <v>317</v>
      </c>
      <c r="T1779" s="20">
        <f>HYPERLINK("https://vnm.spiral.com.vn//uploaded/20210513/a03aad69-589b-457b-a707-de59acb34c1b.JPEG","08:09:32")</f>
      </c>
      <c r="U1779" s="20">
        <f>HYPERLINK("https://vnm.spiral.com.vn//uploaded/20210513/a630cd08-839c-4894-b47b-72bd4bb38f8b.JPEG","12:02:23")</f>
      </c>
      <c r="V1779" s="18">
        <v>0.16170138888888888</v>
      </c>
      <c r="W1779" s="15" t="s">
        <v>10110</v>
      </c>
      <c r="X1779" s="15" t="s">
        <v>10111</v>
      </c>
      <c r="Y1779" s="15" t="s">
        <v>35</v>
      </c>
      <c r="Z1779" s="19">
        <v>0</v>
      </c>
      <c r="AA1779" s="15">
        <v>0</v>
      </c>
      <c r="AB1779" s="15" t="s">
        <v>35</v>
      </c>
    </row>
    <row r="1780">
      <c r="A1780" s="15">
        <v>1776</v>
      </c>
      <c r="B1780" s="15" t="s">
        <v>87</v>
      </c>
      <c r="C1780" s="15" t="s">
        <v>88</v>
      </c>
      <c r="D1780" s="15" t="s">
        <v>135</v>
      </c>
      <c r="E1780" s="15" t="s">
        <v>116</v>
      </c>
      <c r="F1780" s="15" t="s">
        <v>35</v>
      </c>
      <c r="G1780" s="15" t="s">
        <v>74</v>
      </c>
      <c r="H1780" s="15" t="s">
        <v>10112</v>
      </c>
      <c r="I1780" s="15" t="s">
        <v>10113</v>
      </c>
      <c r="J1780" s="15" t="s">
        <v>10114</v>
      </c>
      <c r="K1780" s="15" t="s">
        <v>139</v>
      </c>
      <c r="L1780" s="15" t="s">
        <v>140</v>
      </c>
      <c r="M1780" s="15" t="s">
        <v>141</v>
      </c>
      <c r="N1780" s="15" t="s">
        <v>142</v>
      </c>
      <c r="O1780" s="15" t="s">
        <v>82</v>
      </c>
      <c r="P1780" s="15" t="s">
        <v>1400</v>
      </c>
      <c r="Q1780" s="15" t="s">
        <v>1401</v>
      </c>
      <c r="R1780" s="16">
        <v>44329</v>
      </c>
      <c r="S1780" s="17" t="s">
        <v>70</v>
      </c>
      <c r="T1780" s="20">
        <f>HYPERLINK("https://vnm.spiral.com.vn//uploaded/20210513/D2893ABA-F322-4DC1-9655-9E50383E4AAA.jpg","11:15:41")</f>
      </c>
      <c r="U1780" s="20">
        <f>HYPERLINK("https://vnm.spiral.com.vn//uploaded/20210513/BA43FE98-25D7-48C9-BD03-31FA3C40DDC8.jpg","12:02:22")</f>
      </c>
      <c r="V1780" s="18">
        <v>0.03241898148148148</v>
      </c>
      <c r="W1780" s="15" t="s">
        <v>10115</v>
      </c>
      <c r="X1780" s="15" t="s">
        <v>10116</v>
      </c>
      <c r="Y1780" s="15" t="s">
        <v>35</v>
      </c>
      <c r="Z1780" s="19">
        <v>0</v>
      </c>
      <c r="AA1780" s="15">
        <v>0</v>
      </c>
      <c r="AB1780" s="15" t="s">
        <v>35</v>
      </c>
    </row>
    <row r="1781">
      <c r="A1781" s="15">
        <v>1777</v>
      </c>
      <c r="B1781" s="15" t="s">
        <v>87</v>
      </c>
      <c r="C1781" s="15" t="s">
        <v>88</v>
      </c>
      <c r="D1781" s="15" t="s">
        <v>35</v>
      </c>
      <c r="E1781" s="15" t="s">
        <v>35</v>
      </c>
      <c r="F1781" s="15" t="s">
        <v>2077</v>
      </c>
      <c r="G1781" s="15" t="s">
        <v>36</v>
      </c>
      <c r="H1781" s="15" t="s">
        <v>3421</v>
      </c>
      <c r="I1781" s="15" t="s">
        <v>3422</v>
      </c>
      <c r="J1781" s="15" t="s">
        <v>3423</v>
      </c>
      <c r="K1781" s="15" t="s">
        <v>40</v>
      </c>
      <c r="L1781" s="15" t="s">
        <v>41</v>
      </c>
      <c r="M1781" s="15" t="s">
        <v>289</v>
      </c>
      <c r="N1781" s="15" t="s">
        <v>290</v>
      </c>
      <c r="O1781" s="15" t="s">
        <v>44</v>
      </c>
      <c r="P1781" s="15" t="s">
        <v>3424</v>
      </c>
      <c r="Q1781" s="15" t="s">
        <v>3425</v>
      </c>
      <c r="R1781" s="16">
        <v>44329</v>
      </c>
      <c r="S1781" s="17" t="s">
        <v>317</v>
      </c>
      <c r="T1781" s="20">
        <f>HYPERLINK("https://vnm.spiral.com.vn//uploaded/20210513/82b837d6-d131-43c8-9a33-93fcae30ba58.JPEG","08:02:19")</f>
      </c>
      <c r="U1781" s="20">
        <f>HYPERLINK("https://vnm.spiral.com.vn//uploaded/20210513/0d729e27-274b-48a3-a107-b5a331b5d92a.JPEG","12:02:14")</f>
      </c>
      <c r="V1781" s="18">
        <v>0.1666087962962963</v>
      </c>
      <c r="W1781" s="15" t="s">
        <v>10117</v>
      </c>
      <c r="X1781" s="15" t="s">
        <v>10118</v>
      </c>
      <c r="Y1781" s="15" t="s">
        <v>35</v>
      </c>
      <c r="Z1781" s="19">
        <v>0</v>
      </c>
      <c r="AA1781" s="15">
        <v>0</v>
      </c>
      <c r="AB1781" s="15" t="s">
        <v>35</v>
      </c>
    </row>
    <row r="1782">
      <c r="A1782" s="15">
        <v>1778</v>
      </c>
      <c r="B1782" s="15" t="s">
        <v>246</v>
      </c>
      <c r="C1782" s="15" t="s">
        <v>259</v>
      </c>
      <c r="D1782" s="15" t="s">
        <v>35</v>
      </c>
      <c r="E1782" s="15" t="s">
        <v>35</v>
      </c>
      <c r="F1782" s="15" t="s">
        <v>1352</v>
      </c>
      <c r="G1782" s="15" t="s">
        <v>36</v>
      </c>
      <c r="H1782" s="15" t="s">
        <v>7567</v>
      </c>
      <c r="I1782" s="15" t="s">
        <v>7568</v>
      </c>
      <c r="J1782" s="15" t="s">
        <v>7569</v>
      </c>
      <c r="K1782" s="15" t="s">
        <v>40</v>
      </c>
      <c r="L1782" s="15" t="s">
        <v>41</v>
      </c>
      <c r="M1782" s="15" t="s">
        <v>252</v>
      </c>
      <c r="N1782" s="15" t="s">
        <v>253</v>
      </c>
      <c r="O1782" s="15" t="s">
        <v>44</v>
      </c>
      <c r="P1782" s="15" t="s">
        <v>7570</v>
      </c>
      <c r="Q1782" s="15" t="s">
        <v>4862</v>
      </c>
      <c r="R1782" s="16">
        <v>44329</v>
      </c>
      <c r="S1782" s="17" t="s">
        <v>317</v>
      </c>
      <c r="T1782" s="20">
        <f>HYPERLINK("https://vnm.spiral.com.vn//uploaded/20210513/d5875e60-d6c3-41bf-8b20-0c741ed5bf74.JPEG","08:02:15")</f>
      </c>
      <c r="U1782" s="20">
        <f>HYPERLINK("https://vnm.spiral.com.vn//uploaded/20210513/3dd43880-624d-49b4-83a9-8bd9d3fcf6bf.JPEG","12:02:14")</f>
      </c>
      <c r="V1782" s="18">
        <v>0.1666550925925926</v>
      </c>
      <c r="W1782" s="15" t="s">
        <v>7571</v>
      </c>
      <c r="X1782" s="15" t="s">
        <v>10119</v>
      </c>
      <c r="Y1782" s="15" t="s">
        <v>35</v>
      </c>
      <c r="Z1782" s="19">
        <v>0</v>
      </c>
      <c r="AA1782" s="15">
        <v>0</v>
      </c>
      <c r="AB1782" s="15" t="s">
        <v>35</v>
      </c>
    </row>
    <row r="1783">
      <c r="A1783" s="15">
        <v>1779</v>
      </c>
      <c r="B1783" s="15" t="s">
        <v>343</v>
      </c>
      <c r="C1783" s="15" t="s">
        <v>344</v>
      </c>
      <c r="D1783" s="15" t="s">
        <v>878</v>
      </c>
      <c r="E1783" s="15" t="s">
        <v>35</v>
      </c>
      <c r="F1783" s="15" t="s">
        <v>35</v>
      </c>
      <c r="G1783" s="15" t="s">
        <v>74</v>
      </c>
      <c r="H1783" s="15" t="s">
        <v>10120</v>
      </c>
      <c r="I1783" s="15" t="s">
        <v>10121</v>
      </c>
      <c r="J1783" s="15" t="s">
        <v>10122</v>
      </c>
      <c r="K1783" s="15" t="s">
        <v>584</v>
      </c>
      <c r="L1783" s="15" t="s">
        <v>585</v>
      </c>
      <c r="M1783" s="15" t="s">
        <v>586</v>
      </c>
      <c r="N1783" s="15" t="s">
        <v>587</v>
      </c>
      <c r="O1783" s="15" t="s">
        <v>82</v>
      </c>
      <c r="P1783" s="15" t="s">
        <v>1232</v>
      </c>
      <c r="Q1783" s="15" t="s">
        <v>1233</v>
      </c>
      <c r="R1783" s="16">
        <v>44329</v>
      </c>
      <c r="S1783" s="17" t="s">
        <v>70</v>
      </c>
      <c r="T1783" s="20">
        <f>HYPERLINK("https://vnm.spiral.com.vn//uploaded/20210513/49d9a388-b867-4d7d-9dfd-34babae7462c.JPEG","10:09:16")</f>
      </c>
      <c r="U1783" s="20">
        <f>HYPERLINK("https://vnm.spiral.com.vn//uploaded/20210513/960b1437-97f3-4dd9-92de-dba6753e86cd.JPEG","12:02:12")</f>
      </c>
      <c r="V1783" s="18">
        <v>0.07842592592592593</v>
      </c>
      <c r="W1783" s="15" t="s">
        <v>10123</v>
      </c>
      <c r="X1783" s="15" t="s">
        <v>10124</v>
      </c>
      <c r="Y1783" s="15" t="s">
        <v>35</v>
      </c>
      <c r="Z1783" s="19">
        <v>0</v>
      </c>
      <c r="AA1783" s="15">
        <v>0</v>
      </c>
      <c r="AB1783" s="15" t="s">
        <v>35</v>
      </c>
    </row>
    <row r="1784">
      <c r="A1784" s="15">
        <v>1780</v>
      </c>
      <c r="B1784" s="15" t="s">
        <v>49</v>
      </c>
      <c r="C1784" s="15" t="s">
        <v>369</v>
      </c>
      <c r="D1784" s="15" t="s">
        <v>35</v>
      </c>
      <c r="E1784" s="15" t="s">
        <v>35</v>
      </c>
      <c r="F1784" s="15" t="s">
        <v>35</v>
      </c>
      <c r="G1784" s="15" t="s">
        <v>35</v>
      </c>
      <c r="H1784" s="15" t="s">
        <v>7690</v>
      </c>
      <c r="I1784" s="15" t="s">
        <v>7691</v>
      </c>
      <c r="J1784" s="15" t="s">
        <v>7692</v>
      </c>
      <c r="K1784" s="15" t="s">
        <v>40</v>
      </c>
      <c r="L1784" s="15" t="s">
        <v>41</v>
      </c>
      <c r="M1784" s="15" t="s">
        <v>55</v>
      </c>
      <c r="N1784" s="15" t="s">
        <v>56</v>
      </c>
      <c r="O1784" s="15" t="s">
        <v>44</v>
      </c>
      <c r="P1784" s="15" t="s">
        <v>7693</v>
      </c>
      <c r="Q1784" s="15" t="s">
        <v>2472</v>
      </c>
      <c r="R1784" s="16">
        <v>44329</v>
      </c>
      <c r="S1784" s="17" t="s">
        <v>317</v>
      </c>
      <c r="T1784" s="20">
        <f>HYPERLINK("https://vnm.spiral.com.vn//uploaded/20210513/BE7F2A84-5AD8-471B-8C1D-C9C65F2BC4F7.jpg","07:59:45")</f>
      </c>
      <c r="U1784" s="20">
        <f>HYPERLINK("https://vnm.spiral.com.vn//uploaded/20210513/A2EFD630-03AB-407D-B7A2-CBED71355403.jpg","12:02:11")</f>
      </c>
      <c r="V1784" s="18">
        <v>0.16835648148148147</v>
      </c>
      <c r="W1784" s="15" t="s">
        <v>10125</v>
      </c>
      <c r="X1784" s="15" t="s">
        <v>10126</v>
      </c>
      <c r="Y1784" s="15" t="s">
        <v>35</v>
      </c>
      <c r="Z1784" s="19">
        <v>0</v>
      </c>
      <c r="AA1784" s="15">
        <v>0</v>
      </c>
      <c r="AB1784" s="15" t="s">
        <v>35</v>
      </c>
    </row>
    <row r="1785">
      <c r="A1785" s="15">
        <v>1781</v>
      </c>
      <c r="B1785" s="15" t="s">
        <v>87</v>
      </c>
      <c r="C1785" s="15" t="s">
        <v>88</v>
      </c>
      <c r="D1785" s="15" t="s">
        <v>35</v>
      </c>
      <c r="E1785" s="15" t="s">
        <v>35</v>
      </c>
      <c r="F1785" s="15" t="s">
        <v>2077</v>
      </c>
      <c r="G1785" s="15" t="s">
        <v>36</v>
      </c>
      <c r="H1785" s="15" t="s">
        <v>7360</v>
      </c>
      <c r="I1785" s="15" t="s">
        <v>7361</v>
      </c>
      <c r="J1785" s="15" t="s">
        <v>7362</v>
      </c>
      <c r="K1785" s="15" t="s">
        <v>40</v>
      </c>
      <c r="L1785" s="15" t="s">
        <v>41</v>
      </c>
      <c r="M1785" s="15" t="s">
        <v>289</v>
      </c>
      <c r="N1785" s="15" t="s">
        <v>290</v>
      </c>
      <c r="O1785" s="15" t="s">
        <v>44</v>
      </c>
      <c r="P1785" s="15" t="s">
        <v>7363</v>
      </c>
      <c r="Q1785" s="15" t="s">
        <v>7364</v>
      </c>
      <c r="R1785" s="16">
        <v>44329</v>
      </c>
      <c r="S1785" s="17" t="s">
        <v>9898</v>
      </c>
      <c r="T1785" s="20">
        <f>HYPERLINK("https://vnm.spiral.com.vn//uploaded/20210513/d09e37f3-bb94-4ff9-a66f-4e2068d1f29b.JPEG","07:04:25")</f>
      </c>
      <c r="U1785" s="20">
        <f>HYPERLINK("https://vnm.spiral.com.vn//uploaded/20210513/be32c82a-6af7-4d05-ae84-8bd9bee0c718.JPEG","12:02:06")</f>
      </c>
      <c r="V1785" s="18">
        <v>0.20672453703703703</v>
      </c>
      <c r="W1785" s="15" t="s">
        <v>10127</v>
      </c>
      <c r="X1785" s="15" t="s">
        <v>10128</v>
      </c>
      <c r="Y1785" s="15" t="s">
        <v>35</v>
      </c>
      <c r="Z1785" s="19">
        <v>0</v>
      </c>
      <c r="AA1785" s="15">
        <v>0</v>
      </c>
      <c r="AB1785" s="15" t="s">
        <v>35</v>
      </c>
    </row>
    <row r="1786">
      <c r="A1786" s="15">
        <v>1782</v>
      </c>
      <c r="B1786" s="15" t="s">
        <v>103</v>
      </c>
      <c r="C1786" s="15" t="s">
        <v>186</v>
      </c>
      <c r="D1786" s="15" t="s">
        <v>35</v>
      </c>
      <c r="E1786" s="15" t="s">
        <v>35</v>
      </c>
      <c r="F1786" s="15" t="s">
        <v>35</v>
      </c>
      <c r="G1786" s="15" t="s">
        <v>36</v>
      </c>
      <c r="H1786" s="15" t="s">
        <v>6560</v>
      </c>
      <c r="I1786" s="15" t="s">
        <v>6561</v>
      </c>
      <c r="J1786" s="15" t="s">
        <v>6562</v>
      </c>
      <c r="K1786" s="15" t="s">
        <v>40</v>
      </c>
      <c r="L1786" s="15" t="s">
        <v>41</v>
      </c>
      <c r="M1786" s="15" t="s">
        <v>565</v>
      </c>
      <c r="N1786" s="15" t="s">
        <v>566</v>
      </c>
      <c r="O1786" s="15" t="s">
        <v>44</v>
      </c>
      <c r="P1786" s="15" t="s">
        <v>6563</v>
      </c>
      <c r="Q1786" s="15" t="s">
        <v>6564</v>
      </c>
      <c r="R1786" s="16">
        <v>44329</v>
      </c>
      <c r="S1786" s="17" t="s">
        <v>9898</v>
      </c>
      <c r="T1786" s="20">
        <f>HYPERLINK("https://vnm.spiral.com.vn//uploaded/20210513/5F9DE36A-8B44-4998-9140-E947E843241D.jpg","07:03:05")</f>
      </c>
      <c r="U1786" s="20">
        <f>HYPERLINK("https://vnm.spiral.com.vn//uploaded/20210513/14CD1D94-75D6-4E60-B1D5-CBB2292934AB.jpg","12:02:06")</f>
      </c>
      <c r="V1786" s="18">
        <v>0.20765046296296297</v>
      </c>
      <c r="W1786" s="15" t="s">
        <v>10129</v>
      </c>
      <c r="X1786" s="15" t="s">
        <v>10130</v>
      </c>
      <c r="Y1786" s="15" t="s">
        <v>35</v>
      </c>
      <c r="Z1786" s="19">
        <v>0</v>
      </c>
      <c r="AA1786" s="15">
        <v>0</v>
      </c>
      <c r="AB1786" s="15" t="s">
        <v>35</v>
      </c>
    </row>
    <row r="1787">
      <c r="A1787" s="15">
        <v>1783</v>
      </c>
      <c r="B1787" s="15" t="s">
        <v>87</v>
      </c>
      <c r="C1787" s="15" t="s">
        <v>88</v>
      </c>
      <c r="D1787" s="15" t="s">
        <v>35</v>
      </c>
      <c r="E1787" s="15" t="s">
        <v>35</v>
      </c>
      <c r="F1787" s="15" t="s">
        <v>2667</v>
      </c>
      <c r="G1787" s="15" t="s">
        <v>36</v>
      </c>
      <c r="H1787" s="15" t="s">
        <v>10131</v>
      </c>
      <c r="I1787" s="15" t="s">
        <v>10132</v>
      </c>
      <c r="J1787" s="15" t="s">
        <v>10133</v>
      </c>
      <c r="K1787" s="15" t="s">
        <v>40</v>
      </c>
      <c r="L1787" s="15" t="s">
        <v>41</v>
      </c>
      <c r="M1787" s="15" t="s">
        <v>1195</v>
      </c>
      <c r="N1787" s="15" t="s">
        <v>1196</v>
      </c>
      <c r="O1787" s="15" t="s">
        <v>44</v>
      </c>
      <c r="P1787" s="15" t="s">
        <v>5187</v>
      </c>
      <c r="Q1787" s="15" t="s">
        <v>5188</v>
      </c>
      <c r="R1787" s="16">
        <v>44329</v>
      </c>
      <c r="S1787" s="17" t="s">
        <v>317</v>
      </c>
      <c r="T1787" s="20">
        <f>HYPERLINK("https://vnm.spiral.com.vn//uploaded/20210513/c0eb805a-4273-4fe8-9e77-08b571a729f7.JPEG","07:57:48")</f>
      </c>
      <c r="U1787" s="20">
        <f>HYPERLINK("https://vnm.spiral.com.vn//uploaded/20210513/f85fbbef-50b1-42e4-aea7-5d147df12cb9.JPEG","12:02:04")</f>
      </c>
      <c r="V1787" s="18">
        <v>0.16962962962962963</v>
      </c>
      <c r="W1787" s="15" t="s">
        <v>10134</v>
      </c>
      <c r="X1787" s="15" t="s">
        <v>10135</v>
      </c>
      <c r="Y1787" s="15" t="s">
        <v>35</v>
      </c>
      <c r="Z1787" s="19">
        <v>0</v>
      </c>
      <c r="AA1787" s="15">
        <v>0</v>
      </c>
      <c r="AB1787" s="15" t="s">
        <v>35</v>
      </c>
    </row>
    <row r="1788">
      <c r="A1788" s="15">
        <v>1784</v>
      </c>
      <c r="B1788" s="15" t="s">
        <v>246</v>
      </c>
      <c r="C1788" s="15" t="s">
        <v>247</v>
      </c>
      <c r="D1788" s="15" t="s">
        <v>35</v>
      </c>
      <c r="E1788" s="15" t="s">
        <v>35</v>
      </c>
      <c r="F1788" s="15" t="s">
        <v>248</v>
      </c>
      <c r="G1788" s="15" t="s">
        <v>36</v>
      </c>
      <c r="H1788" s="15" t="s">
        <v>8256</v>
      </c>
      <c r="I1788" s="15" t="s">
        <v>8257</v>
      </c>
      <c r="J1788" s="15" t="s">
        <v>8258</v>
      </c>
      <c r="K1788" s="15" t="s">
        <v>40</v>
      </c>
      <c r="L1788" s="15" t="s">
        <v>41</v>
      </c>
      <c r="M1788" s="15" t="s">
        <v>252</v>
      </c>
      <c r="N1788" s="15" t="s">
        <v>253</v>
      </c>
      <c r="O1788" s="15" t="s">
        <v>44</v>
      </c>
      <c r="P1788" s="15" t="s">
        <v>8259</v>
      </c>
      <c r="Q1788" s="15" t="s">
        <v>8260</v>
      </c>
      <c r="R1788" s="16">
        <v>44329</v>
      </c>
      <c r="S1788" s="17" t="s">
        <v>317</v>
      </c>
      <c r="T1788" s="20">
        <f>HYPERLINK("https://vnm.spiral.com.vn//uploaded/20210513/beb2931d-ba23-4a4b-b289-54f9c17513a2.JPEG","08:01:56")</f>
      </c>
      <c r="U1788" s="20">
        <f>HYPERLINK("https://vnm.spiral.com.vn//uploaded/20210513/e1557dab-0d66-49b3-af6f-6eb680a58274.JPEG","12:01:54")</f>
      </c>
      <c r="V1788" s="18">
        <v>0.16664351851851852</v>
      </c>
      <c r="W1788" s="15" t="s">
        <v>10136</v>
      </c>
      <c r="X1788" s="15" t="s">
        <v>10137</v>
      </c>
      <c r="Y1788" s="15" t="s">
        <v>35</v>
      </c>
      <c r="Z1788" s="19">
        <v>0</v>
      </c>
      <c r="AA1788" s="15">
        <v>0</v>
      </c>
      <c r="AB1788" s="15" t="s">
        <v>35</v>
      </c>
    </row>
    <row r="1789">
      <c r="A1789" s="15">
        <v>1785</v>
      </c>
      <c r="B1789" s="15" t="s">
        <v>49</v>
      </c>
      <c r="C1789" s="15" t="s">
        <v>162</v>
      </c>
      <c r="D1789" s="15" t="s">
        <v>35</v>
      </c>
      <c r="E1789" s="15" t="s">
        <v>35</v>
      </c>
      <c r="F1789" s="15" t="s">
        <v>1221</v>
      </c>
      <c r="G1789" s="15" t="s">
        <v>36</v>
      </c>
      <c r="H1789" s="15" t="s">
        <v>1222</v>
      </c>
      <c r="I1789" s="15" t="s">
        <v>1223</v>
      </c>
      <c r="J1789" s="15" t="s">
        <v>1224</v>
      </c>
      <c r="K1789" s="15" t="s">
        <v>40</v>
      </c>
      <c r="L1789" s="15" t="s">
        <v>41</v>
      </c>
      <c r="M1789" s="15" t="s">
        <v>55</v>
      </c>
      <c r="N1789" s="15" t="s">
        <v>56</v>
      </c>
      <c r="O1789" s="15" t="s">
        <v>44</v>
      </c>
      <c r="P1789" s="15" t="s">
        <v>1225</v>
      </c>
      <c r="Q1789" s="15" t="s">
        <v>1226</v>
      </c>
      <c r="R1789" s="16">
        <v>44329</v>
      </c>
      <c r="S1789" s="17" t="s">
        <v>317</v>
      </c>
      <c r="T1789" s="20">
        <f>HYPERLINK("https://vnm.spiral.com.vn//uploaded/20210513/B89542AA-6C9C-4E3F-9635-C9CCDA71C963.jpg","07:41:44")</f>
      </c>
      <c r="U1789" s="20">
        <f>HYPERLINK("https://vnm.spiral.com.vn//uploaded/20210513/98DF57DB-7CD6-44D9-8EBC-3098E251C813.jpg","12:01:53")</f>
      </c>
      <c r="V1789" s="18">
        <v>0.18065972222222224</v>
      </c>
      <c r="W1789" s="15" t="s">
        <v>10138</v>
      </c>
      <c r="X1789" s="15" t="s">
        <v>10139</v>
      </c>
      <c r="Y1789" s="15" t="s">
        <v>35</v>
      </c>
      <c r="Z1789" s="19">
        <v>0</v>
      </c>
      <c r="AA1789" s="15">
        <v>0</v>
      </c>
      <c r="AB1789" s="15" t="s">
        <v>35</v>
      </c>
    </row>
    <row r="1790">
      <c r="A1790" s="15">
        <v>1786</v>
      </c>
      <c r="B1790" s="15" t="s">
        <v>103</v>
      </c>
      <c r="C1790" s="15" t="s">
        <v>186</v>
      </c>
      <c r="D1790" s="15" t="s">
        <v>35</v>
      </c>
      <c r="E1790" s="15" t="s">
        <v>35</v>
      </c>
      <c r="F1790" s="15" t="s">
        <v>35</v>
      </c>
      <c r="G1790" s="15" t="s">
        <v>36</v>
      </c>
      <c r="H1790" s="15" t="s">
        <v>6419</v>
      </c>
      <c r="I1790" s="15" t="s">
        <v>6420</v>
      </c>
      <c r="J1790" s="15" t="s">
        <v>6421</v>
      </c>
      <c r="K1790" s="15" t="s">
        <v>40</v>
      </c>
      <c r="L1790" s="15" t="s">
        <v>41</v>
      </c>
      <c r="M1790" s="15" t="s">
        <v>565</v>
      </c>
      <c r="N1790" s="15" t="s">
        <v>566</v>
      </c>
      <c r="O1790" s="15" t="s">
        <v>44</v>
      </c>
      <c r="P1790" s="15" t="s">
        <v>6422</v>
      </c>
      <c r="Q1790" s="15" t="s">
        <v>4541</v>
      </c>
      <c r="R1790" s="16">
        <v>44329</v>
      </c>
      <c r="S1790" s="17" t="s">
        <v>317</v>
      </c>
      <c r="T1790" s="20">
        <f>HYPERLINK("https://vnm.spiral.com.vn//uploaded/20210513/69F246FE-3965-4F1D-BF84-12D4ABCEBD98.jpg","08:03:42")</f>
      </c>
      <c r="U1790" s="20">
        <f>HYPERLINK("https://vnm.spiral.com.vn//uploaded/20210513/00979A2A-D184-49E2-B46D-AD247FE1726D.jpg","12:01:51")</f>
      </c>
      <c r="V1790" s="18">
        <v>0.16538194444444446</v>
      </c>
      <c r="W1790" s="15" t="s">
        <v>10140</v>
      </c>
      <c r="X1790" s="15" t="s">
        <v>10141</v>
      </c>
      <c r="Y1790" s="15" t="s">
        <v>35</v>
      </c>
      <c r="Z1790" s="19">
        <v>0</v>
      </c>
      <c r="AA1790" s="15">
        <v>0</v>
      </c>
      <c r="AB1790" s="15" t="s">
        <v>35</v>
      </c>
    </row>
    <row r="1791">
      <c r="A1791" s="15">
        <v>1787</v>
      </c>
      <c r="B1791" s="15" t="s">
        <v>246</v>
      </c>
      <c r="C1791" s="15" t="s">
        <v>864</v>
      </c>
      <c r="D1791" s="15" t="s">
        <v>35</v>
      </c>
      <c r="E1791" s="15" t="s">
        <v>35</v>
      </c>
      <c r="F1791" s="15" t="s">
        <v>1676</v>
      </c>
      <c r="G1791" s="15" t="s">
        <v>36</v>
      </c>
      <c r="H1791" s="15" t="s">
        <v>8084</v>
      </c>
      <c r="I1791" s="15" t="s">
        <v>8085</v>
      </c>
      <c r="J1791" s="15" t="s">
        <v>7586</v>
      </c>
      <c r="K1791" s="15" t="s">
        <v>40</v>
      </c>
      <c r="L1791" s="15" t="s">
        <v>41</v>
      </c>
      <c r="M1791" s="15" t="s">
        <v>252</v>
      </c>
      <c r="N1791" s="15" t="s">
        <v>253</v>
      </c>
      <c r="O1791" s="15" t="s">
        <v>44</v>
      </c>
      <c r="P1791" s="15" t="s">
        <v>8086</v>
      </c>
      <c r="Q1791" s="15" t="s">
        <v>8087</v>
      </c>
      <c r="R1791" s="16">
        <v>44329</v>
      </c>
      <c r="S1791" s="17" t="s">
        <v>317</v>
      </c>
      <c r="T1791" s="20">
        <f>HYPERLINK("https://vnm.spiral.com.vn//uploaded/20210513/E9E57790-F911-4A86-9A83-7A78D953E939.jpg","08:02:31")</f>
      </c>
      <c r="U1791" s="20">
        <f>HYPERLINK("https://vnm.spiral.com.vn//uploaded/20210513/8B6FABD6-6BA5-40B5-9C60-B5012A3BABC3.jpg","12:01:50")</f>
      </c>
      <c r="V1791" s="18">
        <v>0.16619212962962962</v>
      </c>
      <c r="W1791" s="15" t="s">
        <v>10142</v>
      </c>
      <c r="X1791" s="15" t="s">
        <v>10143</v>
      </c>
      <c r="Y1791" s="15" t="s">
        <v>35</v>
      </c>
      <c r="Z1791" s="19">
        <v>0</v>
      </c>
      <c r="AA1791" s="15">
        <v>0</v>
      </c>
      <c r="AB1791" s="15" t="s">
        <v>35</v>
      </c>
    </row>
    <row r="1792">
      <c r="A1792" s="15">
        <v>1788</v>
      </c>
      <c r="B1792" s="15" t="s">
        <v>343</v>
      </c>
      <c r="C1792" s="15" t="s">
        <v>344</v>
      </c>
      <c r="D1792" s="15" t="s">
        <v>35</v>
      </c>
      <c r="E1792" s="15" t="s">
        <v>35</v>
      </c>
      <c r="F1792" s="15" t="s">
        <v>35</v>
      </c>
      <c r="G1792" s="15" t="s">
        <v>36</v>
      </c>
      <c r="H1792" s="15" t="s">
        <v>9034</v>
      </c>
      <c r="I1792" s="15" t="s">
        <v>9035</v>
      </c>
      <c r="J1792" s="15" t="s">
        <v>9036</v>
      </c>
      <c r="K1792" s="15" t="s">
        <v>40</v>
      </c>
      <c r="L1792" s="15" t="s">
        <v>41</v>
      </c>
      <c r="M1792" s="15" t="s">
        <v>409</v>
      </c>
      <c r="N1792" s="15" t="s">
        <v>410</v>
      </c>
      <c r="O1792" s="15" t="s">
        <v>44</v>
      </c>
      <c r="P1792" s="15" t="s">
        <v>9037</v>
      </c>
      <c r="Q1792" s="15" t="s">
        <v>9038</v>
      </c>
      <c r="R1792" s="16">
        <v>44329</v>
      </c>
      <c r="S1792" s="17" t="s">
        <v>317</v>
      </c>
      <c r="T1792" s="20">
        <f>HYPERLINK("https://vnm.spiral.com.vn//uploaded/20210513/d1ce9b6d-2e81-4915-b040-96ab691c14fa.JPEG","07:36:54")</f>
      </c>
      <c r="U1792" s="20">
        <f>HYPERLINK("https://vnm.spiral.com.vn//uploaded/20210513/cbe83085-9a1b-4a3f-a246-705607b44d96.JPEG","12:01:46")</f>
      </c>
      <c r="V1792" s="18">
        <v>0.18393518518518517</v>
      </c>
      <c r="W1792" s="15" t="s">
        <v>9039</v>
      </c>
      <c r="X1792" s="15" t="s">
        <v>10144</v>
      </c>
      <c r="Y1792" s="15" t="s">
        <v>35</v>
      </c>
      <c r="Z1792" s="19">
        <v>0</v>
      </c>
      <c r="AA1792" s="15">
        <v>0</v>
      </c>
      <c r="AB1792" s="15" t="s">
        <v>35</v>
      </c>
    </row>
    <row r="1793">
      <c r="A1793" s="15">
        <v>1789</v>
      </c>
      <c r="B1793" s="15" t="s">
        <v>246</v>
      </c>
      <c r="C1793" s="15" t="s">
        <v>259</v>
      </c>
      <c r="D1793" s="15" t="s">
        <v>35</v>
      </c>
      <c r="E1793" s="15" t="s">
        <v>35</v>
      </c>
      <c r="F1793" s="15" t="s">
        <v>943</v>
      </c>
      <c r="G1793" s="15" t="s">
        <v>36</v>
      </c>
      <c r="H1793" s="15" t="s">
        <v>1176</v>
      </c>
      <c r="I1793" s="15" t="s">
        <v>471</v>
      </c>
      <c r="J1793" s="15" t="s">
        <v>1177</v>
      </c>
      <c r="K1793" s="15" t="s">
        <v>40</v>
      </c>
      <c r="L1793" s="15" t="s">
        <v>41</v>
      </c>
      <c r="M1793" s="15" t="s">
        <v>252</v>
      </c>
      <c r="N1793" s="15" t="s">
        <v>253</v>
      </c>
      <c r="O1793" s="15" t="s">
        <v>44</v>
      </c>
      <c r="P1793" s="15" t="s">
        <v>1178</v>
      </c>
      <c r="Q1793" s="15" t="s">
        <v>1179</v>
      </c>
      <c r="R1793" s="16">
        <v>44329</v>
      </c>
      <c r="S1793" s="17" t="s">
        <v>9898</v>
      </c>
      <c r="T1793" s="20">
        <f>HYPERLINK("https://vnm.spiral.com.vn//uploaded/20210513/1e0dab16-7268-4d64-8e1e-2bba327ace4d.JPEG","07:18:31")</f>
      </c>
      <c r="U1793" s="20">
        <f>HYPERLINK("https://vnm.spiral.com.vn//uploaded/20210513/85483324-9fd4-4ed6-b0a1-f4a8322c8bfa.JPEG","12:01:45")</f>
      </c>
      <c r="V1793" s="18">
        <v>0.19668981481481482</v>
      </c>
      <c r="W1793" s="15" t="s">
        <v>10145</v>
      </c>
      <c r="X1793" s="15" t="s">
        <v>10146</v>
      </c>
      <c r="Y1793" s="15" t="s">
        <v>35</v>
      </c>
      <c r="Z1793" s="19">
        <v>0</v>
      </c>
      <c r="AA1793" s="15">
        <v>0</v>
      </c>
      <c r="AB1793" s="15" t="s">
        <v>35</v>
      </c>
    </row>
    <row r="1794">
      <c r="A1794" s="15">
        <v>1790</v>
      </c>
      <c r="B1794" s="15" t="s">
        <v>87</v>
      </c>
      <c r="C1794" s="15" t="s">
        <v>88</v>
      </c>
      <c r="D1794" s="15" t="s">
        <v>35</v>
      </c>
      <c r="E1794" s="15" t="s">
        <v>35</v>
      </c>
      <c r="F1794" s="15" t="s">
        <v>2667</v>
      </c>
      <c r="G1794" s="15" t="s">
        <v>36</v>
      </c>
      <c r="H1794" s="15" t="s">
        <v>4960</v>
      </c>
      <c r="I1794" s="15" t="s">
        <v>4961</v>
      </c>
      <c r="J1794" s="15" t="s">
        <v>4962</v>
      </c>
      <c r="K1794" s="15" t="s">
        <v>40</v>
      </c>
      <c r="L1794" s="15" t="s">
        <v>41</v>
      </c>
      <c r="M1794" s="15" t="s">
        <v>1195</v>
      </c>
      <c r="N1794" s="15" t="s">
        <v>1196</v>
      </c>
      <c r="O1794" s="15" t="s">
        <v>44</v>
      </c>
      <c r="P1794" s="15" t="s">
        <v>4963</v>
      </c>
      <c r="Q1794" s="15" t="s">
        <v>4964</v>
      </c>
      <c r="R1794" s="16">
        <v>44329</v>
      </c>
      <c r="S1794" s="17" t="s">
        <v>317</v>
      </c>
      <c r="T1794" s="20">
        <f>HYPERLINK("https://vnm.spiral.com.vn//uploaded/20210513/43ff360b-1cb4-463c-b19c-b01d322ce7fa.JPEG","08:00:44")</f>
      </c>
      <c r="U1794" s="20">
        <f>HYPERLINK("https://vnm.spiral.com.vn//uploaded/20210513/8c456e04-e114-4d0d-bba6-9a90c720e32c.JPEG","12:01:45")</f>
      </c>
      <c r="V1794" s="18">
        <v>0.1673726851851852</v>
      </c>
      <c r="W1794" s="15" t="s">
        <v>10147</v>
      </c>
      <c r="X1794" s="15" t="s">
        <v>10148</v>
      </c>
      <c r="Y1794" s="15" t="s">
        <v>35</v>
      </c>
      <c r="Z1794" s="19">
        <v>0</v>
      </c>
      <c r="AA1794" s="15">
        <v>0</v>
      </c>
      <c r="AB1794" s="15" t="s">
        <v>35</v>
      </c>
    </row>
    <row r="1795">
      <c r="A1795" s="15">
        <v>1791</v>
      </c>
      <c r="B1795" s="15" t="s">
        <v>343</v>
      </c>
      <c r="C1795" s="15" t="s">
        <v>7476</v>
      </c>
      <c r="D1795" s="15" t="s">
        <v>35</v>
      </c>
      <c r="E1795" s="15" t="s">
        <v>35</v>
      </c>
      <c r="F1795" s="15" t="s">
        <v>35</v>
      </c>
      <c r="G1795" s="15" t="s">
        <v>36</v>
      </c>
      <c r="H1795" s="15" t="s">
        <v>8371</v>
      </c>
      <c r="I1795" s="15" t="s">
        <v>8372</v>
      </c>
      <c r="J1795" s="15" t="s">
        <v>8373</v>
      </c>
      <c r="K1795" s="15" t="s">
        <v>40</v>
      </c>
      <c r="L1795" s="15" t="s">
        <v>41</v>
      </c>
      <c r="M1795" s="15" t="s">
        <v>409</v>
      </c>
      <c r="N1795" s="15" t="s">
        <v>410</v>
      </c>
      <c r="O1795" s="15" t="s">
        <v>44</v>
      </c>
      <c r="P1795" s="15" t="s">
        <v>8374</v>
      </c>
      <c r="Q1795" s="15" t="s">
        <v>5981</v>
      </c>
      <c r="R1795" s="16">
        <v>44329</v>
      </c>
      <c r="S1795" s="17" t="s">
        <v>317</v>
      </c>
      <c r="T1795" s="20">
        <f>HYPERLINK("https://vnm.spiral.com.vn//uploaded/20210513/208E5AA0-B7A7-487A-9DA2-1F3C8D99B29E.jpg","07:57:07")</f>
      </c>
      <c r="U1795" s="20">
        <f>HYPERLINK("https://vnm.spiral.com.vn//uploaded/20210513/4A32D0EB-1A65-4163-ADCF-F50DB102CA41.jpg","12:01:39")</f>
      </c>
      <c r="V1795" s="18">
        <v>0.1698148148148148</v>
      </c>
      <c r="W1795" s="15" t="s">
        <v>10149</v>
      </c>
      <c r="X1795" s="15" t="s">
        <v>10150</v>
      </c>
      <c r="Y1795" s="15" t="s">
        <v>35</v>
      </c>
      <c r="Z1795" s="19">
        <v>0</v>
      </c>
      <c r="AA1795" s="15">
        <v>0</v>
      </c>
      <c r="AB1795" s="15" t="s">
        <v>35</v>
      </c>
    </row>
    <row r="1796">
      <c r="A1796" s="15">
        <v>1792</v>
      </c>
      <c r="B1796" s="15" t="s">
        <v>87</v>
      </c>
      <c r="C1796" s="15" t="s">
        <v>88</v>
      </c>
      <c r="D1796" s="15" t="s">
        <v>432</v>
      </c>
      <c r="E1796" s="15" t="s">
        <v>116</v>
      </c>
      <c r="F1796" s="15" t="s">
        <v>35</v>
      </c>
      <c r="G1796" s="15" t="s">
        <v>74</v>
      </c>
      <c r="H1796" s="15" t="s">
        <v>10151</v>
      </c>
      <c r="I1796" s="15" t="s">
        <v>10152</v>
      </c>
      <c r="J1796" s="15" t="s">
        <v>10153</v>
      </c>
      <c r="K1796" s="15" t="s">
        <v>625</v>
      </c>
      <c r="L1796" s="15" t="s">
        <v>626</v>
      </c>
      <c r="M1796" s="15" t="s">
        <v>1022</v>
      </c>
      <c r="N1796" s="15" t="s">
        <v>1023</v>
      </c>
      <c r="O1796" s="15" t="s">
        <v>82</v>
      </c>
      <c r="P1796" s="15" t="s">
        <v>1024</v>
      </c>
      <c r="Q1796" s="15" t="s">
        <v>1025</v>
      </c>
      <c r="R1796" s="16">
        <v>44329</v>
      </c>
      <c r="S1796" s="17" t="s">
        <v>70</v>
      </c>
      <c r="T1796" s="20">
        <f>HYPERLINK("https://vnm.spiral.com.vn//uploaded/20210513/0DDAE697-5DA5-4258-ABC1-D40FD62BD6FA.jpg","11:28:30")</f>
      </c>
      <c r="U1796" s="20">
        <f>HYPERLINK("https://vnm.spiral.com.vn//uploaded/20210513/70E97754-56F1-49AC-B6CC-6CDE2983C105.jpg","12:01:38")</f>
      </c>
      <c r="V1796" s="18">
        <v>0.02300925925925926</v>
      </c>
      <c r="W1796" s="15" t="s">
        <v>10154</v>
      </c>
      <c r="X1796" s="15" t="s">
        <v>10155</v>
      </c>
      <c r="Y1796" s="15" t="s">
        <v>35</v>
      </c>
      <c r="Z1796" s="19">
        <v>0</v>
      </c>
      <c r="AA1796" s="15">
        <v>0</v>
      </c>
      <c r="AB1796" s="15" t="s">
        <v>35</v>
      </c>
    </row>
    <row r="1797">
      <c r="A1797" s="15">
        <v>1793</v>
      </c>
      <c r="B1797" s="15" t="s">
        <v>103</v>
      </c>
      <c r="C1797" s="15" t="s">
        <v>104</v>
      </c>
      <c r="D1797" s="15" t="s">
        <v>35</v>
      </c>
      <c r="E1797" s="15" t="s">
        <v>35</v>
      </c>
      <c r="F1797" s="15" t="s">
        <v>35</v>
      </c>
      <c r="G1797" s="15" t="s">
        <v>36</v>
      </c>
      <c r="H1797" s="15" t="s">
        <v>5170</v>
      </c>
      <c r="I1797" s="15" t="s">
        <v>5171</v>
      </c>
      <c r="J1797" s="15" t="s">
        <v>5172</v>
      </c>
      <c r="K1797" s="15" t="s">
        <v>40</v>
      </c>
      <c r="L1797" s="15" t="s">
        <v>41</v>
      </c>
      <c r="M1797" s="15" t="s">
        <v>108</v>
      </c>
      <c r="N1797" s="15" t="s">
        <v>109</v>
      </c>
      <c r="O1797" s="15" t="s">
        <v>44</v>
      </c>
      <c r="P1797" s="15" t="s">
        <v>5173</v>
      </c>
      <c r="Q1797" s="15" t="s">
        <v>5174</v>
      </c>
      <c r="R1797" s="16">
        <v>44329</v>
      </c>
      <c r="S1797" s="17" t="s">
        <v>317</v>
      </c>
      <c r="T1797" s="20">
        <f>HYPERLINK("https://vnm.spiral.com.vn//uploaded/20210513/C7185D37-6B39-411D-8971-81948C4C0C55.jpg","07:50:54")</f>
      </c>
      <c r="U1797" s="20">
        <f>HYPERLINK("https://vnm.spiral.com.vn//uploaded/20210513/133773EE-F79D-4F47-B0E4-06A1686F0135.jpg","12:01:38")</f>
      </c>
      <c r="V1797" s="18">
        <v>0.17412037037037037</v>
      </c>
      <c r="W1797" s="15" t="s">
        <v>10156</v>
      </c>
      <c r="X1797" s="15" t="s">
        <v>10157</v>
      </c>
      <c r="Y1797" s="15" t="s">
        <v>35</v>
      </c>
      <c r="Z1797" s="19">
        <v>0</v>
      </c>
      <c r="AA1797" s="15">
        <v>0</v>
      </c>
      <c r="AB1797" s="15" t="s">
        <v>35</v>
      </c>
    </row>
    <row r="1798">
      <c r="A1798" s="15">
        <v>1794</v>
      </c>
      <c r="B1798" s="15" t="s">
        <v>49</v>
      </c>
      <c r="C1798" s="15" t="s">
        <v>369</v>
      </c>
      <c r="D1798" s="15" t="s">
        <v>35</v>
      </c>
      <c r="E1798" s="15" t="s">
        <v>35</v>
      </c>
      <c r="F1798" s="15" t="s">
        <v>370</v>
      </c>
      <c r="G1798" s="15" t="s">
        <v>36</v>
      </c>
      <c r="H1798" s="15" t="s">
        <v>5160</v>
      </c>
      <c r="I1798" s="15" t="s">
        <v>4357</v>
      </c>
      <c r="J1798" s="15" t="s">
        <v>5161</v>
      </c>
      <c r="K1798" s="15" t="s">
        <v>40</v>
      </c>
      <c r="L1798" s="15" t="s">
        <v>41</v>
      </c>
      <c r="M1798" s="15" t="s">
        <v>55</v>
      </c>
      <c r="N1798" s="15" t="s">
        <v>56</v>
      </c>
      <c r="O1798" s="15" t="s">
        <v>44</v>
      </c>
      <c r="P1798" s="15" t="s">
        <v>5162</v>
      </c>
      <c r="Q1798" s="15" t="s">
        <v>5163</v>
      </c>
      <c r="R1798" s="16">
        <v>44329</v>
      </c>
      <c r="S1798" s="17" t="s">
        <v>317</v>
      </c>
      <c r="T1798" s="20">
        <f>HYPERLINK("https://vnm.spiral.com.vn//uploaded/20210513/B9FE45B1-D14D-4994-AC0E-77EEA99B0E08.jpg","07:55:01")</f>
      </c>
      <c r="U1798" s="20">
        <f>HYPERLINK("https://vnm.spiral.com.vn//uploaded/20210513/22E125B2-15EE-48F4-8E18-291684C7818D.jpg","12:01:35")</f>
      </c>
      <c r="V1798" s="18">
        <v>0.17122685185185185</v>
      </c>
      <c r="W1798" s="15" t="s">
        <v>10158</v>
      </c>
      <c r="X1798" s="15" t="s">
        <v>10159</v>
      </c>
      <c r="Y1798" s="15" t="s">
        <v>35</v>
      </c>
      <c r="Z1798" s="19">
        <v>0</v>
      </c>
      <c r="AA1798" s="15">
        <v>0</v>
      </c>
      <c r="AB1798" s="15" t="s">
        <v>35</v>
      </c>
    </row>
    <row r="1799">
      <c r="A1799" s="15">
        <v>1795</v>
      </c>
      <c r="B1799" s="15" t="s">
        <v>87</v>
      </c>
      <c r="C1799" s="15" t="s">
        <v>88</v>
      </c>
      <c r="D1799" s="15" t="s">
        <v>35</v>
      </c>
      <c r="E1799" s="15" t="s">
        <v>35</v>
      </c>
      <c r="F1799" s="15" t="s">
        <v>2077</v>
      </c>
      <c r="G1799" s="15" t="s">
        <v>36</v>
      </c>
      <c r="H1799" s="15" t="s">
        <v>2914</v>
      </c>
      <c r="I1799" s="15" t="s">
        <v>2915</v>
      </c>
      <c r="J1799" s="15" t="s">
        <v>2916</v>
      </c>
      <c r="K1799" s="15" t="s">
        <v>40</v>
      </c>
      <c r="L1799" s="15" t="s">
        <v>41</v>
      </c>
      <c r="M1799" s="15" t="s">
        <v>289</v>
      </c>
      <c r="N1799" s="15" t="s">
        <v>290</v>
      </c>
      <c r="O1799" s="15" t="s">
        <v>44</v>
      </c>
      <c r="P1799" s="15" t="s">
        <v>2917</v>
      </c>
      <c r="Q1799" s="15" t="s">
        <v>2918</v>
      </c>
      <c r="R1799" s="16">
        <v>44329</v>
      </c>
      <c r="S1799" s="17" t="s">
        <v>317</v>
      </c>
      <c r="T1799" s="20">
        <f>HYPERLINK("https://vnm.spiral.com.vn//uploaded/20210513/ed2a0115-de34-41b3-a68a-c86b5e316173.JPEG","07:52:03")</f>
      </c>
      <c r="U1799" s="20">
        <f>HYPERLINK("https://vnm.spiral.com.vn//uploaded/20210513/7d202210-3863-4adf-afd2-4ada394f2a64.JPEG","12:01:32")</f>
      </c>
      <c r="V1799" s="18">
        <v>0.17325231481481482</v>
      </c>
      <c r="W1799" s="15" t="s">
        <v>10160</v>
      </c>
      <c r="X1799" s="15" t="s">
        <v>10161</v>
      </c>
      <c r="Y1799" s="15" t="s">
        <v>35</v>
      </c>
      <c r="Z1799" s="19">
        <v>0</v>
      </c>
      <c r="AA1799" s="15">
        <v>0</v>
      </c>
      <c r="AB1799" s="15" t="s">
        <v>35</v>
      </c>
    </row>
    <row r="1800">
      <c r="A1800" s="15">
        <v>1796</v>
      </c>
      <c r="B1800" s="15" t="s">
        <v>87</v>
      </c>
      <c r="C1800" s="15" t="s">
        <v>88</v>
      </c>
      <c r="D1800" s="15" t="s">
        <v>35</v>
      </c>
      <c r="E1800" s="15" t="s">
        <v>35</v>
      </c>
      <c r="F1800" s="15" t="s">
        <v>2789</v>
      </c>
      <c r="G1800" s="15" t="s">
        <v>36</v>
      </c>
      <c r="H1800" s="15" t="s">
        <v>2790</v>
      </c>
      <c r="I1800" s="15" t="s">
        <v>2791</v>
      </c>
      <c r="J1800" s="15" t="s">
        <v>2792</v>
      </c>
      <c r="K1800" s="15" t="s">
        <v>40</v>
      </c>
      <c r="L1800" s="15" t="s">
        <v>41</v>
      </c>
      <c r="M1800" s="15" t="s">
        <v>289</v>
      </c>
      <c r="N1800" s="15" t="s">
        <v>290</v>
      </c>
      <c r="O1800" s="15" t="s">
        <v>44</v>
      </c>
      <c r="P1800" s="15" t="s">
        <v>2793</v>
      </c>
      <c r="Q1800" s="15" t="s">
        <v>2794</v>
      </c>
      <c r="R1800" s="16">
        <v>44329</v>
      </c>
      <c r="S1800" s="17" t="s">
        <v>317</v>
      </c>
      <c r="T1800" s="20">
        <f>HYPERLINK("https://vnm.spiral.com.vn//uploaded/20210513/88764afb-46f2-4adc-aa81-d859688f1725.JPEG","07:54:26")</f>
      </c>
      <c r="U1800" s="20">
        <f>HYPERLINK("https://vnm.spiral.com.vn//uploaded/20210513/231e7ba8-1fd9-412e-b39b-c9e35489549b.JPEG","12:01:32")</f>
      </c>
      <c r="V1800" s="18">
        <v>0.17159722222222223</v>
      </c>
      <c r="W1800" s="15" t="s">
        <v>10162</v>
      </c>
      <c r="X1800" s="15" t="s">
        <v>10163</v>
      </c>
      <c r="Y1800" s="15" t="s">
        <v>35</v>
      </c>
      <c r="Z1800" s="19">
        <v>0</v>
      </c>
      <c r="AA1800" s="15">
        <v>0</v>
      </c>
      <c r="AB1800" s="15" t="s">
        <v>35</v>
      </c>
    </row>
    <row r="1801">
      <c r="A1801" s="15">
        <v>1797</v>
      </c>
      <c r="B1801" s="15" t="s">
        <v>103</v>
      </c>
      <c r="C1801" s="15" t="s">
        <v>186</v>
      </c>
      <c r="D1801" s="15" t="s">
        <v>35</v>
      </c>
      <c r="E1801" s="15" t="s">
        <v>35</v>
      </c>
      <c r="F1801" s="15" t="s">
        <v>35</v>
      </c>
      <c r="G1801" s="15" t="s">
        <v>36</v>
      </c>
      <c r="H1801" s="15" t="s">
        <v>6038</v>
      </c>
      <c r="I1801" s="15" t="s">
        <v>6039</v>
      </c>
      <c r="J1801" s="15" t="s">
        <v>6040</v>
      </c>
      <c r="K1801" s="15" t="s">
        <v>40</v>
      </c>
      <c r="L1801" s="15" t="s">
        <v>41</v>
      </c>
      <c r="M1801" s="15" t="s">
        <v>565</v>
      </c>
      <c r="N1801" s="15" t="s">
        <v>566</v>
      </c>
      <c r="O1801" s="15" t="s">
        <v>44</v>
      </c>
      <c r="P1801" s="15" t="s">
        <v>6041</v>
      </c>
      <c r="Q1801" s="15" t="s">
        <v>6042</v>
      </c>
      <c r="R1801" s="16">
        <v>44329</v>
      </c>
      <c r="S1801" s="17" t="s">
        <v>317</v>
      </c>
      <c r="T1801" s="20">
        <f>HYPERLINK("https://vnm.spiral.com.vn//uploaded/20210513/c38da8b9-adcd-4b73-a3e1-7917fb9d1ab7.JPEG","08:07:34")</f>
      </c>
      <c r="U1801" s="20">
        <f>HYPERLINK("https://vnm.spiral.com.vn//uploaded/20210513/0742506b-d850-4fe8-847e-e2a5436394ca.JPEG","12:01:29")</f>
      </c>
      <c r="V1801" s="18">
        <v>0.16244212962962962</v>
      </c>
      <c r="W1801" s="15" t="s">
        <v>10164</v>
      </c>
      <c r="X1801" s="15" t="s">
        <v>10165</v>
      </c>
      <c r="Y1801" s="15" t="s">
        <v>35</v>
      </c>
      <c r="Z1801" s="19">
        <v>0</v>
      </c>
      <c r="AA1801" s="15">
        <v>0</v>
      </c>
      <c r="AB1801" s="15" t="s">
        <v>35</v>
      </c>
    </row>
    <row r="1802">
      <c r="A1802" s="15">
        <v>1798</v>
      </c>
      <c r="B1802" s="15" t="s">
        <v>103</v>
      </c>
      <c r="C1802" s="15" t="s">
        <v>186</v>
      </c>
      <c r="D1802" s="15" t="s">
        <v>35</v>
      </c>
      <c r="E1802" s="15" t="s">
        <v>35</v>
      </c>
      <c r="F1802" s="15" t="s">
        <v>35</v>
      </c>
      <c r="G1802" s="15" t="s">
        <v>36</v>
      </c>
      <c r="H1802" s="15" t="s">
        <v>6771</v>
      </c>
      <c r="I1802" s="15" t="s">
        <v>6772</v>
      </c>
      <c r="J1802" s="15" t="s">
        <v>6773</v>
      </c>
      <c r="K1802" s="15" t="s">
        <v>40</v>
      </c>
      <c r="L1802" s="15" t="s">
        <v>41</v>
      </c>
      <c r="M1802" s="15" t="s">
        <v>565</v>
      </c>
      <c r="N1802" s="15" t="s">
        <v>566</v>
      </c>
      <c r="O1802" s="15" t="s">
        <v>44</v>
      </c>
      <c r="P1802" s="15" t="s">
        <v>6774</v>
      </c>
      <c r="Q1802" s="15" t="s">
        <v>6775</v>
      </c>
      <c r="R1802" s="16">
        <v>44329</v>
      </c>
      <c r="S1802" s="17" t="s">
        <v>317</v>
      </c>
      <c r="T1802" s="20">
        <f>HYPERLINK("https://vnm.spiral.com.vn//uploaded/20210513/A162AA25-1EB2-46F3-A3C6-2E104D989254.jpg","08:04:36")</f>
      </c>
      <c r="U1802" s="20">
        <f>HYPERLINK("https://vnm.spiral.com.vn//uploaded/20210513/77C2B1AA-77BC-4AF4-BD04-DD6EBBC35472.jpg","12:01:26")</f>
      </c>
      <c r="V1802" s="18">
        <v>0.16446759259259258</v>
      </c>
      <c r="W1802" s="15" t="s">
        <v>10166</v>
      </c>
      <c r="X1802" s="15" t="s">
        <v>10167</v>
      </c>
      <c r="Y1802" s="15" t="s">
        <v>35</v>
      </c>
      <c r="Z1802" s="19">
        <v>0</v>
      </c>
      <c r="AA1802" s="15">
        <v>0</v>
      </c>
      <c r="AB1802" s="15" t="s">
        <v>35</v>
      </c>
    </row>
    <row r="1803">
      <c r="A1803" s="15">
        <v>1799</v>
      </c>
      <c r="B1803" s="15" t="s">
        <v>49</v>
      </c>
      <c r="C1803" s="15" t="s">
        <v>162</v>
      </c>
      <c r="D1803" s="15" t="s">
        <v>35</v>
      </c>
      <c r="E1803" s="15" t="s">
        <v>35</v>
      </c>
      <c r="F1803" s="15" t="s">
        <v>1221</v>
      </c>
      <c r="G1803" s="15" t="s">
        <v>36</v>
      </c>
      <c r="H1803" s="15" t="s">
        <v>7511</v>
      </c>
      <c r="I1803" s="15" t="s">
        <v>7512</v>
      </c>
      <c r="J1803" s="15" t="s">
        <v>7513</v>
      </c>
      <c r="K1803" s="15" t="s">
        <v>40</v>
      </c>
      <c r="L1803" s="15" t="s">
        <v>41</v>
      </c>
      <c r="M1803" s="15" t="s">
        <v>55</v>
      </c>
      <c r="N1803" s="15" t="s">
        <v>56</v>
      </c>
      <c r="O1803" s="15" t="s">
        <v>44</v>
      </c>
      <c r="P1803" s="15" t="s">
        <v>7514</v>
      </c>
      <c r="Q1803" s="15" t="s">
        <v>7515</v>
      </c>
      <c r="R1803" s="16">
        <v>44329</v>
      </c>
      <c r="S1803" s="17" t="s">
        <v>317</v>
      </c>
      <c r="T1803" s="20">
        <f>HYPERLINK("https://vnm.spiral.com.vn//uploaded/20210513/fed23952-0221-41f4-babd-07224c61d2d6.JPEG","08:01:29")</f>
      </c>
      <c r="U1803" s="20">
        <f>HYPERLINK("https://vnm.spiral.com.vn//uploaded/20210513/9d113492-7395-4d02-8b0f-64d585b354b9.JPEG","12:01:25")</f>
      </c>
      <c r="V1803" s="18">
        <v>0.16662037037037036</v>
      </c>
      <c r="W1803" s="15" t="s">
        <v>10168</v>
      </c>
      <c r="X1803" s="15" t="s">
        <v>10169</v>
      </c>
      <c r="Y1803" s="15" t="s">
        <v>35</v>
      </c>
      <c r="Z1803" s="19">
        <v>0</v>
      </c>
      <c r="AA1803" s="15">
        <v>0</v>
      </c>
      <c r="AB1803" s="15" t="s">
        <v>35</v>
      </c>
    </row>
    <row r="1804">
      <c r="A1804" s="15">
        <v>1800</v>
      </c>
      <c r="B1804" s="15" t="s">
        <v>343</v>
      </c>
      <c r="C1804" s="15" t="s">
        <v>601</v>
      </c>
      <c r="D1804" s="15" t="s">
        <v>35</v>
      </c>
      <c r="E1804" s="15" t="s">
        <v>35</v>
      </c>
      <c r="F1804" s="15" t="s">
        <v>35</v>
      </c>
      <c r="G1804" s="15" t="s">
        <v>36</v>
      </c>
      <c r="H1804" s="15" t="s">
        <v>8121</v>
      </c>
      <c r="I1804" s="15" t="s">
        <v>8122</v>
      </c>
      <c r="J1804" s="15" t="s">
        <v>8123</v>
      </c>
      <c r="K1804" s="15" t="s">
        <v>40</v>
      </c>
      <c r="L1804" s="15" t="s">
        <v>41</v>
      </c>
      <c r="M1804" s="15" t="s">
        <v>595</v>
      </c>
      <c r="N1804" s="15" t="s">
        <v>596</v>
      </c>
      <c r="O1804" s="15" t="s">
        <v>44</v>
      </c>
      <c r="P1804" s="15" t="s">
        <v>8124</v>
      </c>
      <c r="Q1804" s="15" t="s">
        <v>8125</v>
      </c>
      <c r="R1804" s="16">
        <v>44329</v>
      </c>
      <c r="S1804" s="17" t="s">
        <v>317</v>
      </c>
      <c r="T1804" s="20">
        <f>HYPERLINK("https://vnm.spiral.com.vn//uploaded/20210513/f4663ed4-30ae-4d53-812c-c82a39e62fb6.JPEG","08:00:04")</f>
      </c>
      <c r="U1804" s="20">
        <f>HYPERLINK("https://vnm.spiral.com.vn//uploaded/20210513/a0b3f39f-c2ee-440d-a527-f46d59465c3f.JPEG","12:01:18")</f>
      </c>
      <c r="V1804" s="18">
        <v>0.16752314814814814</v>
      </c>
      <c r="W1804" s="15" t="s">
        <v>10170</v>
      </c>
      <c r="X1804" s="15" t="s">
        <v>10171</v>
      </c>
      <c r="Y1804" s="15" t="s">
        <v>35</v>
      </c>
      <c r="Z1804" s="19">
        <v>0</v>
      </c>
      <c r="AA1804" s="15">
        <v>0</v>
      </c>
      <c r="AB1804" s="15" t="s">
        <v>35</v>
      </c>
    </row>
    <row r="1805">
      <c r="A1805" s="15">
        <v>1801</v>
      </c>
      <c r="B1805" s="15" t="s">
        <v>61</v>
      </c>
      <c r="C1805" s="15" t="s">
        <v>201</v>
      </c>
      <c r="D1805" s="15" t="s">
        <v>89</v>
      </c>
      <c r="E1805" s="15" t="s">
        <v>90</v>
      </c>
      <c r="F1805" s="15" t="s">
        <v>35</v>
      </c>
      <c r="G1805" s="15" t="s">
        <v>74</v>
      </c>
      <c r="H1805" s="15" t="s">
        <v>3006</v>
      </c>
      <c r="I1805" s="15" t="s">
        <v>3007</v>
      </c>
      <c r="J1805" s="15" t="s">
        <v>3008</v>
      </c>
      <c r="K1805" s="15" t="s">
        <v>152</v>
      </c>
      <c r="L1805" s="15" t="s">
        <v>153</v>
      </c>
      <c r="M1805" s="15" t="s">
        <v>154</v>
      </c>
      <c r="N1805" s="15" t="s">
        <v>155</v>
      </c>
      <c r="O1805" s="15" t="s">
        <v>156</v>
      </c>
      <c r="P1805" s="15" t="s">
        <v>3009</v>
      </c>
      <c r="Q1805" s="15" t="s">
        <v>3010</v>
      </c>
      <c r="R1805" s="16">
        <v>44329</v>
      </c>
      <c r="S1805" s="17" t="s">
        <v>9664</v>
      </c>
      <c r="T1805" s="20">
        <f>HYPERLINK("https://vnm.spiral.com.vn//uploaded/20210513/984cd342-3164-4ad1-8be6-d1dc4e0a507a.JPEG","07:24:55")</f>
      </c>
      <c r="U1805" s="20">
        <f>HYPERLINK("https://vnm.spiral.com.vn//uploaded/20210513/bff37787-8b9e-44bc-a652-b8d96e813793.JPEG","12:01:11")</f>
      </c>
      <c r="V1805" s="18">
        <v>0.19185185185185186</v>
      </c>
      <c r="W1805" s="15" t="s">
        <v>10172</v>
      </c>
      <c r="X1805" s="15" t="s">
        <v>10173</v>
      </c>
      <c r="Y1805" s="15" t="s">
        <v>35</v>
      </c>
      <c r="Z1805" s="19">
        <v>0</v>
      </c>
      <c r="AA1805" s="15">
        <v>0</v>
      </c>
      <c r="AB1805" s="15" t="s">
        <v>35</v>
      </c>
    </row>
    <row r="1806">
      <c r="A1806" s="15">
        <v>1802</v>
      </c>
      <c r="B1806" s="15" t="s">
        <v>103</v>
      </c>
      <c r="C1806" s="15" t="s">
        <v>104</v>
      </c>
      <c r="D1806" s="15" t="s">
        <v>35</v>
      </c>
      <c r="E1806" s="15" t="s">
        <v>35</v>
      </c>
      <c r="F1806" s="15" t="s">
        <v>35</v>
      </c>
      <c r="G1806" s="15" t="s">
        <v>36</v>
      </c>
      <c r="H1806" s="15" t="s">
        <v>5037</v>
      </c>
      <c r="I1806" s="15" t="s">
        <v>5038</v>
      </c>
      <c r="J1806" s="15" t="s">
        <v>5039</v>
      </c>
      <c r="K1806" s="15" t="s">
        <v>40</v>
      </c>
      <c r="L1806" s="15" t="s">
        <v>41</v>
      </c>
      <c r="M1806" s="15" t="s">
        <v>108</v>
      </c>
      <c r="N1806" s="15" t="s">
        <v>109</v>
      </c>
      <c r="O1806" s="15" t="s">
        <v>44</v>
      </c>
      <c r="P1806" s="15" t="s">
        <v>5040</v>
      </c>
      <c r="Q1806" s="15" t="s">
        <v>5041</v>
      </c>
      <c r="R1806" s="16">
        <v>44329</v>
      </c>
      <c r="S1806" s="17" t="s">
        <v>317</v>
      </c>
      <c r="T1806" s="20">
        <f>HYPERLINK("https://vnm.spiral.com.vn//uploaded/20210513/7419b10d-8d23-4313-a6db-e6f563b78eeb.JPEG","08:03:24")</f>
      </c>
      <c r="U1806" s="20">
        <f>HYPERLINK("https://vnm.spiral.com.vn//uploaded/20210513/203452b1-ced3-4740-b791-7d2adecbe742.JPEG","12:01:09")</f>
      </c>
      <c r="V1806" s="18">
        <v>0.16510416666666666</v>
      </c>
      <c r="W1806" s="15" t="s">
        <v>10174</v>
      </c>
      <c r="X1806" s="15" t="s">
        <v>10175</v>
      </c>
      <c r="Y1806" s="15" t="s">
        <v>35</v>
      </c>
      <c r="Z1806" s="19">
        <v>0</v>
      </c>
      <c r="AA1806" s="15">
        <v>0</v>
      </c>
      <c r="AB1806" s="15" t="s">
        <v>35</v>
      </c>
    </row>
    <row r="1807">
      <c r="A1807" s="15">
        <v>1803</v>
      </c>
      <c r="B1807" s="15" t="s">
        <v>343</v>
      </c>
      <c r="C1807" s="15" t="s">
        <v>344</v>
      </c>
      <c r="D1807" s="15" t="s">
        <v>35</v>
      </c>
      <c r="E1807" s="15" t="s">
        <v>35</v>
      </c>
      <c r="F1807" s="15" t="s">
        <v>35</v>
      </c>
      <c r="G1807" s="15" t="s">
        <v>36</v>
      </c>
      <c r="H1807" s="15" t="s">
        <v>6146</v>
      </c>
      <c r="I1807" s="15" t="s">
        <v>6147</v>
      </c>
      <c r="J1807" s="15" t="s">
        <v>6148</v>
      </c>
      <c r="K1807" s="15" t="s">
        <v>40</v>
      </c>
      <c r="L1807" s="15" t="s">
        <v>41</v>
      </c>
      <c r="M1807" s="15" t="s">
        <v>595</v>
      </c>
      <c r="N1807" s="15" t="s">
        <v>596</v>
      </c>
      <c r="O1807" s="15" t="s">
        <v>44</v>
      </c>
      <c r="P1807" s="15" t="s">
        <v>6149</v>
      </c>
      <c r="Q1807" s="15" t="s">
        <v>4704</v>
      </c>
      <c r="R1807" s="16">
        <v>44329</v>
      </c>
      <c r="S1807" s="17" t="s">
        <v>317</v>
      </c>
      <c r="T1807" s="20">
        <f>HYPERLINK("https://vnm.spiral.com.vn//uploaded/20210513/BC913C96-9B85-4C60-BCF8-F504F6D7EB5A.jpg","08:04:09")</f>
      </c>
      <c r="U1807" s="20">
        <f>HYPERLINK("https://vnm.spiral.com.vn//uploaded/20210513/7B60A2F2-276A-441F-82AA-9950790AA2DF.jpg","12:01:07")</f>
      </c>
      <c r="V1807" s="18">
        <v>0.1645601851851852</v>
      </c>
      <c r="W1807" s="15" t="s">
        <v>10176</v>
      </c>
      <c r="X1807" s="15" t="s">
        <v>10177</v>
      </c>
      <c r="Y1807" s="15" t="s">
        <v>35</v>
      </c>
      <c r="Z1807" s="19">
        <v>0</v>
      </c>
      <c r="AA1807" s="15">
        <v>0</v>
      </c>
      <c r="AB1807" s="15" t="s">
        <v>35</v>
      </c>
    </row>
    <row r="1808">
      <c r="A1808" s="15">
        <v>1804</v>
      </c>
      <c r="B1808" s="15" t="s">
        <v>246</v>
      </c>
      <c r="C1808" s="15" t="s">
        <v>782</v>
      </c>
      <c r="D1808" s="15" t="s">
        <v>35</v>
      </c>
      <c r="E1808" s="15" t="s">
        <v>35</v>
      </c>
      <c r="F1808" s="15" t="s">
        <v>5859</v>
      </c>
      <c r="G1808" s="15" t="s">
        <v>36</v>
      </c>
      <c r="H1808" s="15" t="s">
        <v>6711</v>
      </c>
      <c r="I1808" s="15" t="s">
        <v>6712</v>
      </c>
      <c r="J1808" s="15" t="s">
        <v>6713</v>
      </c>
      <c r="K1808" s="15" t="s">
        <v>40</v>
      </c>
      <c r="L1808" s="15" t="s">
        <v>41</v>
      </c>
      <c r="M1808" s="15" t="s">
        <v>252</v>
      </c>
      <c r="N1808" s="15" t="s">
        <v>253</v>
      </c>
      <c r="O1808" s="15" t="s">
        <v>44</v>
      </c>
      <c r="P1808" s="15" t="s">
        <v>6714</v>
      </c>
      <c r="Q1808" s="15" t="s">
        <v>6715</v>
      </c>
      <c r="R1808" s="16">
        <v>44329</v>
      </c>
      <c r="S1808" s="17" t="s">
        <v>317</v>
      </c>
      <c r="T1808" s="20">
        <f>HYPERLINK("https://vnm.spiral.com.vn//uploaded/20210513/5f1a4d85-a0bb-47d6-9551-5babee66b2e2.JPEG","08:04:20")</f>
      </c>
      <c r="U1808" s="20">
        <f>HYPERLINK("https://vnm.spiral.com.vn//uploaded/20210513/b58f3952-abaa-4307-92e4-f3d1ffbe8cf9.JPEG","12:01:06")</f>
      </c>
      <c r="V1808" s="18">
        <v>0.1644212962962963</v>
      </c>
      <c r="W1808" s="15" t="s">
        <v>10178</v>
      </c>
      <c r="X1808" s="15" t="s">
        <v>10179</v>
      </c>
      <c r="Y1808" s="15" t="s">
        <v>35</v>
      </c>
      <c r="Z1808" s="19">
        <v>0</v>
      </c>
      <c r="AA1808" s="15">
        <v>0</v>
      </c>
      <c r="AB1808" s="15" t="s">
        <v>35</v>
      </c>
    </row>
    <row r="1809">
      <c r="A1809" s="15">
        <v>1805</v>
      </c>
      <c r="B1809" s="15" t="s">
        <v>61</v>
      </c>
      <c r="C1809" s="15" t="s">
        <v>442</v>
      </c>
      <c r="D1809" s="15" t="s">
        <v>35</v>
      </c>
      <c r="E1809" s="15" t="s">
        <v>35</v>
      </c>
      <c r="F1809" s="15" t="s">
        <v>35</v>
      </c>
      <c r="G1809" s="15" t="s">
        <v>36</v>
      </c>
      <c r="H1809" s="15" t="s">
        <v>2054</v>
      </c>
      <c r="I1809" s="15" t="s">
        <v>2055</v>
      </c>
      <c r="J1809" s="15" t="s">
        <v>2056</v>
      </c>
      <c r="K1809" s="15" t="s">
        <v>40</v>
      </c>
      <c r="L1809" s="15" t="s">
        <v>41</v>
      </c>
      <c r="M1809" s="15" t="s">
        <v>205</v>
      </c>
      <c r="N1809" s="15" t="s">
        <v>206</v>
      </c>
      <c r="O1809" s="15" t="s">
        <v>44</v>
      </c>
      <c r="P1809" s="15" t="s">
        <v>2057</v>
      </c>
      <c r="Q1809" s="15" t="s">
        <v>2058</v>
      </c>
      <c r="R1809" s="16">
        <v>44329</v>
      </c>
      <c r="S1809" s="17" t="s">
        <v>317</v>
      </c>
      <c r="T1809" s="20">
        <f>HYPERLINK("https://vnm.spiral.com.vn//uploaded/20210513/2ee56c7b-9e51-4f31-bc9a-e83f837a0d1b.JPEG","07:58:02")</f>
      </c>
      <c r="U1809" s="20">
        <f>HYPERLINK("https://vnm.spiral.com.vn//uploaded/20210513/1c81dc5c-575b-48bd-93b3-a3394f6f9e54.JPEG","12:01:04")</f>
      </c>
      <c r="V1809" s="18">
        <v>0.16877314814814814</v>
      </c>
      <c r="W1809" s="15" t="s">
        <v>10180</v>
      </c>
      <c r="X1809" s="15" t="s">
        <v>10181</v>
      </c>
      <c r="Y1809" s="15" t="s">
        <v>35</v>
      </c>
      <c r="Z1809" s="19">
        <v>0</v>
      </c>
      <c r="AA1809" s="15">
        <v>0</v>
      </c>
      <c r="AB1809" s="15" t="s">
        <v>35</v>
      </c>
    </row>
    <row r="1810">
      <c r="A1810" s="15">
        <v>1806</v>
      </c>
      <c r="B1810" s="15" t="s">
        <v>343</v>
      </c>
      <c r="C1810" s="15" t="s">
        <v>721</v>
      </c>
      <c r="D1810" s="15" t="s">
        <v>35</v>
      </c>
      <c r="E1810" s="15" t="s">
        <v>35</v>
      </c>
      <c r="F1810" s="15" t="s">
        <v>35</v>
      </c>
      <c r="G1810" s="15" t="s">
        <v>36</v>
      </c>
      <c r="H1810" s="15" t="s">
        <v>6729</v>
      </c>
      <c r="I1810" s="15" t="s">
        <v>6730</v>
      </c>
      <c r="J1810" s="15" t="s">
        <v>6731</v>
      </c>
      <c r="K1810" s="15" t="s">
        <v>40</v>
      </c>
      <c r="L1810" s="15" t="s">
        <v>41</v>
      </c>
      <c r="M1810" s="15" t="s">
        <v>595</v>
      </c>
      <c r="N1810" s="15" t="s">
        <v>596</v>
      </c>
      <c r="O1810" s="15" t="s">
        <v>44</v>
      </c>
      <c r="P1810" s="15" t="s">
        <v>6732</v>
      </c>
      <c r="Q1810" s="15" t="s">
        <v>6733</v>
      </c>
      <c r="R1810" s="16">
        <v>44329</v>
      </c>
      <c r="S1810" s="17" t="s">
        <v>317</v>
      </c>
      <c r="T1810" s="20">
        <f>HYPERLINK("https://vnm.spiral.com.vn//uploaded/20210513/c65d01b9-8597-4622-9237-82fb989b3c5d.JPEG","08:16:58")</f>
      </c>
      <c r="U1810" s="20">
        <f>HYPERLINK("https://vnm.spiral.com.vn//uploaded/20210513/347e9685-dad2-4bed-94a2-196d3472794c.JPEG","12:01:03")</f>
      </c>
      <c r="V1810" s="18">
        <v>0.15561342592592592</v>
      </c>
      <c r="W1810" s="15" t="s">
        <v>10182</v>
      </c>
      <c r="X1810" s="15" t="s">
        <v>10183</v>
      </c>
      <c r="Y1810" s="15" t="s">
        <v>35</v>
      </c>
      <c r="Z1810" s="19">
        <v>0</v>
      </c>
      <c r="AA1810" s="15">
        <v>0</v>
      </c>
      <c r="AB1810" s="15" t="s">
        <v>35</v>
      </c>
    </row>
    <row r="1811">
      <c r="A1811" s="15">
        <v>1807</v>
      </c>
      <c r="B1811" s="15" t="s">
        <v>246</v>
      </c>
      <c r="C1811" s="15" t="s">
        <v>864</v>
      </c>
      <c r="D1811" s="15" t="s">
        <v>35</v>
      </c>
      <c r="E1811" s="15" t="s">
        <v>35</v>
      </c>
      <c r="F1811" s="15" t="s">
        <v>1676</v>
      </c>
      <c r="G1811" s="15" t="s">
        <v>36</v>
      </c>
      <c r="H1811" s="15" t="s">
        <v>6029</v>
      </c>
      <c r="I1811" s="15" t="s">
        <v>6030</v>
      </c>
      <c r="J1811" s="15" t="s">
        <v>6031</v>
      </c>
      <c r="K1811" s="15" t="s">
        <v>40</v>
      </c>
      <c r="L1811" s="15" t="s">
        <v>41</v>
      </c>
      <c r="M1811" s="15" t="s">
        <v>252</v>
      </c>
      <c r="N1811" s="15" t="s">
        <v>253</v>
      </c>
      <c r="O1811" s="15" t="s">
        <v>44</v>
      </c>
      <c r="P1811" s="15" t="s">
        <v>6032</v>
      </c>
      <c r="Q1811" s="15" t="s">
        <v>3425</v>
      </c>
      <c r="R1811" s="16">
        <v>44329</v>
      </c>
      <c r="S1811" s="17" t="s">
        <v>317</v>
      </c>
      <c r="T1811" s="20">
        <f>HYPERLINK("https://vnm.spiral.com.vn//uploaded/20210513/82FD9BD3-5C87-4EC4-8DF5-10555F625520.jpg","07:53:15")</f>
      </c>
      <c r="U1811" s="20">
        <f>HYPERLINK("https://vnm.spiral.com.vn//uploaded/20210513/5FEA76BE-58C9-479A-AE94-B5C7354E87FE.jpg","12:01:02")</f>
      </c>
      <c r="V1811" s="18">
        <v>0.17207175925925927</v>
      </c>
      <c r="W1811" s="15" t="s">
        <v>10184</v>
      </c>
      <c r="X1811" s="15" t="s">
        <v>10185</v>
      </c>
      <c r="Y1811" s="15" t="s">
        <v>35</v>
      </c>
      <c r="Z1811" s="19">
        <v>0</v>
      </c>
      <c r="AA1811" s="15">
        <v>0</v>
      </c>
      <c r="AB1811" s="15" t="s">
        <v>35</v>
      </c>
    </row>
    <row r="1812">
      <c r="A1812" s="15">
        <v>1808</v>
      </c>
      <c r="B1812" s="15" t="s">
        <v>61</v>
      </c>
      <c r="C1812" s="15" t="s">
        <v>1106</v>
      </c>
      <c r="D1812" s="15" t="s">
        <v>35</v>
      </c>
      <c r="E1812" s="15" t="s">
        <v>35</v>
      </c>
      <c r="F1812" s="15" t="s">
        <v>35</v>
      </c>
      <c r="G1812" s="15" t="s">
        <v>36</v>
      </c>
      <c r="H1812" s="15" t="s">
        <v>7837</v>
      </c>
      <c r="I1812" s="15" t="s">
        <v>7838</v>
      </c>
      <c r="J1812" s="15" t="s">
        <v>7839</v>
      </c>
      <c r="K1812" s="15" t="s">
        <v>40</v>
      </c>
      <c r="L1812" s="15" t="s">
        <v>41</v>
      </c>
      <c r="M1812" s="15" t="s">
        <v>205</v>
      </c>
      <c r="N1812" s="15" t="s">
        <v>206</v>
      </c>
      <c r="O1812" s="15" t="s">
        <v>44</v>
      </c>
      <c r="P1812" s="15" t="s">
        <v>7840</v>
      </c>
      <c r="Q1812" s="15" t="s">
        <v>7841</v>
      </c>
      <c r="R1812" s="16">
        <v>44329</v>
      </c>
      <c r="S1812" s="17" t="s">
        <v>7866</v>
      </c>
      <c r="T1812" s="20">
        <f>HYPERLINK("https://vnm.spiral.com.vn//uploaded/20210513/da88f412-e5bf-4a7e-9156-ef21d303a580.JPEG","07:18:26")</f>
      </c>
      <c r="U1812" s="20">
        <f>HYPERLINK("https://vnm.spiral.com.vn//uploaded/20210513/5552082d-9c71-46fe-b65c-08296d767ece.JPEG","12:01:02")</f>
      </c>
      <c r="V1812" s="18">
        <v>0.19625</v>
      </c>
      <c r="W1812" s="15" t="s">
        <v>10186</v>
      </c>
      <c r="X1812" s="15" t="s">
        <v>10187</v>
      </c>
      <c r="Y1812" s="15" t="s">
        <v>35</v>
      </c>
      <c r="Z1812" s="19">
        <v>0</v>
      </c>
      <c r="AA1812" s="15">
        <v>0</v>
      </c>
      <c r="AB1812" s="15" t="s">
        <v>35</v>
      </c>
    </row>
    <row r="1813">
      <c r="A1813" s="15">
        <v>1809</v>
      </c>
      <c r="B1813" s="15" t="s">
        <v>61</v>
      </c>
      <c r="C1813" s="15" t="s">
        <v>712</v>
      </c>
      <c r="D1813" s="15" t="s">
        <v>89</v>
      </c>
      <c r="E1813" s="15" t="s">
        <v>90</v>
      </c>
      <c r="F1813" s="15" t="s">
        <v>35</v>
      </c>
      <c r="G1813" s="15" t="s">
        <v>74</v>
      </c>
      <c r="H1813" s="15" t="s">
        <v>775</v>
      </c>
      <c r="I1813" s="15" t="s">
        <v>776</v>
      </c>
      <c r="J1813" s="15" t="s">
        <v>777</v>
      </c>
      <c r="K1813" s="15" t="s">
        <v>309</v>
      </c>
      <c r="L1813" s="15" t="s">
        <v>310</v>
      </c>
      <c r="M1813" s="15" t="s">
        <v>778</v>
      </c>
      <c r="N1813" s="15" t="s">
        <v>779</v>
      </c>
      <c r="O1813" s="15" t="s">
        <v>156</v>
      </c>
      <c r="P1813" s="15" t="s">
        <v>2729</v>
      </c>
      <c r="Q1813" s="15" t="s">
        <v>2730</v>
      </c>
      <c r="R1813" s="16">
        <v>44329</v>
      </c>
      <c r="S1813" s="17" t="s">
        <v>317</v>
      </c>
      <c r="T1813" s="20">
        <f>HYPERLINK("https://vnm.spiral.com.vn//uploaded/20210513/E8DB1E6E-96B9-487E-8693-473123652AF6.jpg","08:10:01")</f>
      </c>
      <c r="U1813" s="20">
        <f>HYPERLINK("https://vnm.spiral.com.vn//uploaded/20210513/43058159-AAAC-4289-B490-BD3DF152A596.jpg","12:00:58")</f>
      </c>
      <c r="V1813" s="18">
        <v>0.16038194444444445</v>
      </c>
      <c r="W1813" s="15" t="s">
        <v>10188</v>
      </c>
      <c r="X1813" s="15" t="s">
        <v>10189</v>
      </c>
      <c r="Y1813" s="15" t="s">
        <v>35</v>
      </c>
      <c r="Z1813" s="19">
        <v>0</v>
      </c>
      <c r="AA1813" s="15">
        <v>0</v>
      </c>
      <c r="AB1813" s="15" t="s">
        <v>35</v>
      </c>
    </row>
    <row r="1814">
      <c r="A1814" s="15">
        <v>1810</v>
      </c>
      <c r="B1814" s="15" t="s">
        <v>87</v>
      </c>
      <c r="C1814" s="15" t="s">
        <v>88</v>
      </c>
      <c r="D1814" s="15" t="s">
        <v>35</v>
      </c>
      <c r="E1814" s="15" t="s">
        <v>35</v>
      </c>
      <c r="F1814" s="15" t="s">
        <v>35</v>
      </c>
      <c r="G1814" s="15" t="s">
        <v>36</v>
      </c>
      <c r="H1814" s="15" t="s">
        <v>10190</v>
      </c>
      <c r="I1814" s="15" t="s">
        <v>10191</v>
      </c>
      <c r="J1814" s="15" t="s">
        <v>10192</v>
      </c>
      <c r="K1814" s="15" t="s">
        <v>40</v>
      </c>
      <c r="L1814" s="15" t="s">
        <v>41</v>
      </c>
      <c r="M1814" s="15" t="s">
        <v>810</v>
      </c>
      <c r="N1814" s="15" t="s">
        <v>811</v>
      </c>
      <c r="O1814" s="15" t="s">
        <v>44</v>
      </c>
      <c r="P1814" s="15" t="s">
        <v>10193</v>
      </c>
      <c r="Q1814" s="15" t="s">
        <v>10194</v>
      </c>
      <c r="R1814" s="16">
        <v>44329</v>
      </c>
      <c r="S1814" s="17" t="s">
        <v>6144</v>
      </c>
      <c r="T1814" s="20">
        <f>HYPERLINK("https://vnm.spiral.com.vn//uploaded/20210513/c699484a-444e-4e7b-a824-dc8bf0cfdbf0.JPEG","12:00:58")</f>
      </c>
      <c r="U1814" s="18"/>
      <c r="V1814" s="18" t="s">
        <v>35</v>
      </c>
      <c r="W1814" s="15" t="s">
        <v>10195</v>
      </c>
      <c r="X1814" s="15" t="s">
        <v>35</v>
      </c>
      <c r="Y1814" s="15" t="s">
        <v>35</v>
      </c>
      <c r="Z1814" s="19">
        <v>0</v>
      </c>
      <c r="AA1814" s="15">
        <v>0</v>
      </c>
      <c r="AB1814" s="15" t="s">
        <v>35</v>
      </c>
    </row>
    <row r="1815">
      <c r="A1815" s="15">
        <v>1811</v>
      </c>
      <c r="B1815" s="15" t="s">
        <v>49</v>
      </c>
      <c r="C1815" s="15" t="s">
        <v>1389</v>
      </c>
      <c r="D1815" s="15" t="s">
        <v>35</v>
      </c>
      <c r="E1815" s="15" t="s">
        <v>35</v>
      </c>
      <c r="F1815" s="15" t="s">
        <v>35</v>
      </c>
      <c r="G1815" s="15" t="s">
        <v>35</v>
      </c>
      <c r="H1815" s="15" t="s">
        <v>6626</v>
      </c>
      <c r="I1815" s="15" t="s">
        <v>6627</v>
      </c>
      <c r="J1815" s="15" t="s">
        <v>6628</v>
      </c>
      <c r="K1815" s="15" t="s">
        <v>40</v>
      </c>
      <c r="L1815" s="15" t="s">
        <v>41</v>
      </c>
      <c r="M1815" s="15" t="s">
        <v>55</v>
      </c>
      <c r="N1815" s="15" t="s">
        <v>56</v>
      </c>
      <c r="O1815" s="15" t="s">
        <v>44</v>
      </c>
      <c r="P1815" s="15" t="s">
        <v>6629</v>
      </c>
      <c r="Q1815" s="15" t="s">
        <v>6630</v>
      </c>
      <c r="R1815" s="16">
        <v>44329</v>
      </c>
      <c r="S1815" s="17" t="s">
        <v>317</v>
      </c>
      <c r="T1815" s="20">
        <f>HYPERLINK("https://vnm.spiral.com.vn//uploaded/20210513/694dac73-d638-4ce4-8859-2666971b58c5.JPEG","08:06:32")</f>
      </c>
      <c r="U1815" s="20">
        <f>HYPERLINK("https://vnm.spiral.com.vn//uploaded/20210513/a8ee6926-5980-41fe-a883-e42223b2e8cf.JPEG","12:00:51")</f>
      </c>
      <c r="V1815" s="18">
        <v>0.1627199074074074</v>
      </c>
      <c r="W1815" s="15" t="s">
        <v>10196</v>
      </c>
      <c r="X1815" s="15" t="s">
        <v>10197</v>
      </c>
      <c r="Y1815" s="15" t="s">
        <v>35</v>
      </c>
      <c r="Z1815" s="19">
        <v>0</v>
      </c>
      <c r="AA1815" s="15">
        <v>0</v>
      </c>
      <c r="AB1815" s="15" t="s">
        <v>35</v>
      </c>
    </row>
    <row r="1816">
      <c r="A1816" s="15">
        <v>1812</v>
      </c>
      <c r="B1816" s="15" t="s">
        <v>49</v>
      </c>
      <c r="C1816" s="15" t="s">
        <v>1389</v>
      </c>
      <c r="D1816" s="15" t="s">
        <v>35</v>
      </c>
      <c r="E1816" s="15" t="s">
        <v>35</v>
      </c>
      <c r="F1816" s="15" t="s">
        <v>4452</v>
      </c>
      <c r="G1816" s="15" t="s">
        <v>36</v>
      </c>
      <c r="H1816" s="15" t="s">
        <v>6549</v>
      </c>
      <c r="I1816" s="15" t="s">
        <v>6550</v>
      </c>
      <c r="J1816" s="15" t="s">
        <v>6551</v>
      </c>
      <c r="K1816" s="15" t="s">
        <v>40</v>
      </c>
      <c r="L1816" s="15" t="s">
        <v>41</v>
      </c>
      <c r="M1816" s="15" t="s">
        <v>55</v>
      </c>
      <c r="N1816" s="15" t="s">
        <v>56</v>
      </c>
      <c r="O1816" s="15" t="s">
        <v>44</v>
      </c>
      <c r="P1816" s="15" t="s">
        <v>6552</v>
      </c>
      <c r="Q1816" s="15" t="s">
        <v>6553</v>
      </c>
      <c r="R1816" s="16">
        <v>44329</v>
      </c>
      <c r="S1816" s="17" t="s">
        <v>317</v>
      </c>
      <c r="T1816" s="20">
        <f>HYPERLINK("https://vnm.spiral.com.vn//uploaded/20210513/25A36A7F-BC9A-4B54-A260-797D2EF25622.jpg","08:00:32")</f>
      </c>
      <c r="U1816" s="20">
        <f>HYPERLINK("https://vnm.spiral.com.vn//uploaded/20210513/26AAF098-5F50-426F-A8E1-49FCC25D7B29.jpg","12:00:51")</f>
      </c>
      <c r="V1816" s="18">
        <v>0.16688657407407406</v>
      </c>
      <c r="W1816" s="15" t="s">
        <v>10198</v>
      </c>
      <c r="X1816" s="15" t="s">
        <v>10199</v>
      </c>
      <c r="Y1816" s="15" t="s">
        <v>35</v>
      </c>
      <c r="Z1816" s="19">
        <v>0</v>
      </c>
      <c r="AA1816" s="15">
        <v>0</v>
      </c>
      <c r="AB1816" s="15" t="s">
        <v>35</v>
      </c>
    </row>
    <row r="1817">
      <c r="A1817" s="15">
        <v>1813</v>
      </c>
      <c r="B1817" s="15" t="s">
        <v>87</v>
      </c>
      <c r="C1817" s="15" t="s">
        <v>88</v>
      </c>
      <c r="D1817" s="15" t="s">
        <v>35</v>
      </c>
      <c r="E1817" s="15" t="s">
        <v>35</v>
      </c>
      <c r="F1817" s="15" t="s">
        <v>2789</v>
      </c>
      <c r="G1817" s="15" t="s">
        <v>36</v>
      </c>
      <c r="H1817" s="15" t="s">
        <v>5196</v>
      </c>
      <c r="I1817" s="15" t="s">
        <v>5197</v>
      </c>
      <c r="J1817" s="15" t="s">
        <v>5198</v>
      </c>
      <c r="K1817" s="15" t="s">
        <v>40</v>
      </c>
      <c r="L1817" s="15" t="s">
        <v>41</v>
      </c>
      <c r="M1817" s="15" t="s">
        <v>289</v>
      </c>
      <c r="N1817" s="15" t="s">
        <v>290</v>
      </c>
      <c r="O1817" s="15" t="s">
        <v>44</v>
      </c>
      <c r="P1817" s="15" t="s">
        <v>5199</v>
      </c>
      <c r="Q1817" s="15" t="s">
        <v>5200</v>
      </c>
      <c r="R1817" s="16">
        <v>44329</v>
      </c>
      <c r="S1817" s="17" t="s">
        <v>317</v>
      </c>
      <c r="T1817" s="20">
        <f>HYPERLINK("https://vnm.spiral.com.vn//uploaded/20210513/438b5637-369b-430d-843d-afd2541f5dfb.JPEG","07:54:55")</f>
      </c>
      <c r="U1817" s="20">
        <f>HYPERLINK("https://vnm.spiral.com.vn//uploaded/20210513/0e8a89da-a29a-4096-afe4-00de1ee75cc9.JPEG","12:00:50")</f>
      </c>
      <c r="V1817" s="18">
        <v>0.17077546296296298</v>
      </c>
      <c r="W1817" s="15" t="s">
        <v>10200</v>
      </c>
      <c r="X1817" s="15" t="s">
        <v>10201</v>
      </c>
      <c r="Y1817" s="15" t="s">
        <v>35</v>
      </c>
      <c r="Z1817" s="19">
        <v>0</v>
      </c>
      <c r="AA1817" s="15">
        <v>0</v>
      </c>
      <c r="AB1817" s="15" t="s">
        <v>35</v>
      </c>
    </row>
    <row r="1818">
      <c r="A1818" s="15">
        <v>1814</v>
      </c>
      <c r="B1818" s="15" t="s">
        <v>246</v>
      </c>
      <c r="C1818" s="15" t="s">
        <v>259</v>
      </c>
      <c r="D1818" s="15" t="s">
        <v>148</v>
      </c>
      <c r="E1818" s="15" t="s">
        <v>90</v>
      </c>
      <c r="F1818" s="15" t="s">
        <v>35</v>
      </c>
      <c r="G1818" s="15" t="s">
        <v>74</v>
      </c>
      <c r="H1818" s="15" t="s">
        <v>1507</v>
      </c>
      <c r="I1818" s="15" t="s">
        <v>1508</v>
      </c>
      <c r="J1818" s="15" t="s">
        <v>1509</v>
      </c>
      <c r="K1818" s="15" t="s">
        <v>263</v>
      </c>
      <c r="L1818" s="15" t="s">
        <v>264</v>
      </c>
      <c r="M1818" s="15" t="s">
        <v>1510</v>
      </c>
      <c r="N1818" s="15" t="s">
        <v>1511</v>
      </c>
      <c r="O1818" s="15" t="s">
        <v>156</v>
      </c>
      <c r="P1818" s="15" t="s">
        <v>1512</v>
      </c>
      <c r="Q1818" s="15" t="s">
        <v>1513</v>
      </c>
      <c r="R1818" s="16">
        <v>44329</v>
      </c>
      <c r="S1818" s="17" t="s">
        <v>9898</v>
      </c>
      <c r="T1818" s="20">
        <f>HYPERLINK("https://vnm.spiral.com.vn//uploaded/20210513/7B255169-BDAA-47F6-B412-6C977183EA91.jpg","07:18:48")</f>
      </c>
      <c r="U1818" s="20">
        <f>HYPERLINK("https://vnm.spiral.com.vn//uploaded/20210513/2813C1CB-0744-4DD6-9A25-F0E3EB686378.jpg","12:00:50")</f>
      </c>
      <c r="V1818" s="18">
        <v>0.1958564814814815</v>
      </c>
      <c r="W1818" s="15" t="s">
        <v>10202</v>
      </c>
      <c r="X1818" s="15" t="s">
        <v>10203</v>
      </c>
      <c r="Y1818" s="15" t="s">
        <v>35</v>
      </c>
      <c r="Z1818" s="19">
        <v>0</v>
      </c>
      <c r="AA1818" s="15">
        <v>0</v>
      </c>
      <c r="AB1818" s="15" t="s">
        <v>35</v>
      </c>
    </row>
    <row r="1819">
      <c r="A1819" s="15">
        <v>1815</v>
      </c>
      <c r="B1819" s="15" t="s">
        <v>87</v>
      </c>
      <c r="C1819" s="15" t="s">
        <v>88</v>
      </c>
      <c r="D1819" s="15" t="s">
        <v>35</v>
      </c>
      <c r="E1819" s="15" t="s">
        <v>35</v>
      </c>
      <c r="F1819" s="15" t="s">
        <v>806</v>
      </c>
      <c r="G1819" s="15" t="s">
        <v>36</v>
      </c>
      <c r="H1819" s="15" t="s">
        <v>10204</v>
      </c>
      <c r="I1819" s="15" t="s">
        <v>10205</v>
      </c>
      <c r="J1819" s="15" t="s">
        <v>10206</v>
      </c>
      <c r="K1819" s="15" t="s">
        <v>40</v>
      </c>
      <c r="L1819" s="15" t="s">
        <v>41</v>
      </c>
      <c r="M1819" s="15" t="s">
        <v>810</v>
      </c>
      <c r="N1819" s="15" t="s">
        <v>811</v>
      </c>
      <c r="O1819" s="15" t="s">
        <v>44</v>
      </c>
      <c r="P1819" s="15" t="s">
        <v>10207</v>
      </c>
      <c r="Q1819" s="15" t="s">
        <v>10208</v>
      </c>
      <c r="R1819" s="16">
        <v>44329</v>
      </c>
      <c r="S1819" s="17" t="s">
        <v>6144</v>
      </c>
      <c r="T1819" s="20">
        <f>HYPERLINK("https://vnm.spiral.com.vn//uploaded/20210513/585cb3b0-83c7-48f9-b9df-357bb7d98021.JPEG","12:00:46")</f>
      </c>
      <c r="U1819" s="18"/>
      <c r="V1819" s="18" t="s">
        <v>35</v>
      </c>
      <c r="W1819" s="15" t="s">
        <v>10209</v>
      </c>
      <c r="X1819" s="15" t="s">
        <v>35</v>
      </c>
      <c r="Y1819" s="15" t="s">
        <v>35</v>
      </c>
      <c r="Z1819" s="19">
        <v>0</v>
      </c>
      <c r="AA1819" s="15">
        <v>0</v>
      </c>
      <c r="AB1819" s="15" t="s">
        <v>35</v>
      </c>
    </row>
    <row r="1820">
      <c r="A1820" s="15">
        <v>1816</v>
      </c>
      <c r="B1820" s="15" t="s">
        <v>343</v>
      </c>
      <c r="C1820" s="15" t="s">
        <v>344</v>
      </c>
      <c r="D1820" s="15" t="s">
        <v>35</v>
      </c>
      <c r="E1820" s="15" t="s">
        <v>35</v>
      </c>
      <c r="F1820" s="15" t="s">
        <v>35</v>
      </c>
      <c r="G1820" s="15" t="s">
        <v>36</v>
      </c>
      <c r="H1820" s="15" t="s">
        <v>10210</v>
      </c>
      <c r="I1820" s="15" t="s">
        <v>10211</v>
      </c>
      <c r="J1820" s="15" t="s">
        <v>10212</v>
      </c>
      <c r="K1820" s="15" t="s">
        <v>40</v>
      </c>
      <c r="L1820" s="15" t="s">
        <v>41</v>
      </c>
      <c r="M1820" s="15" t="s">
        <v>409</v>
      </c>
      <c r="N1820" s="15" t="s">
        <v>410</v>
      </c>
      <c r="O1820" s="15" t="s">
        <v>44</v>
      </c>
      <c r="P1820" s="15" t="s">
        <v>10213</v>
      </c>
      <c r="Q1820" s="15" t="s">
        <v>7253</v>
      </c>
      <c r="R1820" s="16">
        <v>44329</v>
      </c>
      <c r="S1820" s="17" t="s">
        <v>317</v>
      </c>
      <c r="T1820" s="20">
        <f>HYPERLINK("https://vnm.spiral.com.vn//uploaded/20210513/528a8acb-09b7-475e-8436-5d0343a2b859.JPEG","08:03:59")</f>
      </c>
      <c r="U1820" s="20">
        <f>HYPERLINK("https://vnm.spiral.com.vn//uploaded/20210513/0331ecb3-e5b5-41de-8fd6-f28bdb62a86c.JPEG","12:00:45")</f>
      </c>
      <c r="V1820" s="18">
        <v>0.1644212962962963</v>
      </c>
      <c r="W1820" s="15" t="s">
        <v>10214</v>
      </c>
      <c r="X1820" s="15" t="s">
        <v>10215</v>
      </c>
      <c r="Y1820" s="15" t="s">
        <v>35</v>
      </c>
      <c r="Z1820" s="19">
        <v>0</v>
      </c>
      <c r="AA1820" s="15">
        <v>0</v>
      </c>
      <c r="AB1820" s="15" t="s">
        <v>35</v>
      </c>
    </row>
    <row r="1821">
      <c r="A1821" s="15">
        <v>1817</v>
      </c>
      <c r="B1821" s="15" t="s">
        <v>49</v>
      </c>
      <c r="C1821" s="15" t="s">
        <v>50</v>
      </c>
      <c r="D1821" s="15" t="s">
        <v>89</v>
      </c>
      <c r="E1821" s="15" t="s">
        <v>90</v>
      </c>
      <c r="F1821" s="15" t="s">
        <v>35</v>
      </c>
      <c r="G1821" s="15" t="s">
        <v>74</v>
      </c>
      <c r="H1821" s="15" t="s">
        <v>696</v>
      </c>
      <c r="I1821" s="15" t="s">
        <v>697</v>
      </c>
      <c r="J1821" s="15" t="s">
        <v>698</v>
      </c>
      <c r="K1821" s="15" t="s">
        <v>168</v>
      </c>
      <c r="L1821" s="15" t="s">
        <v>169</v>
      </c>
      <c r="M1821" s="15" t="s">
        <v>383</v>
      </c>
      <c r="N1821" s="15" t="s">
        <v>384</v>
      </c>
      <c r="O1821" s="15" t="s">
        <v>156</v>
      </c>
      <c r="P1821" s="15" t="s">
        <v>2899</v>
      </c>
      <c r="Q1821" s="15" t="s">
        <v>2900</v>
      </c>
      <c r="R1821" s="16">
        <v>44329</v>
      </c>
      <c r="S1821" s="17" t="s">
        <v>317</v>
      </c>
      <c r="T1821" s="20">
        <f>HYPERLINK("https://vnm.spiral.com.vn//uploaded/20210513/a0eb7cc4-070d-4902-a830-91c6cc3b58ba.JPEG","07:12:35")</f>
      </c>
      <c r="U1821" s="20">
        <f>HYPERLINK("https://vnm.spiral.com.vn//uploaded/20210513/682a117a-281d-4f7e-936a-28913b26fb80.JPEG","12:00:44")</f>
      </c>
      <c r="V1821" s="18">
        <v>0.20010416666666667</v>
      </c>
      <c r="W1821" s="15" t="s">
        <v>10216</v>
      </c>
      <c r="X1821" s="15" t="s">
        <v>10217</v>
      </c>
      <c r="Y1821" s="15" t="s">
        <v>35</v>
      </c>
      <c r="Z1821" s="19">
        <v>0</v>
      </c>
      <c r="AA1821" s="15">
        <v>0</v>
      </c>
      <c r="AB1821" s="15" t="s">
        <v>35</v>
      </c>
    </row>
    <row r="1822">
      <c r="A1822" s="15">
        <v>1818</v>
      </c>
      <c r="B1822" s="15" t="s">
        <v>246</v>
      </c>
      <c r="C1822" s="15" t="s">
        <v>259</v>
      </c>
      <c r="D1822" s="15" t="s">
        <v>432</v>
      </c>
      <c r="E1822" s="15" t="s">
        <v>116</v>
      </c>
      <c r="F1822" s="15" t="s">
        <v>35</v>
      </c>
      <c r="G1822" s="15" t="s">
        <v>74</v>
      </c>
      <c r="H1822" s="15" t="s">
        <v>10218</v>
      </c>
      <c r="I1822" s="15" t="s">
        <v>10219</v>
      </c>
      <c r="J1822" s="15" t="s">
        <v>10220</v>
      </c>
      <c r="K1822" s="15" t="s">
        <v>166</v>
      </c>
      <c r="L1822" s="15" t="s">
        <v>167</v>
      </c>
      <c r="M1822" s="15" t="s">
        <v>263</v>
      </c>
      <c r="N1822" s="15" t="s">
        <v>264</v>
      </c>
      <c r="O1822" s="15" t="s">
        <v>82</v>
      </c>
      <c r="P1822" s="15" t="s">
        <v>2216</v>
      </c>
      <c r="Q1822" s="15" t="s">
        <v>2217</v>
      </c>
      <c r="R1822" s="16">
        <v>44329</v>
      </c>
      <c r="S1822" s="17" t="s">
        <v>70</v>
      </c>
      <c r="T1822" s="20">
        <f>HYPERLINK("https://vnm.spiral.com.vn//uploaded/20210513/544916b1-6272-43d6-a5f0-58eed649cd6c.JPEG","11:34:20")</f>
      </c>
      <c r="U1822" s="20">
        <f>HYPERLINK("https://vnm.spiral.com.vn//uploaded/20210513/08d0e62a-5759-43c6-8800-dde8a3f00da6.JPEG","12:00:44")</f>
      </c>
      <c r="V1822" s="18">
        <v>0.018333333333333333</v>
      </c>
      <c r="W1822" s="15" t="s">
        <v>10221</v>
      </c>
      <c r="X1822" s="15" t="s">
        <v>10222</v>
      </c>
      <c r="Y1822" s="15" t="s">
        <v>35</v>
      </c>
      <c r="Z1822" s="19">
        <v>0</v>
      </c>
      <c r="AA1822" s="15">
        <v>0</v>
      </c>
      <c r="AB1822" s="15" t="s">
        <v>35</v>
      </c>
    </row>
    <row r="1823">
      <c r="A1823" s="15">
        <v>1819</v>
      </c>
      <c r="B1823" s="15" t="s">
        <v>49</v>
      </c>
      <c r="C1823" s="15" t="s">
        <v>162</v>
      </c>
      <c r="D1823" s="15" t="s">
        <v>35</v>
      </c>
      <c r="E1823" s="15" t="s">
        <v>35</v>
      </c>
      <c r="F1823" s="15" t="s">
        <v>35</v>
      </c>
      <c r="G1823" s="15" t="s">
        <v>36</v>
      </c>
      <c r="H1823" s="15" t="s">
        <v>8106</v>
      </c>
      <c r="I1823" s="15" t="s">
        <v>8107</v>
      </c>
      <c r="J1823" s="15" t="s">
        <v>8108</v>
      </c>
      <c r="K1823" s="15" t="s">
        <v>40</v>
      </c>
      <c r="L1823" s="15" t="s">
        <v>41</v>
      </c>
      <c r="M1823" s="15" t="s">
        <v>55</v>
      </c>
      <c r="N1823" s="15" t="s">
        <v>56</v>
      </c>
      <c r="O1823" s="15" t="s">
        <v>44</v>
      </c>
      <c r="P1823" s="15" t="s">
        <v>8109</v>
      </c>
      <c r="Q1823" s="15" t="s">
        <v>8110</v>
      </c>
      <c r="R1823" s="16">
        <v>44329</v>
      </c>
      <c r="S1823" s="17" t="s">
        <v>317</v>
      </c>
      <c r="T1823" s="20">
        <f>HYPERLINK("https://vnm.spiral.com.vn//uploaded/20210513/DEC7139E-C859-430B-A72D-E9075E441F65.jpg","08:01:58")</f>
      </c>
      <c r="U1823" s="20">
        <f>HYPERLINK("https://vnm.spiral.com.vn//uploaded/20210513/6766D23D-91B5-4CD8-BBB6-D1D15F3D1E4B.jpg","12:00:44")</f>
      </c>
      <c r="V1823" s="18">
        <v>0.16581018518518517</v>
      </c>
      <c r="W1823" s="15" t="s">
        <v>10223</v>
      </c>
      <c r="X1823" s="15" t="s">
        <v>10224</v>
      </c>
      <c r="Y1823" s="15" t="s">
        <v>35</v>
      </c>
      <c r="Z1823" s="19">
        <v>0</v>
      </c>
      <c r="AA1823" s="15">
        <v>0</v>
      </c>
      <c r="AB1823" s="15" t="s">
        <v>35</v>
      </c>
    </row>
    <row r="1824">
      <c r="A1824" s="15">
        <v>1820</v>
      </c>
      <c r="B1824" s="15" t="s">
        <v>87</v>
      </c>
      <c r="C1824" s="15" t="s">
        <v>88</v>
      </c>
      <c r="D1824" s="15" t="s">
        <v>35</v>
      </c>
      <c r="E1824" s="15" t="s">
        <v>35</v>
      </c>
      <c r="F1824" s="15" t="s">
        <v>806</v>
      </c>
      <c r="G1824" s="15" t="s">
        <v>36</v>
      </c>
      <c r="H1824" s="15" t="s">
        <v>10225</v>
      </c>
      <c r="I1824" s="15" t="s">
        <v>10226</v>
      </c>
      <c r="J1824" s="15" t="s">
        <v>10227</v>
      </c>
      <c r="K1824" s="15" t="s">
        <v>40</v>
      </c>
      <c r="L1824" s="15" t="s">
        <v>41</v>
      </c>
      <c r="M1824" s="15" t="s">
        <v>810</v>
      </c>
      <c r="N1824" s="15" t="s">
        <v>811</v>
      </c>
      <c r="O1824" s="15" t="s">
        <v>44</v>
      </c>
      <c r="P1824" s="15" t="s">
        <v>3992</v>
      </c>
      <c r="Q1824" s="15" t="s">
        <v>3993</v>
      </c>
      <c r="R1824" s="16">
        <v>44329</v>
      </c>
      <c r="S1824" s="17" t="s">
        <v>10228</v>
      </c>
      <c r="T1824" s="20">
        <f>HYPERLINK("https://vnm.spiral.com.vn//uploaded/20210513/c5c2dfc0-dca5-4b3f-96aa-c18aa8890bd7.JPEG","07:38:16")</f>
      </c>
      <c r="U1824" s="20">
        <f>HYPERLINK("https://vnm.spiral.com.vn//uploaded/20210513/a535c23b-30af-4458-b214-d1035a6e42e3.JPEG","12:00:43")</f>
      </c>
      <c r="V1824" s="18">
        <v>0.18225694444444446</v>
      </c>
      <c r="W1824" s="15" t="s">
        <v>10229</v>
      </c>
      <c r="X1824" s="15" t="s">
        <v>10230</v>
      </c>
      <c r="Y1824" s="15" t="s">
        <v>35</v>
      </c>
      <c r="Z1824" s="19">
        <v>0</v>
      </c>
      <c r="AA1824" s="15">
        <v>0</v>
      </c>
      <c r="AB1824" s="15" t="s">
        <v>35</v>
      </c>
    </row>
    <row r="1825">
      <c r="A1825" s="15">
        <v>1821</v>
      </c>
      <c r="B1825" s="15" t="s">
        <v>246</v>
      </c>
      <c r="C1825" s="15" t="s">
        <v>259</v>
      </c>
      <c r="D1825" s="15" t="s">
        <v>35</v>
      </c>
      <c r="E1825" s="15" t="s">
        <v>35</v>
      </c>
      <c r="F1825" s="15" t="s">
        <v>4355</v>
      </c>
      <c r="G1825" s="15" t="s">
        <v>36</v>
      </c>
      <c r="H1825" s="15" t="s">
        <v>6685</v>
      </c>
      <c r="I1825" s="15" t="s">
        <v>6686</v>
      </c>
      <c r="J1825" s="15" t="s">
        <v>6687</v>
      </c>
      <c r="K1825" s="15" t="s">
        <v>40</v>
      </c>
      <c r="L1825" s="15" t="s">
        <v>41</v>
      </c>
      <c r="M1825" s="15" t="s">
        <v>252</v>
      </c>
      <c r="N1825" s="15" t="s">
        <v>253</v>
      </c>
      <c r="O1825" s="15" t="s">
        <v>44</v>
      </c>
      <c r="P1825" s="15" t="s">
        <v>6688</v>
      </c>
      <c r="Q1825" s="15" t="s">
        <v>6689</v>
      </c>
      <c r="R1825" s="16">
        <v>44329</v>
      </c>
      <c r="S1825" s="17" t="s">
        <v>317</v>
      </c>
      <c r="T1825" s="20">
        <f>HYPERLINK("https://vnm.spiral.com.vn//uploaded/20210513/c26510ea-df81-4d0e-be52-03ef4bf04d8c.JPEG","08:02:25")</f>
      </c>
      <c r="U1825" s="20">
        <f>HYPERLINK("https://vnm.spiral.com.vn//uploaded/20210513/15437b92-1da0-4905-adfc-7092cd904d01.JPEG","12:00:43")</f>
      </c>
      <c r="V1825" s="18">
        <v>0.1654861111111111</v>
      </c>
      <c r="W1825" s="15" t="s">
        <v>10231</v>
      </c>
      <c r="X1825" s="15" t="s">
        <v>10232</v>
      </c>
      <c r="Y1825" s="15" t="s">
        <v>35</v>
      </c>
      <c r="Z1825" s="19">
        <v>0</v>
      </c>
      <c r="AA1825" s="15">
        <v>0</v>
      </c>
      <c r="AB1825" s="15" t="s">
        <v>35</v>
      </c>
    </row>
    <row r="1826">
      <c r="A1826" s="15">
        <v>1822</v>
      </c>
      <c r="B1826" s="15" t="s">
        <v>87</v>
      </c>
      <c r="C1826" s="15" t="s">
        <v>88</v>
      </c>
      <c r="D1826" s="15" t="s">
        <v>35</v>
      </c>
      <c r="E1826" s="15" t="s">
        <v>35</v>
      </c>
      <c r="F1826" s="15" t="s">
        <v>1091</v>
      </c>
      <c r="G1826" s="15" t="s">
        <v>36</v>
      </c>
      <c r="H1826" s="15" t="s">
        <v>4123</v>
      </c>
      <c r="I1826" s="15" t="s">
        <v>4124</v>
      </c>
      <c r="J1826" s="15" t="s">
        <v>4125</v>
      </c>
      <c r="K1826" s="15" t="s">
        <v>40</v>
      </c>
      <c r="L1826" s="15" t="s">
        <v>41</v>
      </c>
      <c r="M1826" s="15" t="s">
        <v>810</v>
      </c>
      <c r="N1826" s="15" t="s">
        <v>811</v>
      </c>
      <c r="O1826" s="15" t="s">
        <v>44</v>
      </c>
      <c r="P1826" s="15" t="s">
        <v>4126</v>
      </c>
      <c r="Q1826" s="15" t="s">
        <v>4127</v>
      </c>
      <c r="R1826" s="16">
        <v>44329</v>
      </c>
      <c r="S1826" s="17" t="s">
        <v>317</v>
      </c>
      <c r="T1826" s="20">
        <f>HYPERLINK("https://vnm.spiral.com.vn//uploaded/20210513/59e0e5ba-f90c-4f68-95d4-80c887a7ce3e.JPEG","08:11:48")</f>
      </c>
      <c r="U1826" s="20">
        <f>HYPERLINK("https://vnm.spiral.com.vn//uploaded/20210513/300b96bd-48e2-403a-b3c8-7a000eac2ec2.JPEG","12:00:42")</f>
      </c>
      <c r="V1826" s="18">
        <v>0.15895833333333334</v>
      </c>
      <c r="W1826" s="15" t="s">
        <v>10233</v>
      </c>
      <c r="X1826" s="15" t="s">
        <v>10234</v>
      </c>
      <c r="Y1826" s="15" t="s">
        <v>35</v>
      </c>
      <c r="Z1826" s="19">
        <v>0</v>
      </c>
      <c r="AA1826" s="15">
        <v>0</v>
      </c>
      <c r="AB1826" s="15" t="s">
        <v>35</v>
      </c>
    </row>
    <row r="1827">
      <c r="A1827" s="15">
        <v>1823</v>
      </c>
      <c r="B1827" s="15" t="s">
        <v>246</v>
      </c>
      <c r="C1827" s="15" t="s">
        <v>2005</v>
      </c>
      <c r="D1827" s="15" t="s">
        <v>35</v>
      </c>
      <c r="E1827" s="15" t="s">
        <v>35</v>
      </c>
      <c r="F1827" s="15" t="s">
        <v>6614</v>
      </c>
      <c r="G1827" s="15" t="s">
        <v>36</v>
      </c>
      <c r="H1827" s="15" t="s">
        <v>6615</v>
      </c>
      <c r="I1827" s="15" t="s">
        <v>6616</v>
      </c>
      <c r="J1827" s="15" t="s">
        <v>6617</v>
      </c>
      <c r="K1827" s="15" t="s">
        <v>40</v>
      </c>
      <c r="L1827" s="15" t="s">
        <v>41</v>
      </c>
      <c r="M1827" s="15" t="s">
        <v>252</v>
      </c>
      <c r="N1827" s="15" t="s">
        <v>253</v>
      </c>
      <c r="O1827" s="15" t="s">
        <v>44</v>
      </c>
      <c r="P1827" s="15" t="s">
        <v>6618</v>
      </c>
      <c r="Q1827" s="15" t="s">
        <v>587</v>
      </c>
      <c r="R1827" s="16">
        <v>44329</v>
      </c>
      <c r="S1827" s="17" t="s">
        <v>317</v>
      </c>
      <c r="T1827" s="20">
        <f>HYPERLINK("https://vnm.spiral.com.vn//uploaded/20210513/B51D37BB-FC20-4365-901B-A7EE609AEF11.jpg","08:06:39")</f>
      </c>
      <c r="U1827" s="20">
        <f>HYPERLINK("https://vnm.spiral.com.vn//uploaded/20210513/D35B4EB5-AA1A-40EC-8E77-D431F4D6B7FF.jpg","12:00:40")</f>
      </c>
      <c r="V1827" s="18">
        <v>0.16251157407407407</v>
      </c>
      <c r="W1827" s="15" t="s">
        <v>10235</v>
      </c>
      <c r="X1827" s="15" t="s">
        <v>10236</v>
      </c>
      <c r="Y1827" s="15" t="s">
        <v>35</v>
      </c>
      <c r="Z1827" s="19">
        <v>0</v>
      </c>
      <c r="AA1827" s="15">
        <v>0</v>
      </c>
      <c r="AB1827" s="15" t="s">
        <v>35</v>
      </c>
    </row>
    <row r="1828">
      <c r="A1828" s="15">
        <v>1824</v>
      </c>
      <c r="B1828" s="15" t="s">
        <v>246</v>
      </c>
      <c r="C1828" s="15" t="s">
        <v>259</v>
      </c>
      <c r="D1828" s="15" t="s">
        <v>35</v>
      </c>
      <c r="E1828" s="15" t="s">
        <v>35</v>
      </c>
      <c r="F1828" s="15" t="s">
        <v>943</v>
      </c>
      <c r="G1828" s="15" t="s">
        <v>36</v>
      </c>
      <c r="H1828" s="15" t="s">
        <v>4827</v>
      </c>
      <c r="I1828" s="15" t="s">
        <v>4828</v>
      </c>
      <c r="J1828" s="15" t="s">
        <v>4829</v>
      </c>
      <c r="K1828" s="15" t="s">
        <v>40</v>
      </c>
      <c r="L1828" s="15" t="s">
        <v>41</v>
      </c>
      <c r="M1828" s="15" t="s">
        <v>252</v>
      </c>
      <c r="N1828" s="15" t="s">
        <v>253</v>
      </c>
      <c r="O1828" s="15" t="s">
        <v>44</v>
      </c>
      <c r="P1828" s="15" t="s">
        <v>4830</v>
      </c>
      <c r="Q1828" s="15" t="s">
        <v>4022</v>
      </c>
      <c r="R1828" s="16">
        <v>44329</v>
      </c>
      <c r="S1828" s="17" t="s">
        <v>9925</v>
      </c>
      <c r="T1828" s="20">
        <f>HYPERLINK("https://vnm.spiral.com.vn//uploaded/20210513/115FB87A-2FC0-4FE9-B2EE-F8E7CD708A82.jpg","08:30:15")</f>
      </c>
      <c r="U1828" s="20">
        <f>HYPERLINK("https://vnm.spiral.com.vn//uploaded/20210513/35D8F627-8CE3-4B68-B95E-504C8B9BEEC5.jpg","12:00:39")</f>
      </c>
      <c r="V1828" s="18">
        <v>0.1461111111111111</v>
      </c>
      <c r="W1828" s="15" t="s">
        <v>10237</v>
      </c>
      <c r="X1828" s="15" t="s">
        <v>10238</v>
      </c>
      <c r="Y1828" s="15" t="s">
        <v>35</v>
      </c>
      <c r="Z1828" s="19">
        <v>0</v>
      </c>
      <c r="AA1828" s="15">
        <v>0</v>
      </c>
      <c r="AB1828" s="15" t="s">
        <v>35</v>
      </c>
    </row>
    <row r="1829">
      <c r="A1829" s="15">
        <v>1825</v>
      </c>
      <c r="B1829" s="15" t="s">
        <v>103</v>
      </c>
      <c r="C1829" s="15" t="s">
        <v>104</v>
      </c>
      <c r="D1829" s="15" t="s">
        <v>35</v>
      </c>
      <c r="E1829" s="15" t="s">
        <v>35</v>
      </c>
      <c r="F1829" s="15" t="s">
        <v>35</v>
      </c>
      <c r="G1829" s="15" t="s">
        <v>36</v>
      </c>
      <c r="H1829" s="15" t="s">
        <v>9366</v>
      </c>
      <c r="I1829" s="15" t="s">
        <v>9367</v>
      </c>
      <c r="J1829" s="15" t="s">
        <v>9368</v>
      </c>
      <c r="K1829" s="15" t="s">
        <v>40</v>
      </c>
      <c r="L1829" s="15" t="s">
        <v>41</v>
      </c>
      <c r="M1829" s="15" t="s">
        <v>108</v>
      </c>
      <c r="N1829" s="15" t="s">
        <v>109</v>
      </c>
      <c r="O1829" s="15" t="s">
        <v>44</v>
      </c>
      <c r="P1829" s="15" t="s">
        <v>9369</v>
      </c>
      <c r="Q1829" s="15" t="s">
        <v>9370</v>
      </c>
      <c r="R1829" s="16">
        <v>44329</v>
      </c>
      <c r="S1829" s="17" t="s">
        <v>317</v>
      </c>
      <c r="T1829" s="20">
        <f>HYPERLINK("https://vnm.spiral.com.vn//uploaded/20210513/ab6646af-6013-43cd-947c-623298eb1a8e.JPEG","07:38:03")</f>
      </c>
      <c r="U1829" s="20">
        <f>HYPERLINK("https://vnm.spiral.com.vn//uploaded/20210513/ce570ee3-ad98-489e-8705-ae7cdca84b94.JPEG","12:00:37")</f>
      </c>
      <c r="V1829" s="18">
        <v>0.18233796296296295</v>
      </c>
      <c r="W1829" s="15" t="s">
        <v>10239</v>
      </c>
      <c r="X1829" s="15" t="s">
        <v>10240</v>
      </c>
      <c r="Y1829" s="15" t="s">
        <v>35</v>
      </c>
      <c r="Z1829" s="19">
        <v>0</v>
      </c>
      <c r="AA1829" s="15">
        <v>0</v>
      </c>
      <c r="AB1829" s="15" t="s">
        <v>35</v>
      </c>
    </row>
    <row r="1830">
      <c r="A1830" s="15">
        <v>1826</v>
      </c>
      <c r="B1830" s="15" t="s">
        <v>87</v>
      </c>
      <c r="C1830" s="15" t="s">
        <v>88</v>
      </c>
      <c r="D1830" s="15" t="s">
        <v>35</v>
      </c>
      <c r="E1830" s="15" t="s">
        <v>35</v>
      </c>
      <c r="F1830" s="15" t="s">
        <v>1191</v>
      </c>
      <c r="G1830" s="15" t="s">
        <v>36</v>
      </c>
      <c r="H1830" s="15" t="s">
        <v>10241</v>
      </c>
      <c r="I1830" s="15" t="s">
        <v>10242</v>
      </c>
      <c r="J1830" s="15" t="s">
        <v>10243</v>
      </c>
      <c r="K1830" s="15" t="s">
        <v>40</v>
      </c>
      <c r="L1830" s="15" t="s">
        <v>41</v>
      </c>
      <c r="M1830" s="15" t="s">
        <v>1195</v>
      </c>
      <c r="N1830" s="15" t="s">
        <v>1196</v>
      </c>
      <c r="O1830" s="15" t="s">
        <v>44</v>
      </c>
      <c r="P1830" s="15" t="s">
        <v>4730</v>
      </c>
      <c r="Q1830" s="15" t="s">
        <v>4731</v>
      </c>
      <c r="R1830" s="16">
        <v>44329</v>
      </c>
      <c r="S1830" s="17" t="s">
        <v>317</v>
      </c>
      <c r="T1830" s="20">
        <f>HYPERLINK("https://vnm.spiral.com.vn//uploaded/20210513/C794295A-6EC9-4C5E-A98B-DF0F4FB58C49.jpg","07:59:34")</f>
      </c>
      <c r="U1830" s="20">
        <f>HYPERLINK("https://vnm.spiral.com.vn//uploaded/20210513/7A3DB8E4-20D2-4B38-81B5-54253A1E3947.jpg","12:00:35")</f>
      </c>
      <c r="V1830" s="18">
        <v>0.1673726851851852</v>
      </c>
      <c r="W1830" s="15" t="s">
        <v>10244</v>
      </c>
      <c r="X1830" s="15" t="s">
        <v>10245</v>
      </c>
      <c r="Y1830" s="15" t="s">
        <v>35</v>
      </c>
      <c r="Z1830" s="19">
        <v>0</v>
      </c>
      <c r="AA1830" s="15">
        <v>0</v>
      </c>
      <c r="AB1830" s="15" t="s">
        <v>35</v>
      </c>
    </row>
    <row r="1831">
      <c r="A1831" s="15">
        <v>1827</v>
      </c>
      <c r="B1831" s="15" t="s">
        <v>103</v>
      </c>
      <c r="C1831" s="15" t="s">
        <v>186</v>
      </c>
      <c r="D1831" s="15" t="s">
        <v>35</v>
      </c>
      <c r="E1831" s="15" t="s">
        <v>35</v>
      </c>
      <c r="F1831" s="15" t="s">
        <v>35</v>
      </c>
      <c r="G1831" s="15" t="s">
        <v>36</v>
      </c>
      <c r="H1831" s="15" t="s">
        <v>5705</v>
      </c>
      <c r="I1831" s="15" t="s">
        <v>5706</v>
      </c>
      <c r="J1831" s="15" t="s">
        <v>5707</v>
      </c>
      <c r="K1831" s="15" t="s">
        <v>40</v>
      </c>
      <c r="L1831" s="15" t="s">
        <v>41</v>
      </c>
      <c r="M1831" s="15" t="s">
        <v>565</v>
      </c>
      <c r="N1831" s="15" t="s">
        <v>566</v>
      </c>
      <c r="O1831" s="15" t="s">
        <v>44</v>
      </c>
      <c r="P1831" s="15" t="s">
        <v>5708</v>
      </c>
      <c r="Q1831" s="15" t="s">
        <v>5709</v>
      </c>
      <c r="R1831" s="16">
        <v>44329</v>
      </c>
      <c r="S1831" s="17" t="s">
        <v>317</v>
      </c>
      <c r="T1831" s="20">
        <f>HYPERLINK("https://vnm.spiral.com.vn//uploaded/20210513/46ACB93B-4FB7-45DA-82EE-FCE24C9D8BF8.jpg","08:00:49")</f>
      </c>
      <c r="U1831" s="20">
        <f>HYPERLINK("https://vnm.spiral.com.vn//uploaded/20210513/275099BC-1C00-4E2A-8929-4B9446254347.jpg","12:00:35")</f>
      </c>
      <c r="V1831" s="18">
        <v>0.16650462962962964</v>
      </c>
      <c r="W1831" s="15" t="s">
        <v>10246</v>
      </c>
      <c r="X1831" s="15" t="s">
        <v>10247</v>
      </c>
      <c r="Y1831" s="15" t="s">
        <v>35</v>
      </c>
      <c r="Z1831" s="19">
        <v>0</v>
      </c>
      <c r="AA1831" s="15">
        <v>0</v>
      </c>
      <c r="AB1831" s="15" t="s">
        <v>35</v>
      </c>
    </row>
    <row r="1832">
      <c r="A1832" s="15">
        <v>1828</v>
      </c>
      <c r="B1832" s="15" t="s">
        <v>33</v>
      </c>
      <c r="C1832" s="15" t="s">
        <v>34</v>
      </c>
      <c r="D1832" s="15" t="s">
        <v>35</v>
      </c>
      <c r="E1832" s="15" t="s">
        <v>35</v>
      </c>
      <c r="F1832" s="15" t="s">
        <v>35</v>
      </c>
      <c r="G1832" s="15" t="s">
        <v>36</v>
      </c>
      <c r="H1832" s="15" t="s">
        <v>7330</v>
      </c>
      <c r="I1832" s="15" t="s">
        <v>7331</v>
      </c>
      <c r="J1832" s="15" t="s">
        <v>7332</v>
      </c>
      <c r="K1832" s="15" t="s">
        <v>40</v>
      </c>
      <c r="L1832" s="15" t="s">
        <v>41</v>
      </c>
      <c r="M1832" s="15" t="s">
        <v>42</v>
      </c>
      <c r="N1832" s="15" t="s">
        <v>43</v>
      </c>
      <c r="O1832" s="15" t="s">
        <v>44</v>
      </c>
      <c r="P1832" s="15" t="s">
        <v>7333</v>
      </c>
      <c r="Q1832" s="15" t="s">
        <v>7334</v>
      </c>
      <c r="R1832" s="16">
        <v>44329</v>
      </c>
      <c r="S1832" s="17" t="s">
        <v>317</v>
      </c>
      <c r="T1832" s="20">
        <f>HYPERLINK("https://vnm.spiral.com.vn//uploaded/20210513/18721250-e7ac-4858-a949-739b2c407aad.JPEG","08:04:42")</f>
      </c>
      <c r="U1832" s="20">
        <f>HYPERLINK("https://vnm.spiral.com.vn//uploaded/20210513/534d22e8-9688-4c2a-b59b-e5b4aa56fb65.JPEG","12:00:34")</f>
      </c>
      <c r="V1832" s="18">
        <v>0.1637962962962963</v>
      </c>
      <c r="W1832" s="15" t="s">
        <v>10248</v>
      </c>
      <c r="X1832" s="15" t="s">
        <v>10249</v>
      </c>
      <c r="Y1832" s="15" t="s">
        <v>35</v>
      </c>
      <c r="Z1832" s="19">
        <v>0</v>
      </c>
      <c r="AA1832" s="15">
        <v>0</v>
      </c>
      <c r="AB1832" s="15" t="s">
        <v>35</v>
      </c>
    </row>
    <row r="1833">
      <c r="A1833" s="15">
        <v>1829</v>
      </c>
      <c r="B1833" s="15" t="s">
        <v>49</v>
      </c>
      <c r="C1833" s="15" t="s">
        <v>369</v>
      </c>
      <c r="D1833" s="15" t="s">
        <v>35</v>
      </c>
      <c r="E1833" s="15" t="s">
        <v>35</v>
      </c>
      <c r="F1833" s="15" t="s">
        <v>370</v>
      </c>
      <c r="G1833" s="15" t="s">
        <v>36</v>
      </c>
      <c r="H1833" s="15" t="s">
        <v>6794</v>
      </c>
      <c r="I1833" s="15" t="s">
        <v>51</v>
      </c>
      <c r="J1833" s="15" t="s">
        <v>6795</v>
      </c>
      <c r="K1833" s="15" t="s">
        <v>40</v>
      </c>
      <c r="L1833" s="15" t="s">
        <v>41</v>
      </c>
      <c r="M1833" s="15" t="s">
        <v>55</v>
      </c>
      <c r="N1833" s="15" t="s">
        <v>56</v>
      </c>
      <c r="O1833" s="15" t="s">
        <v>44</v>
      </c>
      <c r="P1833" s="15" t="s">
        <v>6796</v>
      </c>
      <c r="Q1833" s="15" t="s">
        <v>6797</v>
      </c>
      <c r="R1833" s="16">
        <v>44329</v>
      </c>
      <c r="S1833" s="17" t="s">
        <v>317</v>
      </c>
      <c r="T1833" s="20">
        <f>HYPERLINK("https://vnm.spiral.com.vn//uploaded/20210513/c4447e14-6092-409d-82a4-9bb5910a6023.JPEG","07:48:09")</f>
      </c>
      <c r="U1833" s="20">
        <f>HYPERLINK("https://vnm.spiral.com.vn//uploaded/20210513/aeb10fb9-9475-431b-bb67-f9a6386ab776.JPEG","12:00:32")</f>
      </c>
      <c r="V1833" s="18">
        <v>0.17526620370370372</v>
      </c>
      <c r="W1833" s="15" t="s">
        <v>10250</v>
      </c>
      <c r="X1833" s="15" t="s">
        <v>10251</v>
      </c>
      <c r="Y1833" s="15" t="s">
        <v>35</v>
      </c>
      <c r="Z1833" s="19">
        <v>0</v>
      </c>
      <c r="AA1833" s="15">
        <v>0</v>
      </c>
      <c r="AB1833" s="15" t="s">
        <v>35</v>
      </c>
    </row>
    <row r="1834">
      <c r="A1834" s="15">
        <v>1830</v>
      </c>
      <c r="B1834" s="15" t="s">
        <v>343</v>
      </c>
      <c r="C1834" s="15" t="s">
        <v>344</v>
      </c>
      <c r="D1834" s="15" t="s">
        <v>35</v>
      </c>
      <c r="E1834" s="15" t="s">
        <v>35</v>
      </c>
      <c r="F1834" s="15" t="s">
        <v>35</v>
      </c>
      <c r="G1834" s="15" t="s">
        <v>36</v>
      </c>
      <c r="H1834" s="15" t="s">
        <v>10252</v>
      </c>
      <c r="I1834" s="15" t="s">
        <v>10253</v>
      </c>
      <c r="J1834" s="15" t="s">
        <v>10254</v>
      </c>
      <c r="K1834" s="15" t="s">
        <v>40</v>
      </c>
      <c r="L1834" s="15" t="s">
        <v>41</v>
      </c>
      <c r="M1834" s="15" t="s">
        <v>595</v>
      </c>
      <c r="N1834" s="15" t="s">
        <v>596</v>
      </c>
      <c r="O1834" s="15" t="s">
        <v>44</v>
      </c>
      <c r="P1834" s="15" t="s">
        <v>7276</v>
      </c>
      <c r="Q1834" s="15" t="s">
        <v>7277</v>
      </c>
      <c r="R1834" s="16">
        <v>44329</v>
      </c>
      <c r="S1834" s="17" t="s">
        <v>317</v>
      </c>
      <c r="T1834" s="20">
        <f>HYPERLINK("https://vnm.spiral.com.vn//uploaded/20210513/0A5AB00E-9923-4C65-932C-775E8DD1689C.jpg","07:55:12")</f>
      </c>
      <c r="U1834" s="20">
        <f>HYPERLINK("https://vnm.spiral.com.vn//uploaded/20210513/4F84385B-F5AC-475F-8E08-853C41340274.jpg","12:00:30")</f>
      </c>
      <c r="V1834" s="18">
        <v>0.17034722222222223</v>
      </c>
      <c r="W1834" s="15" t="s">
        <v>10255</v>
      </c>
      <c r="X1834" s="15" t="s">
        <v>10256</v>
      </c>
      <c r="Y1834" s="15" t="s">
        <v>35</v>
      </c>
      <c r="Z1834" s="19">
        <v>0</v>
      </c>
      <c r="AA1834" s="15">
        <v>0</v>
      </c>
      <c r="AB1834" s="15" t="s">
        <v>35</v>
      </c>
    </row>
    <row r="1835">
      <c r="A1835" s="15">
        <v>1831</v>
      </c>
      <c r="B1835" s="15" t="s">
        <v>49</v>
      </c>
      <c r="C1835" s="15" t="s">
        <v>468</v>
      </c>
      <c r="D1835" s="15" t="s">
        <v>35</v>
      </c>
      <c r="E1835" s="15" t="s">
        <v>35</v>
      </c>
      <c r="F1835" s="15" t="s">
        <v>2857</v>
      </c>
      <c r="G1835" s="15" t="s">
        <v>36</v>
      </c>
      <c r="H1835" s="15" t="s">
        <v>8409</v>
      </c>
      <c r="I1835" s="15" t="s">
        <v>1420</v>
      </c>
      <c r="J1835" s="15" t="s">
        <v>8150</v>
      </c>
      <c r="K1835" s="15" t="s">
        <v>40</v>
      </c>
      <c r="L1835" s="15" t="s">
        <v>41</v>
      </c>
      <c r="M1835" s="15" t="s">
        <v>55</v>
      </c>
      <c r="N1835" s="15" t="s">
        <v>56</v>
      </c>
      <c r="O1835" s="15" t="s">
        <v>44</v>
      </c>
      <c r="P1835" s="15" t="s">
        <v>8410</v>
      </c>
      <c r="Q1835" s="15" t="s">
        <v>8411</v>
      </c>
      <c r="R1835" s="16">
        <v>44329</v>
      </c>
      <c r="S1835" s="17" t="s">
        <v>317</v>
      </c>
      <c r="T1835" s="20">
        <f>HYPERLINK("https://vnm.spiral.com.vn//uploaded/20210513/31B29DB1-1E86-4502-9760-8FC7A9780077.jpg","07:57:50")</f>
      </c>
      <c r="U1835" s="20">
        <f>HYPERLINK("https://vnm.spiral.com.vn//uploaded/20210513/3EB9FFA8-D857-4FB4-8CE9-ED5F0524EFE7.jpg","12:00:28")</f>
      </c>
      <c r="V1835" s="18">
        <v>0.16849537037037038</v>
      </c>
      <c r="W1835" s="15" t="s">
        <v>10257</v>
      </c>
      <c r="X1835" s="15" t="s">
        <v>10258</v>
      </c>
      <c r="Y1835" s="15" t="s">
        <v>35</v>
      </c>
      <c r="Z1835" s="19">
        <v>0</v>
      </c>
      <c r="AA1835" s="15">
        <v>0</v>
      </c>
      <c r="AB1835" s="15" t="s">
        <v>35</v>
      </c>
    </row>
    <row r="1836">
      <c r="A1836" s="15">
        <v>1832</v>
      </c>
      <c r="B1836" s="15" t="s">
        <v>246</v>
      </c>
      <c r="C1836" s="15" t="s">
        <v>276</v>
      </c>
      <c r="D1836" s="15" t="s">
        <v>35</v>
      </c>
      <c r="E1836" s="15" t="s">
        <v>35</v>
      </c>
      <c r="F1836" s="15" t="s">
        <v>35</v>
      </c>
      <c r="G1836" s="15" t="s">
        <v>35</v>
      </c>
      <c r="H1836" s="15" t="s">
        <v>5079</v>
      </c>
      <c r="I1836" s="15" t="s">
        <v>5080</v>
      </c>
      <c r="J1836" s="15" t="s">
        <v>5081</v>
      </c>
      <c r="K1836" s="15" t="s">
        <v>40</v>
      </c>
      <c r="L1836" s="15" t="s">
        <v>41</v>
      </c>
      <c r="M1836" s="15" t="s">
        <v>252</v>
      </c>
      <c r="N1836" s="15" t="s">
        <v>253</v>
      </c>
      <c r="O1836" s="15" t="s">
        <v>44</v>
      </c>
      <c r="P1836" s="15" t="s">
        <v>5082</v>
      </c>
      <c r="Q1836" s="15" t="s">
        <v>5083</v>
      </c>
      <c r="R1836" s="16">
        <v>44329</v>
      </c>
      <c r="S1836" s="17" t="s">
        <v>317</v>
      </c>
      <c r="T1836" s="20">
        <f>HYPERLINK("https://vnm.spiral.com.vn//uploaded/20210513/59929944-c7db-4945-8650-a1f40a6a625b.JPEG","07:58:37")</f>
      </c>
      <c r="U1836" s="20">
        <f>HYPERLINK("https://vnm.spiral.com.vn//uploaded/20210513/d3a2c8f3-966f-4fd1-b6ab-c0c2f0f6ffe5.JPEG","12:00:25")</f>
      </c>
      <c r="V1836" s="18">
        <v>0.16791666666666666</v>
      </c>
      <c r="W1836" s="15" t="s">
        <v>10259</v>
      </c>
      <c r="X1836" s="15" t="s">
        <v>10260</v>
      </c>
      <c r="Y1836" s="15" t="s">
        <v>35</v>
      </c>
      <c r="Z1836" s="19">
        <v>0</v>
      </c>
      <c r="AA1836" s="15">
        <v>0</v>
      </c>
      <c r="AB1836" s="15" t="s">
        <v>35</v>
      </c>
    </row>
    <row r="1837">
      <c r="A1837" s="15">
        <v>1833</v>
      </c>
      <c r="B1837" s="15" t="s">
        <v>103</v>
      </c>
      <c r="C1837" s="15" t="s">
        <v>1078</v>
      </c>
      <c r="D1837" s="15" t="s">
        <v>35</v>
      </c>
      <c r="E1837" s="15" t="s">
        <v>35</v>
      </c>
      <c r="F1837" s="15" t="s">
        <v>1471</v>
      </c>
      <c r="G1837" s="15" t="s">
        <v>36</v>
      </c>
      <c r="H1837" s="15" t="s">
        <v>1472</v>
      </c>
      <c r="I1837" s="15" t="s">
        <v>1473</v>
      </c>
      <c r="J1837" s="15" t="s">
        <v>1474</v>
      </c>
      <c r="K1837" s="15" t="s">
        <v>40</v>
      </c>
      <c r="L1837" s="15" t="s">
        <v>41</v>
      </c>
      <c r="M1837" s="15" t="s">
        <v>565</v>
      </c>
      <c r="N1837" s="15" t="s">
        <v>566</v>
      </c>
      <c r="O1837" s="15" t="s">
        <v>44</v>
      </c>
      <c r="P1837" s="15" t="s">
        <v>1475</v>
      </c>
      <c r="Q1837" s="15" t="s">
        <v>1476</v>
      </c>
      <c r="R1837" s="16">
        <v>44329</v>
      </c>
      <c r="S1837" s="17" t="s">
        <v>317</v>
      </c>
      <c r="T1837" s="20">
        <f>HYPERLINK("https://vnm.spiral.com.vn//uploaded/20210513/AA1FABC6-7252-4756-A311-801F1BD8EA46.jpg","08:00:06")</f>
      </c>
      <c r="U1837" s="20">
        <f>HYPERLINK("https://vnm.spiral.com.vn//uploaded/20210513/B48E3C04-3B57-4EA2-9F5D-681DAE25A636.jpg","12:00:22")</f>
      </c>
      <c r="V1837" s="18">
        <v>0.16685185185185186</v>
      </c>
      <c r="W1837" s="15" t="s">
        <v>10261</v>
      </c>
      <c r="X1837" s="15" t="s">
        <v>10262</v>
      </c>
      <c r="Y1837" s="15" t="s">
        <v>35</v>
      </c>
      <c r="Z1837" s="19">
        <v>0</v>
      </c>
      <c r="AA1837" s="15">
        <v>0</v>
      </c>
      <c r="AB1837" s="15" t="s">
        <v>35</v>
      </c>
    </row>
    <row r="1838">
      <c r="A1838" s="15">
        <v>1834</v>
      </c>
      <c r="B1838" s="15" t="s">
        <v>103</v>
      </c>
      <c r="C1838" s="15" t="s">
        <v>186</v>
      </c>
      <c r="D1838" s="15" t="s">
        <v>35</v>
      </c>
      <c r="E1838" s="15" t="s">
        <v>35</v>
      </c>
      <c r="F1838" s="15" t="s">
        <v>35</v>
      </c>
      <c r="G1838" s="15" t="s">
        <v>36</v>
      </c>
      <c r="H1838" s="15" t="s">
        <v>8424</v>
      </c>
      <c r="I1838" s="15" t="s">
        <v>8425</v>
      </c>
      <c r="J1838" s="15" t="s">
        <v>8426</v>
      </c>
      <c r="K1838" s="15" t="s">
        <v>40</v>
      </c>
      <c r="L1838" s="15" t="s">
        <v>41</v>
      </c>
      <c r="M1838" s="15" t="s">
        <v>565</v>
      </c>
      <c r="N1838" s="15" t="s">
        <v>566</v>
      </c>
      <c r="O1838" s="15" t="s">
        <v>44</v>
      </c>
      <c r="P1838" s="15" t="s">
        <v>8427</v>
      </c>
      <c r="Q1838" s="15" t="s">
        <v>8428</v>
      </c>
      <c r="R1838" s="16">
        <v>44329</v>
      </c>
      <c r="S1838" s="17" t="s">
        <v>317</v>
      </c>
      <c r="T1838" s="20">
        <f>HYPERLINK("https://vnm.spiral.com.vn//uploaded/20210513/C001135F-D43C-40D2-B632-B313FED7A485.jpg","07:48:21")</f>
      </c>
      <c r="U1838" s="20">
        <f>HYPERLINK("https://vnm.spiral.com.vn//uploaded/20210513/AD6E8D28-332F-496A-B7F5-23253FBD5602.jpg","12:00:21")</f>
      </c>
      <c r="V1838" s="18">
        <v>0.175</v>
      </c>
      <c r="W1838" s="15" t="s">
        <v>10263</v>
      </c>
      <c r="X1838" s="15" t="s">
        <v>10264</v>
      </c>
      <c r="Y1838" s="15" t="s">
        <v>35</v>
      </c>
      <c r="Z1838" s="19">
        <v>0</v>
      </c>
      <c r="AA1838" s="15">
        <v>0</v>
      </c>
      <c r="AB1838" s="15" t="s">
        <v>35</v>
      </c>
    </row>
    <row r="1839">
      <c r="A1839" s="15">
        <v>1835</v>
      </c>
      <c r="B1839" s="15" t="s">
        <v>49</v>
      </c>
      <c r="C1839" s="15" t="s">
        <v>162</v>
      </c>
      <c r="D1839" s="15" t="s">
        <v>35</v>
      </c>
      <c r="E1839" s="15" t="s">
        <v>35</v>
      </c>
      <c r="F1839" s="15" t="s">
        <v>3675</v>
      </c>
      <c r="G1839" s="15" t="s">
        <v>36</v>
      </c>
      <c r="H1839" s="15" t="s">
        <v>8397</v>
      </c>
      <c r="I1839" s="15" t="s">
        <v>8398</v>
      </c>
      <c r="J1839" s="15" t="s">
        <v>8399</v>
      </c>
      <c r="K1839" s="15" t="s">
        <v>40</v>
      </c>
      <c r="L1839" s="15" t="s">
        <v>41</v>
      </c>
      <c r="M1839" s="15" t="s">
        <v>55</v>
      </c>
      <c r="N1839" s="15" t="s">
        <v>56</v>
      </c>
      <c r="O1839" s="15" t="s">
        <v>44</v>
      </c>
      <c r="P1839" s="15" t="s">
        <v>8400</v>
      </c>
      <c r="Q1839" s="15" t="s">
        <v>8401</v>
      </c>
      <c r="R1839" s="16">
        <v>44329</v>
      </c>
      <c r="S1839" s="17" t="s">
        <v>317</v>
      </c>
      <c r="T1839" s="20">
        <f>HYPERLINK("https://vnm.spiral.com.vn//uploaded/20210513/64C14F43-94CC-457D-AF2B-8809E86899CF.jpg","07:58:51")</f>
      </c>
      <c r="U1839" s="20">
        <f>HYPERLINK("https://vnm.spiral.com.vn//uploaded/20210513/11848079-E031-4B19-875B-8B32F3795E42.jpg","12:00:20")</f>
      </c>
      <c r="V1839" s="18">
        <v>0.16769675925925925</v>
      </c>
      <c r="W1839" s="15" t="s">
        <v>10265</v>
      </c>
      <c r="X1839" s="15" t="s">
        <v>10266</v>
      </c>
      <c r="Y1839" s="15" t="s">
        <v>35</v>
      </c>
      <c r="Z1839" s="19">
        <v>0</v>
      </c>
      <c r="AA1839" s="15">
        <v>0</v>
      </c>
      <c r="AB1839" s="15" t="s">
        <v>35</v>
      </c>
    </row>
    <row r="1840">
      <c r="A1840" s="15">
        <v>1836</v>
      </c>
      <c r="B1840" s="15" t="s">
        <v>103</v>
      </c>
      <c r="C1840" s="15" t="s">
        <v>186</v>
      </c>
      <c r="D1840" s="15" t="s">
        <v>357</v>
      </c>
      <c r="E1840" s="15" t="s">
        <v>90</v>
      </c>
      <c r="F1840" s="15" t="s">
        <v>35</v>
      </c>
      <c r="G1840" s="15" t="s">
        <v>74</v>
      </c>
      <c r="H1840" s="15" t="s">
        <v>10267</v>
      </c>
      <c r="I1840" s="15" t="s">
        <v>10268</v>
      </c>
      <c r="J1840" s="15" t="s">
        <v>10269</v>
      </c>
      <c r="K1840" s="15" t="s">
        <v>436</v>
      </c>
      <c r="L1840" s="15" t="s">
        <v>437</v>
      </c>
      <c r="M1840" s="15" t="s">
        <v>438</v>
      </c>
      <c r="N1840" s="15" t="s">
        <v>439</v>
      </c>
      <c r="O1840" s="15" t="s">
        <v>82</v>
      </c>
      <c r="P1840" s="15" t="s">
        <v>2554</v>
      </c>
      <c r="Q1840" s="15" t="s">
        <v>2555</v>
      </c>
      <c r="R1840" s="16">
        <v>44329</v>
      </c>
      <c r="S1840" s="17" t="s">
        <v>70</v>
      </c>
      <c r="T1840" s="20">
        <f>HYPERLINK("https://vnm.spiral.com.vn//uploaded/20210513/8CCD4B4A-CBF3-4470-9FC4-3BCF4849FEEE.jpg","07:51:30")</f>
      </c>
      <c r="U1840" s="20">
        <f>HYPERLINK("https://vnm.spiral.com.vn//uploaded/20210513/1777DA3B-0C1D-488B-A089-81CE9F5F2610.jpg","12:00:20")</f>
      </c>
      <c r="V1840" s="18">
        <v>0.1728009259259259</v>
      </c>
      <c r="W1840" s="15" t="s">
        <v>10270</v>
      </c>
      <c r="X1840" s="15" t="s">
        <v>10271</v>
      </c>
      <c r="Y1840" s="15" t="s">
        <v>35</v>
      </c>
      <c r="Z1840" s="19">
        <v>0</v>
      </c>
      <c r="AA1840" s="15">
        <v>0</v>
      </c>
      <c r="AB1840" s="15" t="s">
        <v>35</v>
      </c>
    </row>
    <row r="1841">
      <c r="A1841" s="15">
        <v>1837</v>
      </c>
      <c r="B1841" s="15" t="s">
        <v>103</v>
      </c>
      <c r="C1841" s="15" t="s">
        <v>1078</v>
      </c>
      <c r="D1841" s="15" t="s">
        <v>35</v>
      </c>
      <c r="E1841" s="15" t="s">
        <v>35</v>
      </c>
      <c r="F1841" s="15" t="s">
        <v>35</v>
      </c>
      <c r="G1841" s="15" t="s">
        <v>35</v>
      </c>
      <c r="H1841" s="15" t="s">
        <v>7076</v>
      </c>
      <c r="I1841" s="15" t="s">
        <v>7077</v>
      </c>
      <c r="J1841" s="15" t="s">
        <v>7078</v>
      </c>
      <c r="K1841" s="15" t="s">
        <v>40</v>
      </c>
      <c r="L1841" s="15" t="s">
        <v>41</v>
      </c>
      <c r="M1841" s="15" t="s">
        <v>565</v>
      </c>
      <c r="N1841" s="15" t="s">
        <v>566</v>
      </c>
      <c r="O1841" s="15" t="s">
        <v>44</v>
      </c>
      <c r="P1841" s="15" t="s">
        <v>7079</v>
      </c>
      <c r="Q1841" s="15" t="s">
        <v>5324</v>
      </c>
      <c r="R1841" s="16">
        <v>44329</v>
      </c>
      <c r="S1841" s="17" t="s">
        <v>317</v>
      </c>
      <c r="T1841" s="20">
        <f>HYPERLINK("https://vnm.spiral.com.vn//uploaded/20210513/c2ee8516-ad1d-4e89-bd72-4adec5e5d038.JPEG","07:57:56")</f>
      </c>
      <c r="U1841" s="20">
        <f>HYPERLINK("https://vnm.spiral.com.vn//uploaded/20210513/44fee030-defb-43be-b02a-3fbdf2a1fb3f.JPEG","12:00:18")</f>
      </c>
      <c r="V1841" s="18">
        <v>0.16831018518518517</v>
      </c>
      <c r="W1841" s="15" t="s">
        <v>10272</v>
      </c>
      <c r="X1841" s="15" t="s">
        <v>10273</v>
      </c>
      <c r="Y1841" s="15" t="s">
        <v>35</v>
      </c>
      <c r="Z1841" s="19">
        <v>0</v>
      </c>
      <c r="AA1841" s="15">
        <v>0</v>
      </c>
      <c r="AB1841" s="15" t="s">
        <v>35</v>
      </c>
    </row>
    <row r="1842">
      <c r="A1842" s="15">
        <v>1838</v>
      </c>
      <c r="B1842" s="15" t="s">
        <v>87</v>
      </c>
      <c r="C1842" s="15" t="s">
        <v>88</v>
      </c>
      <c r="D1842" s="15" t="s">
        <v>35</v>
      </c>
      <c r="E1842" s="15" t="s">
        <v>35</v>
      </c>
      <c r="F1842" s="15" t="s">
        <v>806</v>
      </c>
      <c r="G1842" s="15" t="s">
        <v>36</v>
      </c>
      <c r="H1842" s="15" t="s">
        <v>10274</v>
      </c>
      <c r="I1842" s="15" t="s">
        <v>8415</v>
      </c>
      <c r="J1842" s="15" t="s">
        <v>10275</v>
      </c>
      <c r="K1842" s="15" t="s">
        <v>40</v>
      </c>
      <c r="L1842" s="15" t="s">
        <v>41</v>
      </c>
      <c r="M1842" s="15" t="s">
        <v>810</v>
      </c>
      <c r="N1842" s="15" t="s">
        <v>811</v>
      </c>
      <c r="O1842" s="15" t="s">
        <v>44</v>
      </c>
      <c r="P1842" s="15" t="s">
        <v>3744</v>
      </c>
      <c r="Q1842" s="15" t="s">
        <v>3745</v>
      </c>
      <c r="R1842" s="16">
        <v>44329</v>
      </c>
      <c r="S1842" s="17" t="s">
        <v>317</v>
      </c>
      <c r="T1842" s="20">
        <f>HYPERLINK("https://vnm.spiral.com.vn//uploaded/20210513/594d0a94-ed38-4840-8052-f6ab28cfb8da.JPEG","07:56:19")</f>
      </c>
      <c r="U1842" s="20">
        <f>HYPERLINK("https://vnm.spiral.com.vn//uploaded/20210513/7e85f05b-11bd-4a6b-b6ae-c3a045deca0e.JPEG","12:00:17")</f>
      </c>
      <c r="V1842" s="18">
        <v>0.1694212962962963</v>
      </c>
      <c r="W1842" s="15" t="s">
        <v>10276</v>
      </c>
      <c r="X1842" s="15" t="s">
        <v>10277</v>
      </c>
      <c r="Y1842" s="15" t="s">
        <v>35</v>
      </c>
      <c r="Z1842" s="19">
        <v>0</v>
      </c>
      <c r="AA1842" s="15">
        <v>0</v>
      </c>
      <c r="AB1842" s="15" t="s">
        <v>35</v>
      </c>
    </row>
    <row r="1843">
      <c r="A1843" s="15">
        <v>1839</v>
      </c>
      <c r="B1843" s="15" t="s">
        <v>87</v>
      </c>
      <c r="C1843" s="15" t="s">
        <v>88</v>
      </c>
      <c r="D1843" s="15" t="s">
        <v>35</v>
      </c>
      <c r="E1843" s="15" t="s">
        <v>35</v>
      </c>
      <c r="F1843" s="15" t="s">
        <v>35</v>
      </c>
      <c r="G1843" s="15" t="s">
        <v>36</v>
      </c>
      <c r="H1843" s="15" t="s">
        <v>5190</v>
      </c>
      <c r="I1843" s="15" t="s">
        <v>5191</v>
      </c>
      <c r="J1843" s="15" t="s">
        <v>5192</v>
      </c>
      <c r="K1843" s="15" t="s">
        <v>40</v>
      </c>
      <c r="L1843" s="15" t="s">
        <v>41</v>
      </c>
      <c r="M1843" s="15" t="s">
        <v>289</v>
      </c>
      <c r="N1843" s="15" t="s">
        <v>290</v>
      </c>
      <c r="O1843" s="15" t="s">
        <v>44</v>
      </c>
      <c r="P1843" s="15" t="s">
        <v>5193</v>
      </c>
      <c r="Q1843" s="15" t="s">
        <v>5194</v>
      </c>
      <c r="R1843" s="16">
        <v>44329</v>
      </c>
      <c r="S1843" s="17" t="s">
        <v>317</v>
      </c>
      <c r="T1843" s="20">
        <f>HYPERLINK("https://vnm.spiral.com.vn//uploaded/20210513/e64550f2-5129-4af7-9797-a35d42fe52bd.JPEG","07:59:35")</f>
      </c>
      <c r="U1843" s="20">
        <f>HYPERLINK("https://vnm.spiral.com.vn//uploaded/20210513/9907ddab-55bc-4b15-8ec2-27ac0798b850.JPEG","12:00:17")</f>
      </c>
      <c r="V1843" s="18">
        <v>0.1671527777777778</v>
      </c>
      <c r="W1843" s="15" t="s">
        <v>10278</v>
      </c>
      <c r="X1843" s="15" t="s">
        <v>10279</v>
      </c>
      <c r="Y1843" s="15" t="s">
        <v>35</v>
      </c>
      <c r="Z1843" s="19">
        <v>0</v>
      </c>
      <c r="AA1843" s="15">
        <v>0</v>
      </c>
      <c r="AB1843" s="15" t="s">
        <v>35</v>
      </c>
    </row>
    <row r="1844">
      <c r="A1844" s="15">
        <v>1840</v>
      </c>
      <c r="B1844" s="15" t="s">
        <v>246</v>
      </c>
      <c r="C1844" s="15" t="s">
        <v>864</v>
      </c>
      <c r="D1844" s="15" t="s">
        <v>35</v>
      </c>
      <c r="E1844" s="15" t="s">
        <v>35</v>
      </c>
      <c r="F1844" s="15" t="s">
        <v>1676</v>
      </c>
      <c r="G1844" s="15" t="s">
        <v>36</v>
      </c>
      <c r="H1844" s="15" t="s">
        <v>7584</v>
      </c>
      <c r="I1844" s="15" t="s">
        <v>7585</v>
      </c>
      <c r="J1844" s="15" t="s">
        <v>7586</v>
      </c>
      <c r="K1844" s="15" t="s">
        <v>40</v>
      </c>
      <c r="L1844" s="15" t="s">
        <v>41</v>
      </c>
      <c r="M1844" s="15" t="s">
        <v>252</v>
      </c>
      <c r="N1844" s="15" t="s">
        <v>253</v>
      </c>
      <c r="O1844" s="15" t="s">
        <v>44</v>
      </c>
      <c r="P1844" s="15" t="s">
        <v>7587</v>
      </c>
      <c r="Q1844" s="15" t="s">
        <v>7588</v>
      </c>
      <c r="R1844" s="16">
        <v>44329</v>
      </c>
      <c r="S1844" s="17" t="s">
        <v>317</v>
      </c>
      <c r="T1844" s="20">
        <f>HYPERLINK("https://vnm.spiral.com.vn//uploaded/20210513/0372e74d-2729-4e94-9d54-d7fc8f4d1f81.JPEG","08:04:47")</f>
      </c>
      <c r="U1844" s="20">
        <f>HYPERLINK("https://vnm.spiral.com.vn//uploaded/20210513/8e7cf7fd-f5de-4613-90e2-8bfd91a1c8da.JPEG","12:00:16")</f>
      </c>
      <c r="V1844" s="18">
        <v>0.1635300925925926</v>
      </c>
      <c r="W1844" s="15" t="s">
        <v>10280</v>
      </c>
      <c r="X1844" s="15" t="s">
        <v>10281</v>
      </c>
      <c r="Y1844" s="15" t="s">
        <v>35</v>
      </c>
      <c r="Z1844" s="19">
        <v>0</v>
      </c>
      <c r="AA1844" s="15">
        <v>0</v>
      </c>
      <c r="AB1844" s="15" t="s">
        <v>35</v>
      </c>
    </row>
    <row r="1845">
      <c r="A1845" s="15">
        <v>1841</v>
      </c>
      <c r="B1845" s="15" t="s">
        <v>33</v>
      </c>
      <c r="C1845" s="15" t="s">
        <v>8154</v>
      </c>
      <c r="D1845" s="15" t="s">
        <v>35</v>
      </c>
      <c r="E1845" s="15" t="s">
        <v>35</v>
      </c>
      <c r="F1845" s="15" t="s">
        <v>8155</v>
      </c>
      <c r="G1845" s="15" t="s">
        <v>36</v>
      </c>
      <c r="H1845" s="15" t="s">
        <v>8156</v>
      </c>
      <c r="I1845" s="15" t="s">
        <v>8157</v>
      </c>
      <c r="J1845" s="15" t="s">
        <v>8158</v>
      </c>
      <c r="K1845" s="15" t="s">
        <v>40</v>
      </c>
      <c r="L1845" s="15" t="s">
        <v>41</v>
      </c>
      <c r="M1845" s="15" t="s">
        <v>42</v>
      </c>
      <c r="N1845" s="15" t="s">
        <v>43</v>
      </c>
      <c r="O1845" s="15" t="s">
        <v>44</v>
      </c>
      <c r="P1845" s="15" t="s">
        <v>8159</v>
      </c>
      <c r="Q1845" s="15" t="s">
        <v>8160</v>
      </c>
      <c r="R1845" s="16">
        <v>44329</v>
      </c>
      <c r="S1845" s="17" t="s">
        <v>317</v>
      </c>
      <c r="T1845" s="20">
        <f>HYPERLINK("https://vnm.spiral.com.vn//uploaded/20210513/AAA22EC7-4011-4E1F-AC51-D8176107164E.jpg","08:05:31")</f>
      </c>
      <c r="U1845" s="20">
        <f>HYPERLINK("https://vnm.spiral.com.vn//uploaded/20210513/1938580E-FA4F-4053-A8E0-FA855FB0B2C9.jpg","12:00:16")</f>
      </c>
      <c r="V1845" s="18">
        <v>0.16302083333333334</v>
      </c>
      <c r="W1845" s="15" t="s">
        <v>10282</v>
      </c>
      <c r="X1845" s="15" t="s">
        <v>10283</v>
      </c>
      <c r="Y1845" s="15" t="s">
        <v>35</v>
      </c>
      <c r="Z1845" s="19">
        <v>0</v>
      </c>
      <c r="AA1845" s="15">
        <v>0</v>
      </c>
      <c r="AB1845" s="15" t="s">
        <v>35</v>
      </c>
    </row>
    <row r="1846">
      <c r="A1846" s="15">
        <v>1842</v>
      </c>
      <c r="B1846" s="15" t="s">
        <v>49</v>
      </c>
      <c r="C1846" s="15" t="s">
        <v>162</v>
      </c>
      <c r="D1846" s="15" t="s">
        <v>35</v>
      </c>
      <c r="E1846" s="15" t="s">
        <v>35</v>
      </c>
      <c r="F1846" s="15" t="s">
        <v>1221</v>
      </c>
      <c r="G1846" s="15" t="s">
        <v>36</v>
      </c>
      <c r="H1846" s="15" t="s">
        <v>10284</v>
      </c>
      <c r="I1846" s="15" t="s">
        <v>10285</v>
      </c>
      <c r="J1846" s="15" t="s">
        <v>10286</v>
      </c>
      <c r="K1846" s="15" t="s">
        <v>40</v>
      </c>
      <c r="L1846" s="15" t="s">
        <v>41</v>
      </c>
      <c r="M1846" s="15" t="s">
        <v>55</v>
      </c>
      <c r="N1846" s="15" t="s">
        <v>56</v>
      </c>
      <c r="O1846" s="15" t="s">
        <v>44</v>
      </c>
      <c r="P1846" s="15" t="s">
        <v>10287</v>
      </c>
      <c r="Q1846" s="15" t="s">
        <v>10288</v>
      </c>
      <c r="R1846" s="16">
        <v>44329</v>
      </c>
      <c r="S1846" s="17" t="s">
        <v>6144</v>
      </c>
      <c r="T1846" s="20">
        <f>HYPERLINK("https://vnm.spiral.com.vn//uploaded/20210513/AAB1193D-353B-414D-86A6-AFD2CE71A63A.jpg","12:00:13")</f>
      </c>
      <c r="U1846" s="18"/>
      <c r="V1846" s="18" t="s">
        <v>35</v>
      </c>
      <c r="W1846" s="15" t="s">
        <v>10289</v>
      </c>
      <c r="X1846" s="15" t="s">
        <v>35</v>
      </c>
      <c r="Y1846" s="15" t="s">
        <v>35</v>
      </c>
      <c r="Z1846" s="19">
        <v>0</v>
      </c>
      <c r="AA1846" s="15">
        <v>0</v>
      </c>
      <c r="AB1846" s="15" t="s">
        <v>35</v>
      </c>
    </row>
    <row r="1847">
      <c r="A1847" s="15">
        <v>1843</v>
      </c>
      <c r="B1847" s="15" t="s">
        <v>343</v>
      </c>
      <c r="C1847" s="15" t="s">
        <v>344</v>
      </c>
      <c r="D1847" s="15" t="s">
        <v>35</v>
      </c>
      <c r="E1847" s="15" t="s">
        <v>35</v>
      </c>
      <c r="F1847" s="15" t="s">
        <v>35</v>
      </c>
      <c r="G1847" s="15" t="s">
        <v>36</v>
      </c>
      <c r="H1847" s="15" t="s">
        <v>7422</v>
      </c>
      <c r="I1847" s="15" t="s">
        <v>7423</v>
      </c>
      <c r="J1847" s="15" t="s">
        <v>7424</v>
      </c>
      <c r="K1847" s="15" t="s">
        <v>40</v>
      </c>
      <c r="L1847" s="15" t="s">
        <v>41</v>
      </c>
      <c r="M1847" s="15" t="s">
        <v>409</v>
      </c>
      <c r="N1847" s="15" t="s">
        <v>410</v>
      </c>
      <c r="O1847" s="15" t="s">
        <v>44</v>
      </c>
      <c r="P1847" s="15" t="s">
        <v>7425</v>
      </c>
      <c r="Q1847" s="15" t="s">
        <v>7426</v>
      </c>
      <c r="R1847" s="16">
        <v>44329</v>
      </c>
      <c r="S1847" s="17" t="s">
        <v>317</v>
      </c>
      <c r="T1847" s="20">
        <f>HYPERLINK("https://vnm.spiral.com.vn//uploaded/20210513/6712c946-fed5-427d-bd62-c7712eda8b47.JPEG","07:59:00")</f>
      </c>
      <c r="U1847" s="20">
        <f>HYPERLINK("https://vnm.spiral.com.vn//uploaded/20210513/e641f23d-1aec-4547-8e8a-48aa28a9260b.JPEG","12:00:13")</f>
      </c>
      <c r="V1847" s="18">
        <v>0.16751157407407408</v>
      </c>
      <c r="W1847" s="15" t="s">
        <v>10290</v>
      </c>
      <c r="X1847" s="15" t="s">
        <v>10291</v>
      </c>
      <c r="Y1847" s="15" t="s">
        <v>35</v>
      </c>
      <c r="Z1847" s="19">
        <v>0</v>
      </c>
      <c r="AA1847" s="15">
        <v>0</v>
      </c>
      <c r="AB1847" s="15" t="s">
        <v>35</v>
      </c>
    </row>
    <row r="1848">
      <c r="A1848" s="15">
        <v>1844</v>
      </c>
      <c r="B1848" s="15" t="s">
        <v>343</v>
      </c>
      <c r="C1848" s="15" t="s">
        <v>344</v>
      </c>
      <c r="D1848" s="15" t="s">
        <v>35</v>
      </c>
      <c r="E1848" s="15" t="s">
        <v>35</v>
      </c>
      <c r="F1848" s="15" t="s">
        <v>35</v>
      </c>
      <c r="G1848" s="15" t="s">
        <v>36</v>
      </c>
      <c r="H1848" s="15" t="s">
        <v>6943</v>
      </c>
      <c r="I1848" s="15" t="s">
        <v>6944</v>
      </c>
      <c r="J1848" s="15" t="s">
        <v>6945</v>
      </c>
      <c r="K1848" s="15" t="s">
        <v>40</v>
      </c>
      <c r="L1848" s="15" t="s">
        <v>41</v>
      </c>
      <c r="M1848" s="15" t="s">
        <v>595</v>
      </c>
      <c r="N1848" s="15" t="s">
        <v>596</v>
      </c>
      <c r="O1848" s="15" t="s">
        <v>44</v>
      </c>
      <c r="P1848" s="15" t="s">
        <v>6946</v>
      </c>
      <c r="Q1848" s="15" t="s">
        <v>6947</v>
      </c>
      <c r="R1848" s="16">
        <v>44329</v>
      </c>
      <c r="S1848" s="17" t="s">
        <v>317</v>
      </c>
      <c r="T1848" s="20">
        <f>HYPERLINK("https://vnm.spiral.com.vn//uploaded/20210513/46F2030A-DF22-46FF-BE2D-8EFE7295F19B.jpg","07:55:34")</f>
      </c>
      <c r="U1848" s="20">
        <f>HYPERLINK("https://vnm.spiral.com.vn//uploaded/20210513/E31BC5D0-F7E8-46D1-B7C2-F4A950E18EE5.jpg","12:00:13")</f>
      </c>
      <c r="V1848" s="18">
        <v>0.16989583333333333</v>
      </c>
      <c r="W1848" s="15" t="s">
        <v>10292</v>
      </c>
      <c r="X1848" s="15" t="s">
        <v>10293</v>
      </c>
      <c r="Y1848" s="15" t="s">
        <v>35</v>
      </c>
      <c r="Z1848" s="19">
        <v>0</v>
      </c>
      <c r="AA1848" s="15">
        <v>0</v>
      </c>
      <c r="AB1848" s="15" t="s">
        <v>35</v>
      </c>
    </row>
    <row r="1849">
      <c r="A1849" s="15">
        <v>1845</v>
      </c>
      <c r="B1849" s="15" t="s">
        <v>246</v>
      </c>
      <c r="C1849" s="15" t="s">
        <v>864</v>
      </c>
      <c r="D1849" s="15" t="s">
        <v>35</v>
      </c>
      <c r="E1849" s="15" t="s">
        <v>35</v>
      </c>
      <c r="F1849" s="15" t="s">
        <v>2406</v>
      </c>
      <c r="G1849" s="15" t="s">
        <v>36</v>
      </c>
      <c r="H1849" s="15" t="s">
        <v>8078</v>
      </c>
      <c r="I1849" s="15" t="s">
        <v>8079</v>
      </c>
      <c r="J1849" s="15" t="s">
        <v>8080</v>
      </c>
      <c r="K1849" s="15" t="s">
        <v>40</v>
      </c>
      <c r="L1849" s="15" t="s">
        <v>41</v>
      </c>
      <c r="M1849" s="15" t="s">
        <v>252</v>
      </c>
      <c r="N1849" s="15" t="s">
        <v>253</v>
      </c>
      <c r="O1849" s="15" t="s">
        <v>44</v>
      </c>
      <c r="P1849" s="15" t="s">
        <v>8081</v>
      </c>
      <c r="Q1849" s="15" t="s">
        <v>8082</v>
      </c>
      <c r="R1849" s="16">
        <v>44329</v>
      </c>
      <c r="S1849" s="17" t="s">
        <v>9898</v>
      </c>
      <c r="T1849" s="20">
        <f>HYPERLINK("https://vnm.spiral.com.vn//uploaded/20210513/784034CA-4534-4ACB-A635-527F41B497CB.jpg","07:09:06")</f>
      </c>
      <c r="U1849" s="20">
        <f>HYPERLINK("https://vnm.spiral.com.vn//uploaded/20210513/415C4058-61BA-4D71-B363-F8FCFEDC36A7.jpg","12:00:11")</f>
      </c>
      <c r="V1849" s="18">
        <v>0.2021412037037037</v>
      </c>
      <c r="W1849" s="15" t="s">
        <v>10294</v>
      </c>
      <c r="X1849" s="15" t="s">
        <v>10295</v>
      </c>
      <c r="Y1849" s="15" t="s">
        <v>35</v>
      </c>
      <c r="Z1849" s="19">
        <v>0</v>
      </c>
      <c r="AA1849" s="15">
        <v>0</v>
      </c>
      <c r="AB1849" s="15" t="s">
        <v>35</v>
      </c>
    </row>
    <row r="1850">
      <c r="A1850" s="15">
        <v>1846</v>
      </c>
      <c r="B1850" s="15" t="s">
        <v>49</v>
      </c>
      <c r="C1850" s="15" t="s">
        <v>369</v>
      </c>
      <c r="D1850" s="15" t="s">
        <v>35</v>
      </c>
      <c r="E1850" s="15" t="s">
        <v>35</v>
      </c>
      <c r="F1850" s="15" t="s">
        <v>370</v>
      </c>
      <c r="G1850" s="15" t="s">
        <v>36</v>
      </c>
      <c r="H1850" s="15" t="s">
        <v>10296</v>
      </c>
      <c r="I1850" s="15" t="s">
        <v>269</v>
      </c>
      <c r="J1850" s="15" t="s">
        <v>3461</v>
      </c>
      <c r="K1850" s="15" t="s">
        <v>40</v>
      </c>
      <c r="L1850" s="15" t="s">
        <v>41</v>
      </c>
      <c r="M1850" s="15" t="s">
        <v>55</v>
      </c>
      <c r="N1850" s="15" t="s">
        <v>56</v>
      </c>
      <c r="O1850" s="15" t="s">
        <v>44</v>
      </c>
      <c r="P1850" s="15" t="s">
        <v>7473</v>
      </c>
      <c r="Q1850" s="15" t="s">
        <v>7474</v>
      </c>
      <c r="R1850" s="16">
        <v>44329</v>
      </c>
      <c r="S1850" s="17" t="s">
        <v>317</v>
      </c>
      <c r="T1850" s="20">
        <f>HYPERLINK("https://vnm.spiral.com.vn//uploaded/20210513/ba4af538-058a-4c85-9bf8-848e8b486e14.JPEG","08:04:02")</f>
      </c>
      <c r="U1850" s="20">
        <f>HYPERLINK("https://vnm.spiral.com.vn//uploaded/20210513/6988ef0b-6557-412d-b7f4-8f25619dfd5f.JPEG","12:00:07")</f>
      </c>
      <c r="V1850" s="18">
        <v>0.16394675925925925</v>
      </c>
      <c r="W1850" s="15" t="s">
        <v>10297</v>
      </c>
      <c r="X1850" s="15" t="s">
        <v>10298</v>
      </c>
      <c r="Y1850" s="15" t="s">
        <v>35</v>
      </c>
      <c r="Z1850" s="19">
        <v>0</v>
      </c>
      <c r="AA1850" s="15">
        <v>0</v>
      </c>
      <c r="AB1850" s="15" t="s">
        <v>35</v>
      </c>
    </row>
    <row r="1851">
      <c r="A1851" s="15">
        <v>1847</v>
      </c>
      <c r="B1851" s="15" t="s">
        <v>87</v>
      </c>
      <c r="C1851" s="15" t="s">
        <v>88</v>
      </c>
      <c r="D1851" s="15" t="s">
        <v>35</v>
      </c>
      <c r="E1851" s="15" t="s">
        <v>35</v>
      </c>
      <c r="F1851" s="15" t="s">
        <v>2789</v>
      </c>
      <c r="G1851" s="15" t="s">
        <v>36</v>
      </c>
      <c r="H1851" s="15" t="s">
        <v>6641</v>
      </c>
      <c r="I1851" s="15" t="s">
        <v>6642</v>
      </c>
      <c r="J1851" s="15" t="s">
        <v>6643</v>
      </c>
      <c r="K1851" s="15" t="s">
        <v>40</v>
      </c>
      <c r="L1851" s="15" t="s">
        <v>41</v>
      </c>
      <c r="M1851" s="15" t="s">
        <v>289</v>
      </c>
      <c r="N1851" s="15" t="s">
        <v>290</v>
      </c>
      <c r="O1851" s="15" t="s">
        <v>44</v>
      </c>
      <c r="P1851" s="15" t="s">
        <v>6644</v>
      </c>
      <c r="Q1851" s="15" t="s">
        <v>6645</v>
      </c>
      <c r="R1851" s="16">
        <v>44329</v>
      </c>
      <c r="S1851" s="17" t="s">
        <v>317</v>
      </c>
      <c r="T1851" s="20">
        <f>HYPERLINK("https://vnm.spiral.com.vn//uploaded/20210513/a5d12b44-8e76-4931-b3b5-aa3a7e95bd53.JPEG","08:02:12")</f>
      </c>
      <c r="U1851" s="20">
        <f>HYPERLINK("https://vnm.spiral.com.vn//uploaded/20210513/9e7bb9c9-f6f8-476d-86e8-ffffed34ed1f.JPEG","12:00:07")</f>
      </c>
      <c r="V1851" s="18">
        <v>0.1652199074074074</v>
      </c>
      <c r="W1851" s="15" t="s">
        <v>10299</v>
      </c>
      <c r="X1851" s="15" t="s">
        <v>10300</v>
      </c>
      <c r="Y1851" s="15" t="s">
        <v>35</v>
      </c>
      <c r="Z1851" s="19">
        <v>0</v>
      </c>
      <c r="AA1851" s="15">
        <v>0</v>
      </c>
      <c r="AB1851" s="15" t="s">
        <v>35</v>
      </c>
    </row>
    <row r="1852">
      <c r="A1852" s="15">
        <v>1848</v>
      </c>
      <c r="B1852" s="15" t="s">
        <v>343</v>
      </c>
      <c r="C1852" s="15" t="s">
        <v>344</v>
      </c>
      <c r="D1852" s="15" t="s">
        <v>35</v>
      </c>
      <c r="E1852" s="15" t="s">
        <v>35</v>
      </c>
      <c r="F1852" s="15" t="s">
        <v>35</v>
      </c>
      <c r="G1852" s="15" t="s">
        <v>36</v>
      </c>
      <c r="H1852" s="15" t="s">
        <v>10301</v>
      </c>
      <c r="I1852" s="15" t="s">
        <v>10302</v>
      </c>
      <c r="J1852" s="15" t="s">
        <v>10303</v>
      </c>
      <c r="K1852" s="15" t="s">
        <v>40</v>
      </c>
      <c r="L1852" s="15" t="s">
        <v>41</v>
      </c>
      <c r="M1852" s="15" t="s">
        <v>595</v>
      </c>
      <c r="N1852" s="15" t="s">
        <v>596</v>
      </c>
      <c r="O1852" s="15" t="s">
        <v>44</v>
      </c>
      <c r="P1852" s="15" t="s">
        <v>7670</v>
      </c>
      <c r="Q1852" s="15" t="s">
        <v>7671</v>
      </c>
      <c r="R1852" s="16">
        <v>44329</v>
      </c>
      <c r="S1852" s="17" t="s">
        <v>317</v>
      </c>
      <c r="T1852" s="20">
        <f>HYPERLINK("https://vnm.spiral.com.vn//uploaded/20210513/877d6e7d-9862-4a60-993b-1a5df47cd047.JPEG","07:52:19")</f>
      </c>
      <c r="U1852" s="20">
        <f>HYPERLINK("https://vnm.spiral.com.vn//uploaded/20210513/b90d4c24-cb0a-4458-8211-c7d027c93698.JPEG","11:59:59")</f>
      </c>
      <c r="V1852" s="18">
        <v>0.17199074074074075</v>
      </c>
      <c r="W1852" s="15" t="s">
        <v>10304</v>
      </c>
      <c r="X1852" s="15" t="s">
        <v>10305</v>
      </c>
      <c r="Y1852" s="15" t="s">
        <v>35</v>
      </c>
      <c r="Z1852" s="19">
        <v>0</v>
      </c>
      <c r="AA1852" s="15">
        <v>0</v>
      </c>
      <c r="AB1852" s="15" t="s">
        <v>35</v>
      </c>
    </row>
    <row r="1853">
      <c r="A1853" s="15">
        <v>1849</v>
      </c>
      <c r="B1853" s="15" t="s">
        <v>87</v>
      </c>
      <c r="C1853" s="15" t="s">
        <v>88</v>
      </c>
      <c r="D1853" s="15" t="s">
        <v>35</v>
      </c>
      <c r="E1853" s="15" t="s">
        <v>35</v>
      </c>
      <c r="F1853" s="15" t="s">
        <v>1091</v>
      </c>
      <c r="G1853" s="15" t="s">
        <v>36</v>
      </c>
      <c r="H1853" s="15" t="s">
        <v>4651</v>
      </c>
      <c r="I1853" s="15" t="s">
        <v>4103</v>
      </c>
      <c r="J1853" s="15" t="s">
        <v>4652</v>
      </c>
      <c r="K1853" s="15" t="s">
        <v>40</v>
      </c>
      <c r="L1853" s="15" t="s">
        <v>41</v>
      </c>
      <c r="M1853" s="15" t="s">
        <v>810</v>
      </c>
      <c r="N1853" s="15" t="s">
        <v>811</v>
      </c>
      <c r="O1853" s="15" t="s">
        <v>44</v>
      </c>
      <c r="P1853" s="15" t="s">
        <v>4653</v>
      </c>
      <c r="Q1853" s="15" t="s">
        <v>4654</v>
      </c>
      <c r="R1853" s="16">
        <v>44329</v>
      </c>
      <c r="S1853" s="17" t="s">
        <v>317</v>
      </c>
      <c r="T1853" s="20">
        <f>HYPERLINK("https://vnm.spiral.com.vn//uploaded/20210513/D39563C1-5E06-4CE3-BF04-9EDA143B30DF.jpg","08:12:01")</f>
      </c>
      <c r="U1853" s="20">
        <f>HYPERLINK("https://vnm.spiral.com.vn//uploaded/20210513/173F53A2-C3A7-4A0F-80FD-BE740D16AF35.jpg","11:59:56")</f>
      </c>
      <c r="V1853" s="18">
        <v>0.15827546296296297</v>
      </c>
      <c r="W1853" s="15" t="s">
        <v>10306</v>
      </c>
      <c r="X1853" s="15" t="s">
        <v>10307</v>
      </c>
      <c r="Y1853" s="15" t="s">
        <v>35</v>
      </c>
      <c r="Z1853" s="19">
        <v>0</v>
      </c>
      <c r="AA1853" s="15">
        <v>0</v>
      </c>
      <c r="AB1853" s="15" t="s">
        <v>35</v>
      </c>
    </row>
    <row r="1854">
      <c r="A1854" s="15">
        <v>1850</v>
      </c>
      <c r="B1854" s="15" t="s">
        <v>343</v>
      </c>
      <c r="C1854" s="15" t="s">
        <v>344</v>
      </c>
      <c r="D1854" s="15" t="s">
        <v>35</v>
      </c>
      <c r="E1854" s="15" t="s">
        <v>35</v>
      </c>
      <c r="F1854" s="15" t="s">
        <v>35</v>
      </c>
      <c r="G1854" s="15" t="s">
        <v>36</v>
      </c>
      <c r="H1854" s="15" t="s">
        <v>7490</v>
      </c>
      <c r="I1854" s="15" t="s">
        <v>7491</v>
      </c>
      <c r="J1854" s="15" t="s">
        <v>7492</v>
      </c>
      <c r="K1854" s="15" t="s">
        <v>40</v>
      </c>
      <c r="L1854" s="15" t="s">
        <v>41</v>
      </c>
      <c r="M1854" s="15" t="s">
        <v>595</v>
      </c>
      <c r="N1854" s="15" t="s">
        <v>596</v>
      </c>
      <c r="O1854" s="15" t="s">
        <v>44</v>
      </c>
      <c r="P1854" s="15" t="s">
        <v>7493</v>
      </c>
      <c r="Q1854" s="15" t="s">
        <v>7494</v>
      </c>
      <c r="R1854" s="16">
        <v>44329</v>
      </c>
      <c r="S1854" s="17" t="s">
        <v>317</v>
      </c>
      <c r="T1854" s="20">
        <f>HYPERLINK("https://vnm.spiral.com.vn//uploaded/20210513/6EE20E49-3A03-49A0-ADF9-3B04AB90BD1D.jpg","08:03:09")</f>
      </c>
      <c r="U1854" s="20">
        <f>HYPERLINK("https://vnm.spiral.com.vn//uploaded/20210513/1421936C-BEF3-451F-B74B-73A62783CFA3.jpg","11:59:56")</f>
      </c>
      <c r="V1854" s="18">
        <v>0.16443287037037038</v>
      </c>
      <c r="W1854" s="15" t="s">
        <v>10308</v>
      </c>
      <c r="X1854" s="15" t="s">
        <v>10309</v>
      </c>
      <c r="Y1854" s="15" t="s">
        <v>35</v>
      </c>
      <c r="Z1854" s="19">
        <v>0</v>
      </c>
      <c r="AA1854" s="15">
        <v>0</v>
      </c>
      <c r="AB1854" s="15" t="s">
        <v>35</v>
      </c>
    </row>
    <row r="1855">
      <c r="A1855" s="15">
        <v>1851</v>
      </c>
      <c r="B1855" s="15" t="s">
        <v>103</v>
      </c>
      <c r="C1855" s="15" t="s">
        <v>1078</v>
      </c>
      <c r="D1855" s="15" t="s">
        <v>35</v>
      </c>
      <c r="E1855" s="15" t="s">
        <v>35</v>
      </c>
      <c r="F1855" s="15" t="s">
        <v>35</v>
      </c>
      <c r="G1855" s="15" t="s">
        <v>36</v>
      </c>
      <c r="H1855" s="15" t="s">
        <v>8632</v>
      </c>
      <c r="I1855" s="15" t="s">
        <v>8633</v>
      </c>
      <c r="J1855" s="15" t="s">
        <v>8565</v>
      </c>
      <c r="K1855" s="15" t="s">
        <v>40</v>
      </c>
      <c r="L1855" s="15" t="s">
        <v>41</v>
      </c>
      <c r="M1855" s="15" t="s">
        <v>565</v>
      </c>
      <c r="N1855" s="15" t="s">
        <v>566</v>
      </c>
      <c r="O1855" s="15" t="s">
        <v>44</v>
      </c>
      <c r="P1855" s="15" t="s">
        <v>8634</v>
      </c>
      <c r="Q1855" s="15" t="s">
        <v>8635</v>
      </c>
      <c r="R1855" s="16">
        <v>44329</v>
      </c>
      <c r="S1855" s="17" t="s">
        <v>9925</v>
      </c>
      <c r="T1855" s="20">
        <f>HYPERLINK("https://vnm.spiral.com.vn//uploaded/20210513/dc6d78d0-6f1d-4333-9a2e-1c6a6281f6bc.JPEG","08:36:48")</f>
      </c>
      <c r="U1855" s="20">
        <f>HYPERLINK("https://vnm.spiral.com.vn//uploaded/20210513/6d5e8d20-997d-4e17-82f7-46367377ef4b.JPEG","11:59:54")</f>
      </c>
      <c r="V1855" s="18">
        <v>0.14104166666666668</v>
      </c>
      <c r="W1855" s="15" t="s">
        <v>10310</v>
      </c>
      <c r="X1855" s="15" t="s">
        <v>10311</v>
      </c>
      <c r="Y1855" s="15" t="s">
        <v>35</v>
      </c>
      <c r="Z1855" s="19">
        <v>0</v>
      </c>
      <c r="AA1855" s="15">
        <v>0</v>
      </c>
      <c r="AB1855" s="15" t="s">
        <v>35</v>
      </c>
    </row>
    <row r="1856">
      <c r="A1856" s="15">
        <v>1852</v>
      </c>
      <c r="B1856" s="15" t="s">
        <v>87</v>
      </c>
      <c r="C1856" s="15" t="s">
        <v>88</v>
      </c>
      <c r="D1856" s="15" t="s">
        <v>35</v>
      </c>
      <c r="E1856" s="15" t="s">
        <v>35</v>
      </c>
      <c r="F1856" s="15" t="s">
        <v>1191</v>
      </c>
      <c r="G1856" s="15" t="s">
        <v>36</v>
      </c>
      <c r="H1856" s="15" t="s">
        <v>10312</v>
      </c>
      <c r="I1856" s="15" t="s">
        <v>10313</v>
      </c>
      <c r="J1856" s="15" t="s">
        <v>10314</v>
      </c>
      <c r="K1856" s="15" t="s">
        <v>40</v>
      </c>
      <c r="L1856" s="15" t="s">
        <v>41</v>
      </c>
      <c r="M1856" s="15" t="s">
        <v>810</v>
      </c>
      <c r="N1856" s="15" t="s">
        <v>811</v>
      </c>
      <c r="O1856" s="15" t="s">
        <v>44</v>
      </c>
      <c r="P1856" s="15" t="s">
        <v>4552</v>
      </c>
      <c r="Q1856" s="15" t="s">
        <v>4553</v>
      </c>
      <c r="R1856" s="16">
        <v>44329</v>
      </c>
      <c r="S1856" s="17" t="s">
        <v>317</v>
      </c>
      <c r="T1856" s="20">
        <f>HYPERLINK("https://vnm.spiral.com.vn//uploaded/20210513/05950efe-ee53-4c8f-b11d-2d98344f3301.JPEG","08:05:04")</f>
      </c>
      <c r="U1856" s="20">
        <f>HYPERLINK("https://vnm.spiral.com.vn//uploaded/20210513/56d3076e-0754-423a-a888-b328d9ecb726.JPEG","11:59:51")</f>
      </c>
      <c r="V1856" s="18">
        <v>0.16304398148148147</v>
      </c>
      <c r="W1856" s="15" t="s">
        <v>10315</v>
      </c>
      <c r="X1856" s="15" t="s">
        <v>10316</v>
      </c>
      <c r="Y1856" s="15" t="s">
        <v>35</v>
      </c>
      <c r="Z1856" s="19">
        <v>0</v>
      </c>
      <c r="AA1856" s="15">
        <v>0</v>
      </c>
      <c r="AB1856" s="15" t="s">
        <v>35</v>
      </c>
    </row>
    <row r="1857">
      <c r="A1857" s="15">
        <v>1853</v>
      </c>
      <c r="B1857" s="15" t="s">
        <v>246</v>
      </c>
      <c r="C1857" s="15" t="s">
        <v>2845</v>
      </c>
      <c r="D1857" s="15" t="s">
        <v>35</v>
      </c>
      <c r="E1857" s="15" t="s">
        <v>35</v>
      </c>
      <c r="F1857" s="15" t="s">
        <v>4265</v>
      </c>
      <c r="G1857" s="15" t="s">
        <v>36</v>
      </c>
      <c r="H1857" s="15" t="s">
        <v>7517</v>
      </c>
      <c r="I1857" s="15" t="s">
        <v>7518</v>
      </c>
      <c r="J1857" s="15" t="s">
        <v>7519</v>
      </c>
      <c r="K1857" s="15" t="s">
        <v>40</v>
      </c>
      <c r="L1857" s="15" t="s">
        <v>41</v>
      </c>
      <c r="M1857" s="15" t="s">
        <v>252</v>
      </c>
      <c r="N1857" s="15" t="s">
        <v>253</v>
      </c>
      <c r="O1857" s="15" t="s">
        <v>44</v>
      </c>
      <c r="P1857" s="15" t="s">
        <v>7520</v>
      </c>
      <c r="Q1857" s="15" t="s">
        <v>7521</v>
      </c>
      <c r="R1857" s="16">
        <v>44329</v>
      </c>
      <c r="S1857" s="17" t="s">
        <v>317</v>
      </c>
      <c r="T1857" s="20">
        <f>HYPERLINK("https://vnm.spiral.com.vn//uploaded/20210513/741b6985-4ade-49b0-9768-84a3b071fb7e.JPEG","07:59:19")</f>
      </c>
      <c r="U1857" s="20">
        <f>HYPERLINK("https://vnm.spiral.com.vn//uploaded/20210513/b77f156d-53f1-4873-9eac-2a13db6c63ab.JPEG","11:59:51")</f>
      </c>
      <c r="V1857" s="18">
        <v>0.16703703703703704</v>
      </c>
      <c r="W1857" s="15" t="s">
        <v>10317</v>
      </c>
      <c r="X1857" s="15" t="s">
        <v>10318</v>
      </c>
      <c r="Y1857" s="15" t="s">
        <v>35</v>
      </c>
      <c r="Z1857" s="19">
        <v>0</v>
      </c>
      <c r="AA1857" s="15">
        <v>0</v>
      </c>
      <c r="AB1857" s="15" t="s">
        <v>35</v>
      </c>
    </row>
    <row r="1858">
      <c r="A1858" s="15">
        <v>1854</v>
      </c>
      <c r="B1858" s="15" t="s">
        <v>87</v>
      </c>
      <c r="C1858" s="15" t="s">
        <v>88</v>
      </c>
      <c r="D1858" s="15" t="s">
        <v>35</v>
      </c>
      <c r="E1858" s="15" t="s">
        <v>35</v>
      </c>
      <c r="F1858" s="15" t="s">
        <v>2373</v>
      </c>
      <c r="G1858" s="15" t="s">
        <v>36</v>
      </c>
      <c r="H1858" s="15" t="s">
        <v>6255</v>
      </c>
      <c r="I1858" s="15" t="s">
        <v>6256</v>
      </c>
      <c r="J1858" s="15" t="s">
        <v>6257</v>
      </c>
      <c r="K1858" s="15" t="s">
        <v>40</v>
      </c>
      <c r="L1858" s="15" t="s">
        <v>41</v>
      </c>
      <c r="M1858" s="15" t="s">
        <v>810</v>
      </c>
      <c r="N1858" s="15" t="s">
        <v>811</v>
      </c>
      <c r="O1858" s="15" t="s">
        <v>44</v>
      </c>
      <c r="P1858" s="15" t="s">
        <v>6258</v>
      </c>
      <c r="Q1858" s="15" t="s">
        <v>6259</v>
      </c>
      <c r="R1858" s="16">
        <v>44329</v>
      </c>
      <c r="S1858" s="17" t="s">
        <v>9664</v>
      </c>
      <c r="T1858" s="20">
        <f>HYPERLINK("https://vnm.spiral.com.vn//uploaded/20210513/b74ded96-3fa6-46ed-a57c-19cb693d8f06.JPEG","07:32:35")</f>
      </c>
      <c r="U1858" s="20">
        <f>HYPERLINK("https://vnm.spiral.com.vn//uploaded/20210513/54ea10a1-95d2-47ac-a7c7-8146f434b7d0.JPEG","11:59:46")</f>
      </c>
      <c r="V1858" s="18">
        <v>0.1855439814814815</v>
      </c>
      <c r="W1858" s="15" t="s">
        <v>10319</v>
      </c>
      <c r="X1858" s="15" t="s">
        <v>10320</v>
      </c>
      <c r="Y1858" s="15" t="s">
        <v>35</v>
      </c>
      <c r="Z1858" s="19">
        <v>0</v>
      </c>
      <c r="AA1858" s="15">
        <v>0</v>
      </c>
      <c r="AB1858" s="15" t="s">
        <v>35</v>
      </c>
    </row>
    <row r="1859">
      <c r="A1859" s="15">
        <v>1855</v>
      </c>
      <c r="B1859" s="15" t="s">
        <v>87</v>
      </c>
      <c r="C1859" s="15" t="s">
        <v>88</v>
      </c>
      <c r="D1859" s="15" t="s">
        <v>135</v>
      </c>
      <c r="E1859" s="15" t="s">
        <v>116</v>
      </c>
      <c r="F1859" s="15" t="s">
        <v>35</v>
      </c>
      <c r="G1859" s="15" t="s">
        <v>74</v>
      </c>
      <c r="H1859" s="15" t="s">
        <v>10321</v>
      </c>
      <c r="I1859" s="15" t="s">
        <v>10322</v>
      </c>
      <c r="J1859" s="15" t="s">
        <v>10323</v>
      </c>
      <c r="K1859" s="15" t="s">
        <v>139</v>
      </c>
      <c r="L1859" s="15" t="s">
        <v>140</v>
      </c>
      <c r="M1859" s="15" t="s">
        <v>530</v>
      </c>
      <c r="N1859" s="15" t="s">
        <v>531</v>
      </c>
      <c r="O1859" s="15" t="s">
        <v>82</v>
      </c>
      <c r="P1859" s="15" t="s">
        <v>532</v>
      </c>
      <c r="Q1859" s="15" t="s">
        <v>533</v>
      </c>
      <c r="R1859" s="16">
        <v>44329</v>
      </c>
      <c r="S1859" s="17" t="s">
        <v>70</v>
      </c>
      <c r="T1859" s="20">
        <f>HYPERLINK("https://vnm.spiral.com.vn//uploaded/20210513/ea752698-5876-44c0-a7f7-9ccc4bdaa7bf.JPEG","10:51:31")</f>
      </c>
      <c r="U1859" s="20">
        <f>HYPERLINK("https://vnm.spiral.com.vn//uploaded/20210513/728d1f0c-b0ac-4394-9a0f-17374cd8294c.JPEG","11:59:41")</f>
      </c>
      <c r="V1859" s="18">
        <v>0.047337962962962964</v>
      </c>
      <c r="W1859" s="15" t="s">
        <v>10324</v>
      </c>
      <c r="X1859" s="15" t="s">
        <v>10325</v>
      </c>
      <c r="Y1859" s="15" t="s">
        <v>35</v>
      </c>
      <c r="Z1859" s="19">
        <v>0</v>
      </c>
      <c r="AA1859" s="15">
        <v>0</v>
      </c>
      <c r="AB1859" s="15" t="s">
        <v>35</v>
      </c>
    </row>
    <row r="1860">
      <c r="A1860" s="15">
        <v>1856</v>
      </c>
      <c r="B1860" s="15" t="s">
        <v>61</v>
      </c>
      <c r="C1860" s="15" t="s">
        <v>228</v>
      </c>
      <c r="D1860" s="15" t="s">
        <v>35</v>
      </c>
      <c r="E1860" s="15" t="s">
        <v>35</v>
      </c>
      <c r="F1860" s="15" t="s">
        <v>35</v>
      </c>
      <c r="G1860" s="15" t="s">
        <v>36</v>
      </c>
      <c r="H1860" s="15" t="s">
        <v>10326</v>
      </c>
      <c r="I1860" s="15" t="s">
        <v>10327</v>
      </c>
      <c r="J1860" s="15" t="s">
        <v>10328</v>
      </c>
      <c r="K1860" s="15" t="s">
        <v>40</v>
      </c>
      <c r="L1860" s="15" t="s">
        <v>41</v>
      </c>
      <c r="M1860" s="15" t="s">
        <v>205</v>
      </c>
      <c r="N1860" s="15" t="s">
        <v>206</v>
      </c>
      <c r="O1860" s="15" t="s">
        <v>44</v>
      </c>
      <c r="P1860" s="15" t="s">
        <v>10329</v>
      </c>
      <c r="Q1860" s="15" t="s">
        <v>10330</v>
      </c>
      <c r="R1860" s="16">
        <v>44329</v>
      </c>
      <c r="S1860" s="17" t="s">
        <v>9898</v>
      </c>
      <c r="T1860" s="20">
        <f>HYPERLINK("https://vnm.spiral.com.vn//uploaded/20210513/5385C892-2C8A-412A-BCEC-AE0D1F3E9AB9.jpg","06:58:43")</f>
      </c>
      <c r="U1860" s="20">
        <f>HYPERLINK("https://vnm.spiral.com.vn//uploaded/20210513/676AF322-4AA1-4F5D-8233-26CC782E50E2.jpg","11:59:37")</f>
      </c>
      <c r="V1860" s="18">
        <v>0.20895833333333333</v>
      </c>
      <c r="W1860" s="15" t="s">
        <v>10331</v>
      </c>
      <c r="X1860" s="15" t="s">
        <v>10332</v>
      </c>
      <c r="Y1860" s="15" t="s">
        <v>35</v>
      </c>
      <c r="Z1860" s="19">
        <v>0</v>
      </c>
      <c r="AA1860" s="15">
        <v>0</v>
      </c>
      <c r="AB1860" s="15" t="s">
        <v>35</v>
      </c>
    </row>
    <row r="1861">
      <c r="A1861" s="15">
        <v>1857</v>
      </c>
      <c r="B1861" s="15" t="s">
        <v>87</v>
      </c>
      <c r="C1861" s="15" t="s">
        <v>88</v>
      </c>
      <c r="D1861" s="15" t="s">
        <v>35</v>
      </c>
      <c r="E1861" s="15" t="s">
        <v>35</v>
      </c>
      <c r="F1861" s="15" t="s">
        <v>1191</v>
      </c>
      <c r="G1861" s="15" t="s">
        <v>36</v>
      </c>
      <c r="H1861" s="15" t="s">
        <v>10333</v>
      </c>
      <c r="I1861" s="15" t="s">
        <v>10334</v>
      </c>
      <c r="J1861" s="15" t="s">
        <v>10335</v>
      </c>
      <c r="K1861" s="15" t="s">
        <v>40</v>
      </c>
      <c r="L1861" s="15" t="s">
        <v>41</v>
      </c>
      <c r="M1861" s="15" t="s">
        <v>1195</v>
      </c>
      <c r="N1861" s="15" t="s">
        <v>1196</v>
      </c>
      <c r="O1861" s="15" t="s">
        <v>44</v>
      </c>
      <c r="P1861" s="15" t="s">
        <v>3891</v>
      </c>
      <c r="Q1861" s="15" t="s">
        <v>3892</v>
      </c>
      <c r="R1861" s="16">
        <v>44329</v>
      </c>
      <c r="S1861" s="17" t="s">
        <v>317</v>
      </c>
      <c r="T1861" s="20">
        <f>HYPERLINK("https://vnm.spiral.com.vn//uploaded/20210513/A13FB0DC-B5AE-436B-A61F-0F8237BC0CE7.jpg","07:55:21")</f>
      </c>
      <c r="U1861" s="20">
        <f>HYPERLINK("https://vnm.spiral.com.vn//uploaded/20210513/9B1B0396-470C-43C8-8ED5-F606176B2076.jpg","11:59:28")</f>
      </c>
      <c r="V1861" s="18">
        <v>0.16952546296296298</v>
      </c>
      <c r="W1861" s="15" t="s">
        <v>10336</v>
      </c>
      <c r="X1861" s="15" t="s">
        <v>10337</v>
      </c>
      <c r="Y1861" s="15" t="s">
        <v>35</v>
      </c>
      <c r="Z1861" s="19">
        <v>0</v>
      </c>
      <c r="AA1861" s="15">
        <v>0</v>
      </c>
      <c r="AB1861" s="15" t="s">
        <v>35</v>
      </c>
    </row>
    <row r="1862">
      <c r="A1862" s="15">
        <v>1858</v>
      </c>
      <c r="B1862" s="15" t="s">
        <v>103</v>
      </c>
      <c r="C1862" s="15" t="s">
        <v>104</v>
      </c>
      <c r="D1862" s="15" t="s">
        <v>35</v>
      </c>
      <c r="E1862" s="15" t="s">
        <v>35</v>
      </c>
      <c r="F1862" s="15" t="s">
        <v>35</v>
      </c>
      <c r="G1862" s="15" t="s">
        <v>35</v>
      </c>
      <c r="H1862" s="15" t="s">
        <v>6886</v>
      </c>
      <c r="I1862" s="15" t="s">
        <v>6887</v>
      </c>
      <c r="J1862" s="15" t="s">
        <v>6888</v>
      </c>
      <c r="K1862" s="15" t="s">
        <v>40</v>
      </c>
      <c r="L1862" s="15" t="s">
        <v>41</v>
      </c>
      <c r="M1862" s="15" t="s">
        <v>108</v>
      </c>
      <c r="N1862" s="15" t="s">
        <v>109</v>
      </c>
      <c r="O1862" s="15" t="s">
        <v>44</v>
      </c>
      <c r="P1862" s="15" t="s">
        <v>6889</v>
      </c>
      <c r="Q1862" s="15" t="s">
        <v>6890</v>
      </c>
      <c r="R1862" s="16">
        <v>44329</v>
      </c>
      <c r="S1862" s="17" t="s">
        <v>317</v>
      </c>
      <c r="T1862" s="20">
        <f>HYPERLINK("https://vnm.spiral.com.vn//uploaded/20210513/DEC8296F-EA40-4972-85A7-32FF79E6F3F7.jpg","08:09:38")</f>
      </c>
      <c r="U1862" s="20">
        <f>HYPERLINK("https://vnm.spiral.com.vn//uploaded/20210513/55798413-3935-4571-ADE9-42C47696F078.jpg","11:59:09")</f>
      </c>
      <c r="V1862" s="18">
        <v>0.15938657407407408</v>
      </c>
      <c r="W1862" s="15" t="s">
        <v>10338</v>
      </c>
      <c r="X1862" s="15" t="s">
        <v>10339</v>
      </c>
      <c r="Y1862" s="15" t="s">
        <v>35</v>
      </c>
      <c r="Z1862" s="19">
        <v>0</v>
      </c>
      <c r="AA1862" s="15">
        <v>0</v>
      </c>
      <c r="AB1862" s="15" t="s">
        <v>35</v>
      </c>
    </row>
    <row r="1863">
      <c r="A1863" s="15">
        <v>1859</v>
      </c>
      <c r="B1863" s="15" t="s">
        <v>246</v>
      </c>
      <c r="C1863" s="15" t="s">
        <v>259</v>
      </c>
      <c r="D1863" s="15" t="s">
        <v>35</v>
      </c>
      <c r="E1863" s="15" t="s">
        <v>35</v>
      </c>
      <c r="F1863" s="15" t="s">
        <v>35</v>
      </c>
      <c r="G1863" s="15" t="s">
        <v>35</v>
      </c>
      <c r="H1863" s="15" t="s">
        <v>6759</v>
      </c>
      <c r="I1863" s="15" t="s">
        <v>6760</v>
      </c>
      <c r="J1863" s="15" t="s">
        <v>6761</v>
      </c>
      <c r="K1863" s="15" t="s">
        <v>40</v>
      </c>
      <c r="L1863" s="15" t="s">
        <v>41</v>
      </c>
      <c r="M1863" s="15" t="s">
        <v>252</v>
      </c>
      <c r="N1863" s="15" t="s">
        <v>253</v>
      </c>
      <c r="O1863" s="15" t="s">
        <v>44</v>
      </c>
      <c r="P1863" s="15" t="s">
        <v>6762</v>
      </c>
      <c r="Q1863" s="15" t="s">
        <v>6763</v>
      </c>
      <c r="R1863" s="16">
        <v>44329</v>
      </c>
      <c r="S1863" s="17" t="s">
        <v>317</v>
      </c>
      <c r="T1863" s="20">
        <f>HYPERLINK("https://vnm.spiral.com.vn//uploaded/20210513/bc66569d-515a-4a6e-b138-1446ad931c56.JPEG","08:06:10")</f>
      </c>
      <c r="U1863" s="20">
        <f>HYPERLINK("https://vnm.spiral.com.vn//uploaded/20210513/991732c0-6713-4415-afa5-cad6a4c33dd5.JPEG","11:59:06")</f>
      </c>
      <c r="V1863" s="18">
        <v>0.16175925925925927</v>
      </c>
      <c r="W1863" s="15" t="s">
        <v>10340</v>
      </c>
      <c r="X1863" s="15" t="s">
        <v>10341</v>
      </c>
      <c r="Y1863" s="15" t="s">
        <v>35</v>
      </c>
      <c r="Z1863" s="19">
        <v>0</v>
      </c>
      <c r="AA1863" s="15">
        <v>0</v>
      </c>
      <c r="AB1863" s="15" t="s">
        <v>35</v>
      </c>
    </row>
    <row r="1864">
      <c r="A1864" s="15">
        <v>1860</v>
      </c>
      <c r="B1864" s="15" t="s">
        <v>343</v>
      </c>
      <c r="C1864" s="15" t="s">
        <v>344</v>
      </c>
      <c r="D1864" s="15" t="s">
        <v>35</v>
      </c>
      <c r="E1864" s="15" t="s">
        <v>35</v>
      </c>
      <c r="F1864" s="15" t="s">
        <v>1599</v>
      </c>
      <c r="G1864" s="15" t="s">
        <v>36</v>
      </c>
      <c r="H1864" s="15" t="s">
        <v>6788</v>
      </c>
      <c r="I1864" s="15" t="s">
        <v>6789</v>
      </c>
      <c r="J1864" s="15" t="s">
        <v>6790</v>
      </c>
      <c r="K1864" s="15" t="s">
        <v>40</v>
      </c>
      <c r="L1864" s="15" t="s">
        <v>41</v>
      </c>
      <c r="M1864" s="15" t="s">
        <v>595</v>
      </c>
      <c r="N1864" s="15" t="s">
        <v>596</v>
      </c>
      <c r="O1864" s="15" t="s">
        <v>44</v>
      </c>
      <c r="P1864" s="15" t="s">
        <v>6791</v>
      </c>
      <c r="Q1864" s="15" t="s">
        <v>6792</v>
      </c>
      <c r="R1864" s="16">
        <v>44329</v>
      </c>
      <c r="S1864" s="17" t="s">
        <v>317</v>
      </c>
      <c r="T1864" s="20">
        <f>HYPERLINK("https://vnm.spiral.com.vn//uploaded/20210513/a520b802-434e-4ab5-80c8-66b674494404.JPEG","08:00:35")</f>
      </c>
      <c r="U1864" s="20">
        <f>HYPERLINK("https://vnm.spiral.com.vn//uploaded/20210513/552da385-a52d-4bcc-8342-cb50550fd683.JPEG","11:59:04")</f>
      </c>
      <c r="V1864" s="18">
        <v>0.16561342592592593</v>
      </c>
      <c r="W1864" s="15" t="s">
        <v>10342</v>
      </c>
      <c r="X1864" s="15" t="s">
        <v>10343</v>
      </c>
      <c r="Y1864" s="15" t="s">
        <v>35</v>
      </c>
      <c r="Z1864" s="19">
        <v>0</v>
      </c>
      <c r="AA1864" s="15">
        <v>0</v>
      </c>
      <c r="AB1864" s="15" t="s">
        <v>35</v>
      </c>
    </row>
    <row r="1865">
      <c r="A1865" s="15">
        <v>1861</v>
      </c>
      <c r="B1865" s="15" t="s">
        <v>343</v>
      </c>
      <c r="C1865" s="15" t="s">
        <v>344</v>
      </c>
      <c r="D1865" s="15" t="s">
        <v>35</v>
      </c>
      <c r="E1865" s="15" t="s">
        <v>35</v>
      </c>
      <c r="F1865" s="15" t="s">
        <v>35</v>
      </c>
      <c r="G1865" s="15" t="s">
        <v>36</v>
      </c>
      <c r="H1865" s="15" t="s">
        <v>729</v>
      </c>
      <c r="I1865" s="15" t="s">
        <v>730</v>
      </c>
      <c r="J1865" s="15" t="s">
        <v>731</v>
      </c>
      <c r="K1865" s="15" t="s">
        <v>40</v>
      </c>
      <c r="L1865" s="15" t="s">
        <v>41</v>
      </c>
      <c r="M1865" s="15" t="s">
        <v>409</v>
      </c>
      <c r="N1865" s="15" t="s">
        <v>410</v>
      </c>
      <c r="O1865" s="15" t="s">
        <v>44</v>
      </c>
      <c r="P1865" s="15" t="s">
        <v>732</v>
      </c>
      <c r="Q1865" s="15" t="s">
        <v>733</v>
      </c>
      <c r="R1865" s="16">
        <v>44329</v>
      </c>
      <c r="S1865" s="17" t="s">
        <v>10344</v>
      </c>
      <c r="T1865" s="20">
        <f>HYPERLINK("https://vnm.spiral.com.vn//uploaded/20210513/654E83BD-CFB4-43B5-A3CE-488733717DB4.jpg","07:18:33")</f>
      </c>
      <c r="U1865" s="20">
        <f>HYPERLINK("https://vnm.spiral.com.vn//uploaded/20210513/57F283A4-324B-44DA-87C1-95694C94F807.jpg","11:58:44")</f>
      </c>
      <c r="V1865" s="18">
        <v>0.19457175925925926</v>
      </c>
      <c r="W1865" s="15" t="s">
        <v>10345</v>
      </c>
      <c r="X1865" s="15" t="s">
        <v>10346</v>
      </c>
      <c r="Y1865" s="15" t="s">
        <v>35</v>
      </c>
      <c r="Z1865" s="19">
        <v>0</v>
      </c>
      <c r="AA1865" s="15">
        <v>0</v>
      </c>
      <c r="AB1865" s="15" t="s">
        <v>35</v>
      </c>
    </row>
    <row r="1866">
      <c r="A1866" s="15">
        <v>1862</v>
      </c>
      <c r="B1866" s="15" t="s">
        <v>61</v>
      </c>
      <c r="C1866" s="15" t="s">
        <v>398</v>
      </c>
      <c r="D1866" s="15" t="s">
        <v>89</v>
      </c>
      <c r="E1866" s="15" t="s">
        <v>90</v>
      </c>
      <c r="F1866" s="15" t="s">
        <v>35</v>
      </c>
      <c r="G1866" s="15" t="s">
        <v>74</v>
      </c>
      <c r="H1866" s="15" t="s">
        <v>10347</v>
      </c>
      <c r="I1866" s="15" t="s">
        <v>10348</v>
      </c>
      <c r="J1866" s="15" t="s">
        <v>10349</v>
      </c>
      <c r="K1866" s="15" t="s">
        <v>1586</v>
      </c>
      <c r="L1866" s="15" t="s">
        <v>1587</v>
      </c>
      <c r="M1866" s="15" t="s">
        <v>1588</v>
      </c>
      <c r="N1866" s="15" t="s">
        <v>1589</v>
      </c>
      <c r="O1866" s="15" t="s">
        <v>156</v>
      </c>
      <c r="P1866" s="15" t="s">
        <v>10350</v>
      </c>
      <c r="Q1866" s="15" t="s">
        <v>10351</v>
      </c>
      <c r="R1866" s="16">
        <v>44329</v>
      </c>
      <c r="S1866" s="17" t="s">
        <v>9455</v>
      </c>
      <c r="T1866" s="20">
        <f>HYPERLINK("https://vnm.spiral.com.vn//uploaded/20210513/FD67D488-AB0C-415B-AB47-4C7B18A0F8C4.jpg","11:58:38")</f>
      </c>
      <c r="U1866" s="18"/>
      <c r="V1866" s="18" t="s">
        <v>35</v>
      </c>
      <c r="W1866" s="15" t="s">
        <v>10352</v>
      </c>
      <c r="X1866" s="15" t="s">
        <v>35</v>
      </c>
      <c r="Y1866" s="15" t="s">
        <v>35</v>
      </c>
      <c r="Z1866" s="19">
        <v>0</v>
      </c>
      <c r="AA1866" s="15">
        <v>0</v>
      </c>
      <c r="AB1866" s="15" t="s">
        <v>35</v>
      </c>
    </row>
    <row r="1867">
      <c r="A1867" s="15">
        <v>1863</v>
      </c>
      <c r="B1867" s="15" t="s">
        <v>343</v>
      </c>
      <c r="C1867" s="15" t="s">
        <v>344</v>
      </c>
      <c r="D1867" s="15" t="s">
        <v>35</v>
      </c>
      <c r="E1867" s="15" t="s">
        <v>35</v>
      </c>
      <c r="F1867" s="15" t="s">
        <v>6608</v>
      </c>
      <c r="G1867" s="15" t="s">
        <v>36</v>
      </c>
      <c r="H1867" s="15" t="s">
        <v>6742</v>
      </c>
      <c r="I1867" s="15" t="s">
        <v>6743</v>
      </c>
      <c r="J1867" s="15" t="s">
        <v>6744</v>
      </c>
      <c r="K1867" s="15" t="s">
        <v>40</v>
      </c>
      <c r="L1867" s="15" t="s">
        <v>41</v>
      </c>
      <c r="M1867" s="15" t="s">
        <v>595</v>
      </c>
      <c r="N1867" s="15" t="s">
        <v>596</v>
      </c>
      <c r="O1867" s="15" t="s">
        <v>44</v>
      </c>
      <c r="P1867" s="15" t="s">
        <v>6745</v>
      </c>
      <c r="Q1867" s="15" t="s">
        <v>6746</v>
      </c>
      <c r="R1867" s="16">
        <v>44329</v>
      </c>
      <c r="S1867" s="17" t="s">
        <v>9925</v>
      </c>
      <c r="T1867" s="20">
        <f>HYPERLINK("https://vnm.spiral.com.vn//uploaded/20210513/e6427734-9388-498c-8425-24fe78a4f45d.JPEG","08:33:26")</f>
      </c>
      <c r="U1867" s="20">
        <f>HYPERLINK("https://vnm.spiral.com.vn//uploaded/20210513/b3ed3116-faf0-43da-a196-734ada01befb.JPEG","11:58:33")</f>
      </c>
      <c r="V1867" s="18">
        <v>0.14244212962962963</v>
      </c>
      <c r="W1867" s="15" t="s">
        <v>10353</v>
      </c>
      <c r="X1867" s="15" t="s">
        <v>10354</v>
      </c>
      <c r="Y1867" s="15" t="s">
        <v>35</v>
      </c>
      <c r="Z1867" s="19">
        <v>0</v>
      </c>
      <c r="AA1867" s="15">
        <v>0</v>
      </c>
      <c r="AB1867" s="15" t="s">
        <v>35</v>
      </c>
    </row>
    <row r="1868">
      <c r="A1868" s="15">
        <v>1864</v>
      </c>
      <c r="B1868" s="15" t="s">
        <v>87</v>
      </c>
      <c r="C1868" s="15" t="s">
        <v>88</v>
      </c>
      <c r="D1868" s="15" t="s">
        <v>35</v>
      </c>
      <c r="E1868" s="15" t="s">
        <v>35</v>
      </c>
      <c r="F1868" s="15" t="s">
        <v>35</v>
      </c>
      <c r="G1868" s="15" t="s">
        <v>35</v>
      </c>
      <c r="H1868" s="15" t="s">
        <v>1991</v>
      </c>
      <c r="I1868" s="15" t="s">
        <v>1992</v>
      </c>
      <c r="J1868" s="15" t="s">
        <v>1993</v>
      </c>
      <c r="K1868" s="15" t="s">
        <v>40</v>
      </c>
      <c r="L1868" s="15" t="s">
        <v>41</v>
      </c>
      <c r="M1868" s="15" t="s">
        <v>1195</v>
      </c>
      <c r="N1868" s="15" t="s">
        <v>1196</v>
      </c>
      <c r="O1868" s="15" t="s">
        <v>44</v>
      </c>
      <c r="P1868" s="15" t="s">
        <v>1994</v>
      </c>
      <c r="Q1868" s="15" t="s">
        <v>1995</v>
      </c>
      <c r="R1868" s="16">
        <v>44329</v>
      </c>
      <c r="S1868" s="17" t="s">
        <v>317</v>
      </c>
      <c r="T1868" s="20">
        <f>HYPERLINK("https://vnm.spiral.com.vn//uploaded/20210513/40eb279f-da5f-42a3-88a0-504504e5dbfb.JPEG","09:43:30")</f>
      </c>
      <c r="U1868" s="20">
        <f>HYPERLINK("https://vnm.spiral.com.vn//uploaded/20210513/5b6e1ecd-d8ca-4285-9a3c-ddfa7e3a241b.JPEG","11:58:27")</f>
      </c>
      <c r="V1868" s="18">
        <v>0.09371527777777777</v>
      </c>
      <c r="W1868" s="15" t="s">
        <v>10355</v>
      </c>
      <c r="X1868" s="15" t="s">
        <v>10356</v>
      </c>
      <c r="Y1868" s="15" t="s">
        <v>35</v>
      </c>
      <c r="Z1868" s="19">
        <v>0</v>
      </c>
      <c r="AA1868" s="15">
        <v>0</v>
      </c>
      <c r="AB1868" s="15" t="s">
        <v>35</v>
      </c>
    </row>
    <row r="1869">
      <c r="A1869" s="15">
        <v>1865</v>
      </c>
      <c r="B1869" s="15" t="s">
        <v>103</v>
      </c>
      <c r="C1869" s="15" t="s">
        <v>1078</v>
      </c>
      <c r="D1869" s="15" t="s">
        <v>35</v>
      </c>
      <c r="E1869" s="15" t="s">
        <v>35</v>
      </c>
      <c r="F1869" s="15" t="s">
        <v>35</v>
      </c>
      <c r="G1869" s="15" t="s">
        <v>35</v>
      </c>
      <c r="H1869" s="15" t="s">
        <v>10357</v>
      </c>
      <c r="I1869" s="15" t="s">
        <v>10358</v>
      </c>
      <c r="J1869" s="15" t="s">
        <v>10359</v>
      </c>
      <c r="K1869" s="15" t="s">
        <v>40</v>
      </c>
      <c r="L1869" s="15" t="s">
        <v>41</v>
      </c>
      <c r="M1869" s="15" t="s">
        <v>565</v>
      </c>
      <c r="N1869" s="15" t="s">
        <v>566</v>
      </c>
      <c r="O1869" s="15" t="s">
        <v>44</v>
      </c>
      <c r="P1869" s="15" t="s">
        <v>6456</v>
      </c>
      <c r="Q1869" s="15" t="s">
        <v>6457</v>
      </c>
      <c r="R1869" s="16">
        <v>44329</v>
      </c>
      <c r="S1869" s="17" t="s">
        <v>317</v>
      </c>
      <c r="T1869" s="20">
        <f>HYPERLINK("https://vnm.spiral.com.vn//uploaded/20210513/90737330-a9b0-44d0-96aa-71836fafd26d.JPEG","07:55:40")</f>
      </c>
      <c r="U1869" s="20">
        <f>HYPERLINK("https://vnm.spiral.com.vn//uploaded/20210513/35be8a84-ede9-4ee6-9430-6948f3b3fc47.JPEG","11:58:27")</f>
      </c>
      <c r="V1869" s="18">
        <v>0.16859953703703703</v>
      </c>
      <c r="W1869" s="15" t="s">
        <v>10360</v>
      </c>
      <c r="X1869" s="15" t="s">
        <v>10361</v>
      </c>
      <c r="Y1869" s="15" t="s">
        <v>35</v>
      </c>
      <c r="Z1869" s="19">
        <v>0</v>
      </c>
      <c r="AA1869" s="15">
        <v>0</v>
      </c>
      <c r="AB1869" s="15" t="s">
        <v>35</v>
      </c>
    </row>
    <row r="1870">
      <c r="A1870" s="15">
        <v>1866</v>
      </c>
      <c r="B1870" s="15" t="s">
        <v>87</v>
      </c>
      <c r="C1870" s="15" t="s">
        <v>88</v>
      </c>
      <c r="D1870" s="15" t="s">
        <v>35</v>
      </c>
      <c r="E1870" s="15" t="s">
        <v>35</v>
      </c>
      <c r="F1870" s="15" t="s">
        <v>2077</v>
      </c>
      <c r="G1870" s="15" t="s">
        <v>36</v>
      </c>
      <c r="H1870" s="15" t="s">
        <v>6470</v>
      </c>
      <c r="I1870" s="15" t="s">
        <v>6471</v>
      </c>
      <c r="J1870" s="15" t="s">
        <v>6472</v>
      </c>
      <c r="K1870" s="15" t="s">
        <v>40</v>
      </c>
      <c r="L1870" s="15" t="s">
        <v>41</v>
      </c>
      <c r="M1870" s="15" t="s">
        <v>289</v>
      </c>
      <c r="N1870" s="15" t="s">
        <v>290</v>
      </c>
      <c r="O1870" s="15" t="s">
        <v>44</v>
      </c>
      <c r="P1870" s="15" t="s">
        <v>6473</v>
      </c>
      <c r="Q1870" s="15" t="s">
        <v>6474</v>
      </c>
      <c r="R1870" s="16">
        <v>44329</v>
      </c>
      <c r="S1870" s="17" t="s">
        <v>317</v>
      </c>
      <c r="T1870" s="20">
        <f>HYPERLINK("https://vnm.spiral.com.vn//uploaded/20210513/bf5be750-f73a-481b-aac9-7225b564daf1.JPEG","08:03:26")</f>
      </c>
      <c r="U1870" s="20">
        <f>HYPERLINK("https://vnm.spiral.com.vn//uploaded/20210513/f83f76b4-abf1-4de2-88a7-17998af1bc1c.JPEG","11:58:23")</f>
      </c>
      <c r="V1870" s="18">
        <v>0.16315972222222222</v>
      </c>
      <c r="W1870" s="15" t="s">
        <v>10362</v>
      </c>
      <c r="X1870" s="15" t="s">
        <v>10363</v>
      </c>
      <c r="Y1870" s="15" t="s">
        <v>35</v>
      </c>
      <c r="Z1870" s="19">
        <v>0</v>
      </c>
      <c r="AA1870" s="15">
        <v>0</v>
      </c>
      <c r="AB1870" s="15" t="s">
        <v>35</v>
      </c>
    </row>
    <row r="1871">
      <c r="A1871" s="15">
        <v>1867</v>
      </c>
      <c r="B1871" s="15" t="s">
        <v>103</v>
      </c>
      <c r="C1871" s="15" t="s">
        <v>1078</v>
      </c>
      <c r="D1871" s="15" t="s">
        <v>35</v>
      </c>
      <c r="E1871" s="15" t="s">
        <v>35</v>
      </c>
      <c r="F1871" s="15" t="s">
        <v>35</v>
      </c>
      <c r="G1871" s="15" t="s">
        <v>36</v>
      </c>
      <c r="H1871" s="15" t="s">
        <v>5320</v>
      </c>
      <c r="I1871" s="15" t="s">
        <v>5321</v>
      </c>
      <c r="J1871" s="15" t="s">
        <v>5322</v>
      </c>
      <c r="K1871" s="15" t="s">
        <v>40</v>
      </c>
      <c r="L1871" s="15" t="s">
        <v>41</v>
      </c>
      <c r="M1871" s="15" t="s">
        <v>565</v>
      </c>
      <c r="N1871" s="15" t="s">
        <v>566</v>
      </c>
      <c r="O1871" s="15" t="s">
        <v>44</v>
      </c>
      <c r="P1871" s="15" t="s">
        <v>5323</v>
      </c>
      <c r="Q1871" s="15" t="s">
        <v>5324</v>
      </c>
      <c r="R1871" s="16">
        <v>44329</v>
      </c>
      <c r="S1871" s="17" t="s">
        <v>317</v>
      </c>
      <c r="T1871" s="20">
        <f>HYPERLINK("https://vnm.spiral.com.vn//uploaded/20210513/0ccfe332-c4d9-46af-bdbd-90bbd7fbd079.JPEG","07:21:42")</f>
      </c>
      <c r="U1871" s="20">
        <f>HYPERLINK("https://vnm.spiral.com.vn//uploaded/20210513/4e6860d8-15fa-4262-8733-e09e87f56633.JPEG","11:58:21")</f>
      </c>
      <c r="V1871" s="18">
        <v>0.19211805555555556</v>
      </c>
      <c r="W1871" s="15" t="s">
        <v>10364</v>
      </c>
      <c r="X1871" s="15" t="s">
        <v>10365</v>
      </c>
      <c r="Y1871" s="15" t="s">
        <v>35</v>
      </c>
      <c r="Z1871" s="19">
        <v>0</v>
      </c>
      <c r="AA1871" s="15">
        <v>0</v>
      </c>
      <c r="AB1871" s="15" t="s">
        <v>35</v>
      </c>
    </row>
    <row r="1872">
      <c r="A1872" s="15">
        <v>1868</v>
      </c>
      <c r="B1872" s="15" t="s">
        <v>49</v>
      </c>
      <c r="C1872" s="15" t="s">
        <v>369</v>
      </c>
      <c r="D1872" s="15" t="s">
        <v>35</v>
      </c>
      <c r="E1872" s="15" t="s">
        <v>35</v>
      </c>
      <c r="F1872" s="15" t="s">
        <v>5927</v>
      </c>
      <c r="G1872" s="15" t="s">
        <v>36</v>
      </c>
      <c r="H1872" s="15" t="s">
        <v>6805</v>
      </c>
      <c r="I1872" s="15" t="s">
        <v>6806</v>
      </c>
      <c r="J1872" s="15" t="s">
        <v>6807</v>
      </c>
      <c r="K1872" s="15" t="s">
        <v>40</v>
      </c>
      <c r="L1872" s="15" t="s">
        <v>41</v>
      </c>
      <c r="M1872" s="15" t="s">
        <v>55</v>
      </c>
      <c r="N1872" s="15" t="s">
        <v>56</v>
      </c>
      <c r="O1872" s="15" t="s">
        <v>44</v>
      </c>
      <c r="P1872" s="15" t="s">
        <v>6808</v>
      </c>
      <c r="Q1872" s="15" t="s">
        <v>6809</v>
      </c>
      <c r="R1872" s="16">
        <v>44329</v>
      </c>
      <c r="S1872" s="17" t="s">
        <v>317</v>
      </c>
      <c r="T1872" s="20">
        <f>HYPERLINK("https://vnm.spiral.com.vn//uploaded/20210513/c27d696f-1578-476d-ac6d-e869d100b824.JPEG","08:04:10")</f>
      </c>
      <c r="U1872" s="20">
        <f>HYPERLINK("https://vnm.spiral.com.vn//uploaded/20210513/85737982-35dc-4906-890e-ce5a8d2d9a4c.JPEG","11:58:20")</f>
      </c>
      <c r="V1872" s="18">
        <v>0.16261574074074073</v>
      </c>
      <c r="W1872" s="15" t="s">
        <v>10366</v>
      </c>
      <c r="X1872" s="15" t="s">
        <v>10367</v>
      </c>
      <c r="Y1872" s="15" t="s">
        <v>35</v>
      </c>
      <c r="Z1872" s="19">
        <v>0</v>
      </c>
      <c r="AA1872" s="15">
        <v>0</v>
      </c>
      <c r="AB1872" s="15" t="s">
        <v>35</v>
      </c>
    </row>
    <row r="1873">
      <c r="A1873" s="15">
        <v>1869</v>
      </c>
      <c r="B1873" s="15" t="s">
        <v>49</v>
      </c>
      <c r="C1873" s="15" t="s">
        <v>369</v>
      </c>
      <c r="D1873" s="15" t="s">
        <v>35</v>
      </c>
      <c r="E1873" s="15" t="s">
        <v>35</v>
      </c>
      <c r="F1873" s="15" t="s">
        <v>370</v>
      </c>
      <c r="G1873" s="15" t="s">
        <v>36</v>
      </c>
      <c r="H1873" s="15" t="s">
        <v>6233</v>
      </c>
      <c r="I1873" s="15" t="s">
        <v>6234</v>
      </c>
      <c r="J1873" s="15" t="s">
        <v>6235</v>
      </c>
      <c r="K1873" s="15" t="s">
        <v>40</v>
      </c>
      <c r="L1873" s="15" t="s">
        <v>41</v>
      </c>
      <c r="M1873" s="15" t="s">
        <v>55</v>
      </c>
      <c r="N1873" s="15" t="s">
        <v>56</v>
      </c>
      <c r="O1873" s="15" t="s">
        <v>44</v>
      </c>
      <c r="P1873" s="15" t="s">
        <v>6236</v>
      </c>
      <c r="Q1873" s="15" t="s">
        <v>6237</v>
      </c>
      <c r="R1873" s="16">
        <v>44329</v>
      </c>
      <c r="S1873" s="17" t="s">
        <v>317</v>
      </c>
      <c r="T1873" s="20">
        <f>HYPERLINK("https://vnm.spiral.com.vn//uploaded/20210513/8147818C-7FCC-4962-9FD9-8045FE964480.jpg","08:02:07")</f>
      </c>
      <c r="U1873" s="20">
        <f>HYPERLINK("https://vnm.spiral.com.vn//uploaded/20210513/B8D6C7F2-F74E-451C-AEBB-7B80631FED63.jpg","11:58:18")</f>
      </c>
      <c r="V1873" s="18">
        <v>0.1640162037037037</v>
      </c>
      <c r="W1873" s="15" t="s">
        <v>10368</v>
      </c>
      <c r="X1873" s="15" t="s">
        <v>10369</v>
      </c>
      <c r="Y1873" s="15" t="s">
        <v>35</v>
      </c>
      <c r="Z1873" s="19">
        <v>0</v>
      </c>
      <c r="AA1873" s="15">
        <v>0</v>
      </c>
      <c r="AB1873" s="15" t="s">
        <v>35</v>
      </c>
    </row>
    <row r="1874">
      <c r="A1874" s="15">
        <v>1870</v>
      </c>
      <c r="B1874" s="15" t="s">
        <v>61</v>
      </c>
      <c r="C1874" s="15" t="s">
        <v>398</v>
      </c>
      <c r="D1874" s="15" t="s">
        <v>148</v>
      </c>
      <c r="E1874" s="15" t="s">
        <v>90</v>
      </c>
      <c r="F1874" s="15" t="s">
        <v>35</v>
      </c>
      <c r="G1874" s="15" t="s">
        <v>74</v>
      </c>
      <c r="H1874" s="15" t="s">
        <v>4389</v>
      </c>
      <c r="I1874" s="15" t="s">
        <v>4390</v>
      </c>
      <c r="J1874" s="15" t="s">
        <v>4391</v>
      </c>
      <c r="K1874" s="15" t="s">
        <v>1586</v>
      </c>
      <c r="L1874" s="15" t="s">
        <v>1587</v>
      </c>
      <c r="M1874" s="15" t="s">
        <v>1588</v>
      </c>
      <c r="N1874" s="15" t="s">
        <v>1589</v>
      </c>
      <c r="O1874" s="15" t="s">
        <v>156</v>
      </c>
      <c r="P1874" s="15" t="s">
        <v>10370</v>
      </c>
      <c r="Q1874" s="15" t="s">
        <v>10371</v>
      </c>
      <c r="R1874" s="16">
        <v>44329</v>
      </c>
      <c r="S1874" s="17" t="s">
        <v>9455</v>
      </c>
      <c r="T1874" s="20">
        <f>HYPERLINK("https://vnm.spiral.com.vn//uploaded/20210513/E1BA0BF4-9E7A-40C4-946E-B4824D2D3117.jpg","11:58:15")</f>
      </c>
      <c r="U1874" s="18"/>
      <c r="V1874" s="18" t="s">
        <v>35</v>
      </c>
      <c r="W1874" s="15" t="s">
        <v>10372</v>
      </c>
      <c r="X1874" s="15" t="s">
        <v>35</v>
      </c>
      <c r="Y1874" s="15" t="s">
        <v>35</v>
      </c>
      <c r="Z1874" s="19">
        <v>0</v>
      </c>
      <c r="AA1874" s="15">
        <v>0</v>
      </c>
      <c r="AB1874" s="15" t="s">
        <v>35</v>
      </c>
    </row>
    <row r="1875">
      <c r="A1875" s="15">
        <v>1871</v>
      </c>
      <c r="B1875" s="15" t="s">
        <v>61</v>
      </c>
      <c r="C1875" s="15" t="s">
        <v>398</v>
      </c>
      <c r="D1875" s="15" t="s">
        <v>135</v>
      </c>
      <c r="E1875" s="15" t="s">
        <v>116</v>
      </c>
      <c r="F1875" s="15" t="s">
        <v>35</v>
      </c>
      <c r="G1875" s="15" t="s">
        <v>74</v>
      </c>
      <c r="H1875" s="15" t="s">
        <v>10373</v>
      </c>
      <c r="I1875" s="15" t="s">
        <v>10374</v>
      </c>
      <c r="J1875" s="15" t="s">
        <v>10375</v>
      </c>
      <c r="K1875" s="15" t="s">
        <v>1586</v>
      </c>
      <c r="L1875" s="15" t="s">
        <v>1587</v>
      </c>
      <c r="M1875" s="15" t="s">
        <v>1588</v>
      </c>
      <c r="N1875" s="15" t="s">
        <v>1589</v>
      </c>
      <c r="O1875" s="15" t="s">
        <v>82</v>
      </c>
      <c r="P1875" s="15" t="s">
        <v>5215</v>
      </c>
      <c r="Q1875" s="15" t="s">
        <v>5216</v>
      </c>
      <c r="R1875" s="16">
        <v>44329</v>
      </c>
      <c r="S1875" s="17" t="s">
        <v>70</v>
      </c>
      <c r="T1875" s="20">
        <f>HYPERLINK("https://vnm.spiral.com.vn//uploaded/20210513/51c6a843-7cd8-4dbb-93fc-0d7aa5cb2d6b.JPEG","11:11:13")</f>
      </c>
      <c r="U1875" s="20">
        <f>HYPERLINK("https://vnm.spiral.com.vn//uploaded/20210513/81c13fca-5722-489a-ae77-93ffa8714125.JPEG","11:58:12")</f>
      </c>
      <c r="V1875" s="18">
        <v>0.03262731481481482</v>
      </c>
      <c r="W1875" s="15" t="s">
        <v>10376</v>
      </c>
      <c r="X1875" s="15" t="s">
        <v>10377</v>
      </c>
      <c r="Y1875" s="15" t="s">
        <v>35</v>
      </c>
      <c r="Z1875" s="19">
        <v>0</v>
      </c>
      <c r="AA1875" s="15">
        <v>0</v>
      </c>
      <c r="AB1875" s="15" t="s">
        <v>35</v>
      </c>
    </row>
    <row r="1876">
      <c r="A1876" s="15">
        <v>1872</v>
      </c>
      <c r="B1876" s="15" t="s">
        <v>103</v>
      </c>
      <c r="C1876" s="15" t="s">
        <v>2116</v>
      </c>
      <c r="D1876" s="15" t="s">
        <v>35</v>
      </c>
      <c r="E1876" s="15" t="s">
        <v>35</v>
      </c>
      <c r="F1876" s="15" t="s">
        <v>35</v>
      </c>
      <c r="G1876" s="15" t="s">
        <v>36</v>
      </c>
      <c r="H1876" s="15" t="s">
        <v>7124</v>
      </c>
      <c r="I1876" s="15" t="s">
        <v>7125</v>
      </c>
      <c r="J1876" s="15" t="s">
        <v>7126</v>
      </c>
      <c r="K1876" s="15" t="s">
        <v>40</v>
      </c>
      <c r="L1876" s="15" t="s">
        <v>41</v>
      </c>
      <c r="M1876" s="15" t="s">
        <v>108</v>
      </c>
      <c r="N1876" s="15" t="s">
        <v>109</v>
      </c>
      <c r="O1876" s="15" t="s">
        <v>44</v>
      </c>
      <c r="P1876" s="15" t="s">
        <v>7127</v>
      </c>
      <c r="Q1876" s="15" t="s">
        <v>7128</v>
      </c>
      <c r="R1876" s="16">
        <v>44329</v>
      </c>
      <c r="S1876" s="17" t="s">
        <v>317</v>
      </c>
      <c r="T1876" s="20">
        <f>HYPERLINK("https://vnm.spiral.com.vn//uploaded/20210513/F6DAA1A4-E03F-481D-ACA9-3091DBFDA2C8.jpg","07:57:19")</f>
      </c>
      <c r="U1876" s="20">
        <f>HYPERLINK("https://vnm.spiral.com.vn//uploaded/20210513/A5744D13-7370-4E16-88F3-E4DC0C81C6BA.jpg","11:58:08")</f>
      </c>
      <c r="V1876" s="18">
        <v>0.16723379629629628</v>
      </c>
      <c r="W1876" s="15" t="s">
        <v>10378</v>
      </c>
      <c r="X1876" s="15" t="s">
        <v>10379</v>
      </c>
      <c r="Y1876" s="15" t="s">
        <v>35</v>
      </c>
      <c r="Z1876" s="19">
        <v>0</v>
      </c>
      <c r="AA1876" s="15">
        <v>0</v>
      </c>
      <c r="AB1876" s="15" t="s">
        <v>35</v>
      </c>
    </row>
    <row r="1877">
      <c r="A1877" s="15">
        <v>1873</v>
      </c>
      <c r="B1877" s="15" t="s">
        <v>87</v>
      </c>
      <c r="C1877" s="15" t="s">
        <v>88</v>
      </c>
      <c r="D1877" s="15" t="s">
        <v>610</v>
      </c>
      <c r="E1877" s="15" t="s">
        <v>90</v>
      </c>
      <c r="F1877" s="15" t="s">
        <v>35</v>
      </c>
      <c r="G1877" s="15" t="s">
        <v>74</v>
      </c>
      <c r="H1877" s="15" t="s">
        <v>10380</v>
      </c>
      <c r="I1877" s="15" t="s">
        <v>10381</v>
      </c>
      <c r="J1877" s="15" t="s">
        <v>10382</v>
      </c>
      <c r="K1877" s="15" t="s">
        <v>614</v>
      </c>
      <c r="L1877" s="15" t="s">
        <v>615</v>
      </c>
      <c r="M1877" s="15" t="s">
        <v>616</v>
      </c>
      <c r="N1877" s="15" t="s">
        <v>617</v>
      </c>
      <c r="O1877" s="15" t="s">
        <v>82</v>
      </c>
      <c r="P1877" s="15" t="s">
        <v>656</v>
      </c>
      <c r="Q1877" s="15" t="s">
        <v>657</v>
      </c>
      <c r="R1877" s="16">
        <v>44329</v>
      </c>
      <c r="S1877" s="17" t="s">
        <v>70</v>
      </c>
      <c r="T1877" s="20">
        <f>HYPERLINK("https://vnm.spiral.com.vn//uploaded/20210513/1fa30fa1-6acf-4461-a778-c53fb5a5bde7.JPEG","11:32:57")</f>
      </c>
      <c r="U1877" s="20">
        <f>HYPERLINK("https://vnm.spiral.com.vn//uploaded/20210513/d8c2f084-7c49-4c95-843d-cdf628165877.JPEG","11:58:03")</f>
      </c>
      <c r="V1877" s="18">
        <v>0.017430555555555557</v>
      </c>
      <c r="W1877" s="15" t="s">
        <v>10383</v>
      </c>
      <c r="X1877" s="15" t="s">
        <v>10384</v>
      </c>
      <c r="Y1877" s="15" t="s">
        <v>35</v>
      </c>
      <c r="Z1877" s="19">
        <v>0</v>
      </c>
      <c r="AA1877" s="15">
        <v>0</v>
      </c>
      <c r="AB1877" s="15" t="s">
        <v>35</v>
      </c>
    </row>
    <row r="1878">
      <c r="A1878" s="15">
        <v>1874</v>
      </c>
      <c r="B1878" s="15" t="s">
        <v>103</v>
      </c>
      <c r="C1878" s="15" t="s">
        <v>104</v>
      </c>
      <c r="D1878" s="15" t="s">
        <v>35</v>
      </c>
      <c r="E1878" s="15" t="s">
        <v>35</v>
      </c>
      <c r="F1878" s="15" t="s">
        <v>35</v>
      </c>
      <c r="G1878" s="15" t="s">
        <v>36</v>
      </c>
      <c r="H1878" s="15" t="s">
        <v>6044</v>
      </c>
      <c r="I1878" s="15" t="s">
        <v>6045</v>
      </c>
      <c r="J1878" s="15" t="s">
        <v>6046</v>
      </c>
      <c r="K1878" s="15" t="s">
        <v>40</v>
      </c>
      <c r="L1878" s="15" t="s">
        <v>41</v>
      </c>
      <c r="M1878" s="15" t="s">
        <v>108</v>
      </c>
      <c r="N1878" s="15" t="s">
        <v>109</v>
      </c>
      <c r="O1878" s="15" t="s">
        <v>44</v>
      </c>
      <c r="P1878" s="15" t="s">
        <v>6047</v>
      </c>
      <c r="Q1878" s="15" t="s">
        <v>6048</v>
      </c>
      <c r="R1878" s="16">
        <v>44329</v>
      </c>
      <c r="S1878" s="17" t="s">
        <v>317</v>
      </c>
      <c r="T1878" s="20">
        <f>HYPERLINK("https://vnm.spiral.com.vn//uploaded/20210513/13C1DA06-6770-45B8-B7A5-30A0566C3BAB.jpg","07:11:22")</f>
      </c>
      <c r="U1878" s="20">
        <f>HYPERLINK("https://vnm.spiral.com.vn//uploaded/20210513/76FFF608-26B1-4B52-8D6A-4CCA9110E65B.jpg","11:57:58")</f>
      </c>
      <c r="V1878" s="18">
        <v>0.19902777777777778</v>
      </c>
      <c r="W1878" s="15" t="s">
        <v>10385</v>
      </c>
      <c r="X1878" s="15" t="s">
        <v>10386</v>
      </c>
      <c r="Y1878" s="15" t="s">
        <v>35</v>
      </c>
      <c r="Z1878" s="19">
        <v>0</v>
      </c>
      <c r="AA1878" s="15">
        <v>0</v>
      </c>
      <c r="AB1878" s="15" t="s">
        <v>35</v>
      </c>
    </row>
    <row r="1879">
      <c r="A1879" s="15">
        <v>1875</v>
      </c>
      <c r="B1879" s="15" t="s">
        <v>103</v>
      </c>
      <c r="C1879" s="15" t="s">
        <v>186</v>
      </c>
      <c r="D1879" s="15" t="s">
        <v>35</v>
      </c>
      <c r="E1879" s="15" t="s">
        <v>35</v>
      </c>
      <c r="F1879" s="15" t="s">
        <v>4402</v>
      </c>
      <c r="G1879" s="15" t="s">
        <v>36</v>
      </c>
      <c r="H1879" s="15" t="s">
        <v>10387</v>
      </c>
      <c r="I1879" s="15" t="s">
        <v>10388</v>
      </c>
      <c r="J1879" s="15" t="s">
        <v>10389</v>
      </c>
      <c r="K1879" s="15" t="s">
        <v>40</v>
      </c>
      <c r="L1879" s="15" t="s">
        <v>41</v>
      </c>
      <c r="M1879" s="15" t="s">
        <v>565</v>
      </c>
      <c r="N1879" s="15" t="s">
        <v>566</v>
      </c>
      <c r="O1879" s="15" t="s">
        <v>44</v>
      </c>
      <c r="P1879" s="15" t="s">
        <v>10390</v>
      </c>
      <c r="Q1879" s="15" t="s">
        <v>7019</v>
      </c>
      <c r="R1879" s="16">
        <v>44329</v>
      </c>
      <c r="S1879" s="17" t="s">
        <v>317</v>
      </c>
      <c r="T1879" s="20">
        <f>HYPERLINK("https://vnm.spiral.com.vn//uploaded/20210513/1306242A-97B2-49FE-99DB-FAE807879FD9.jpg","08:00:07")</f>
      </c>
      <c r="U1879" s="20">
        <f>HYPERLINK("https://vnm.spiral.com.vn//uploaded/20210513/55F2426C-59D8-4A7D-AC89-6A2872B350F4.jpg","11:57:54")</f>
      </c>
      <c r="V1879" s="18">
        <v>0.16512731481481482</v>
      </c>
      <c r="W1879" s="15" t="s">
        <v>10391</v>
      </c>
      <c r="X1879" s="15" t="s">
        <v>10392</v>
      </c>
      <c r="Y1879" s="15" t="s">
        <v>35</v>
      </c>
      <c r="Z1879" s="19">
        <v>0</v>
      </c>
      <c r="AA1879" s="15">
        <v>0</v>
      </c>
      <c r="AB1879" s="15" t="s">
        <v>35</v>
      </c>
    </row>
    <row r="1880">
      <c r="A1880" s="15">
        <v>1876</v>
      </c>
      <c r="B1880" s="15" t="s">
        <v>49</v>
      </c>
      <c r="C1880" s="15" t="s">
        <v>468</v>
      </c>
      <c r="D1880" s="15" t="s">
        <v>35</v>
      </c>
      <c r="E1880" s="15" t="s">
        <v>35</v>
      </c>
      <c r="F1880" s="15" t="s">
        <v>35</v>
      </c>
      <c r="G1880" s="15" t="s">
        <v>35</v>
      </c>
      <c r="H1880" s="15" t="s">
        <v>8477</v>
      </c>
      <c r="I1880" s="15" t="s">
        <v>8478</v>
      </c>
      <c r="J1880" s="15" t="s">
        <v>8479</v>
      </c>
      <c r="K1880" s="15" t="s">
        <v>40</v>
      </c>
      <c r="L1880" s="15" t="s">
        <v>41</v>
      </c>
      <c r="M1880" s="15" t="s">
        <v>55</v>
      </c>
      <c r="N1880" s="15" t="s">
        <v>56</v>
      </c>
      <c r="O1880" s="15" t="s">
        <v>44</v>
      </c>
      <c r="P1880" s="15" t="s">
        <v>8480</v>
      </c>
      <c r="Q1880" s="15" t="s">
        <v>8481</v>
      </c>
      <c r="R1880" s="16">
        <v>44329</v>
      </c>
      <c r="S1880" s="17" t="s">
        <v>317</v>
      </c>
      <c r="T1880" s="20">
        <f>HYPERLINK("https://vnm.spiral.com.vn//uploaded/20210513/a4aebec5-72df-4ea6-be67-d65cca3f4dd6.JPEG","07:49:37")</f>
      </c>
      <c r="U1880" s="20">
        <f>HYPERLINK("https://vnm.spiral.com.vn//uploaded/20210513/6c339e36-8c73-4ee6-8a74-12eba244f37e.JPEG","11:57:54")</f>
      </c>
      <c r="V1880" s="18">
        <v>0.1724189814814815</v>
      </c>
      <c r="W1880" s="15" t="s">
        <v>10393</v>
      </c>
      <c r="X1880" s="15" t="s">
        <v>10394</v>
      </c>
      <c r="Y1880" s="15" t="s">
        <v>35</v>
      </c>
      <c r="Z1880" s="19">
        <v>0</v>
      </c>
      <c r="AA1880" s="15">
        <v>0</v>
      </c>
      <c r="AB1880" s="15" t="s">
        <v>35</v>
      </c>
    </row>
    <row r="1881">
      <c r="A1881" s="15">
        <v>1877</v>
      </c>
      <c r="B1881" s="15" t="s">
        <v>103</v>
      </c>
      <c r="C1881" s="15" t="s">
        <v>186</v>
      </c>
      <c r="D1881" s="15" t="s">
        <v>35</v>
      </c>
      <c r="E1881" s="15" t="s">
        <v>35</v>
      </c>
      <c r="F1881" s="15" t="s">
        <v>35</v>
      </c>
      <c r="G1881" s="15" t="s">
        <v>36</v>
      </c>
      <c r="H1881" s="15" t="s">
        <v>4595</v>
      </c>
      <c r="I1881" s="15" t="s">
        <v>4596</v>
      </c>
      <c r="J1881" s="15" t="s">
        <v>4597</v>
      </c>
      <c r="K1881" s="15" t="s">
        <v>40</v>
      </c>
      <c r="L1881" s="15" t="s">
        <v>41</v>
      </c>
      <c r="M1881" s="15" t="s">
        <v>565</v>
      </c>
      <c r="N1881" s="15" t="s">
        <v>566</v>
      </c>
      <c r="O1881" s="15" t="s">
        <v>44</v>
      </c>
      <c r="P1881" s="15" t="s">
        <v>4598</v>
      </c>
      <c r="Q1881" s="15" t="s">
        <v>2664</v>
      </c>
      <c r="R1881" s="16">
        <v>44329</v>
      </c>
      <c r="S1881" s="17" t="s">
        <v>7866</v>
      </c>
      <c r="T1881" s="20">
        <f>HYPERLINK("https://vnm.spiral.com.vn//uploaded/20210513/D09577E5-760B-4580-B418-A383B2D08949.jpg","07:30:16")</f>
      </c>
      <c r="U1881" s="20">
        <f>HYPERLINK("https://vnm.spiral.com.vn//uploaded/20210513/983EEBD4-13A7-45A3-B8B5-CF8D8B3A29EA.jpg","11:57:49")</f>
      </c>
      <c r="V1881" s="18">
        <v>0.18579861111111112</v>
      </c>
      <c r="W1881" s="15" t="s">
        <v>10395</v>
      </c>
      <c r="X1881" s="15" t="s">
        <v>10396</v>
      </c>
      <c r="Y1881" s="15" t="s">
        <v>35</v>
      </c>
      <c r="Z1881" s="19">
        <v>0</v>
      </c>
      <c r="AA1881" s="15">
        <v>0</v>
      </c>
      <c r="AB1881" s="15" t="s">
        <v>35</v>
      </c>
    </row>
    <row r="1882">
      <c r="A1882" s="15">
        <v>1878</v>
      </c>
      <c r="B1882" s="15" t="s">
        <v>246</v>
      </c>
      <c r="C1882" s="15" t="s">
        <v>259</v>
      </c>
      <c r="D1882" s="15" t="s">
        <v>35</v>
      </c>
      <c r="E1882" s="15" t="s">
        <v>35</v>
      </c>
      <c r="F1882" s="15" t="s">
        <v>1352</v>
      </c>
      <c r="G1882" s="15" t="s">
        <v>36</v>
      </c>
      <c r="H1882" s="15" t="s">
        <v>10397</v>
      </c>
      <c r="I1882" s="15" t="s">
        <v>10398</v>
      </c>
      <c r="J1882" s="15" t="s">
        <v>10399</v>
      </c>
      <c r="K1882" s="15" t="s">
        <v>40</v>
      </c>
      <c r="L1882" s="15" t="s">
        <v>41</v>
      </c>
      <c r="M1882" s="15" t="s">
        <v>252</v>
      </c>
      <c r="N1882" s="15" t="s">
        <v>253</v>
      </c>
      <c r="O1882" s="15" t="s">
        <v>44</v>
      </c>
      <c r="P1882" s="15" t="s">
        <v>5654</v>
      </c>
      <c r="Q1882" s="15" t="s">
        <v>5655</v>
      </c>
      <c r="R1882" s="16">
        <v>44329</v>
      </c>
      <c r="S1882" s="17" t="s">
        <v>317</v>
      </c>
      <c r="T1882" s="20">
        <f>HYPERLINK("https://vnm.spiral.com.vn//uploaded/20210513/46B7B3C9-F4E8-4DB6-A544-626E25999977.jpg","08:07:10")</f>
      </c>
      <c r="U1882" s="20">
        <f>HYPERLINK("https://vnm.spiral.com.vn//uploaded/20210513/8AFB75B6-64E1-4ECA-A534-8275E15B0094.jpg","11:57:44")</f>
      </c>
      <c r="V1882" s="18">
        <v>0.16011574074074075</v>
      </c>
      <c r="W1882" s="15" t="s">
        <v>5656</v>
      </c>
      <c r="X1882" s="15" t="s">
        <v>10400</v>
      </c>
      <c r="Y1882" s="15" t="s">
        <v>35</v>
      </c>
      <c r="Z1882" s="19">
        <v>0</v>
      </c>
      <c r="AA1882" s="15">
        <v>0</v>
      </c>
      <c r="AB1882" s="15" t="s">
        <v>35</v>
      </c>
    </row>
    <row r="1883">
      <c r="A1883" s="15">
        <v>1879</v>
      </c>
      <c r="B1883" s="15" t="s">
        <v>61</v>
      </c>
      <c r="C1883" s="15" t="s">
        <v>1730</v>
      </c>
      <c r="D1883" s="15" t="s">
        <v>135</v>
      </c>
      <c r="E1883" s="15" t="s">
        <v>116</v>
      </c>
      <c r="F1883" s="15" t="s">
        <v>35</v>
      </c>
      <c r="G1883" s="15" t="s">
        <v>74</v>
      </c>
      <c r="H1883" s="15" t="s">
        <v>10401</v>
      </c>
      <c r="I1883" s="15" t="s">
        <v>10402</v>
      </c>
      <c r="J1883" s="15" t="s">
        <v>10403</v>
      </c>
      <c r="K1883" s="15" t="s">
        <v>309</v>
      </c>
      <c r="L1883" s="15" t="s">
        <v>310</v>
      </c>
      <c r="M1883" s="15" t="s">
        <v>778</v>
      </c>
      <c r="N1883" s="15" t="s">
        <v>779</v>
      </c>
      <c r="O1883" s="15" t="s">
        <v>82</v>
      </c>
      <c r="P1883" s="15" t="s">
        <v>4298</v>
      </c>
      <c r="Q1883" s="15" t="s">
        <v>4299</v>
      </c>
      <c r="R1883" s="16">
        <v>44329</v>
      </c>
      <c r="S1883" s="17" t="s">
        <v>70</v>
      </c>
      <c r="T1883" s="20">
        <f>HYPERLINK("https://vnm.spiral.com.vn//uploaded/20210513/1775f598-688c-4755-b6e7-15dfaf99203a.JPEG","09:34:56")</f>
      </c>
      <c r="U1883" s="20">
        <f>HYPERLINK("https://vnm.spiral.com.vn//uploaded/20210513/2e51c1da-3360-4cc5-9e6b-3954d36cd795.JPEG","11:57:43")</f>
      </c>
      <c r="V1883" s="18">
        <v>0.09915509259259259</v>
      </c>
      <c r="W1883" s="15" t="s">
        <v>10404</v>
      </c>
      <c r="X1883" s="15" t="s">
        <v>10405</v>
      </c>
      <c r="Y1883" s="15" t="s">
        <v>35</v>
      </c>
      <c r="Z1883" s="19">
        <v>0</v>
      </c>
      <c r="AA1883" s="15">
        <v>0</v>
      </c>
      <c r="AB1883" s="15" t="s">
        <v>35</v>
      </c>
    </row>
    <row r="1884">
      <c r="A1884" s="15">
        <v>1880</v>
      </c>
      <c r="B1884" s="15" t="s">
        <v>87</v>
      </c>
      <c r="C1884" s="15" t="s">
        <v>88</v>
      </c>
      <c r="D1884" s="15" t="s">
        <v>35</v>
      </c>
      <c r="E1884" s="15" t="s">
        <v>35</v>
      </c>
      <c r="F1884" s="15" t="s">
        <v>1191</v>
      </c>
      <c r="G1884" s="15" t="s">
        <v>36</v>
      </c>
      <c r="H1884" s="15" t="s">
        <v>4164</v>
      </c>
      <c r="I1884" s="15" t="s">
        <v>4165</v>
      </c>
      <c r="J1884" s="15" t="s">
        <v>4166</v>
      </c>
      <c r="K1884" s="15" t="s">
        <v>40</v>
      </c>
      <c r="L1884" s="15" t="s">
        <v>41</v>
      </c>
      <c r="M1884" s="15" t="s">
        <v>1195</v>
      </c>
      <c r="N1884" s="15" t="s">
        <v>1196</v>
      </c>
      <c r="O1884" s="15" t="s">
        <v>44</v>
      </c>
      <c r="P1884" s="15" t="s">
        <v>4167</v>
      </c>
      <c r="Q1884" s="15" t="s">
        <v>4168</v>
      </c>
      <c r="R1884" s="16">
        <v>44329</v>
      </c>
      <c r="S1884" s="17" t="s">
        <v>317</v>
      </c>
      <c r="T1884" s="20">
        <f>HYPERLINK("https://vnm.spiral.com.vn//uploaded/20210513/3DA5F251-4363-4645-94EB-64150F84F946.jpg","08:07:09")</f>
      </c>
      <c r="U1884" s="20">
        <f>HYPERLINK("https://vnm.spiral.com.vn//uploaded/20210513/97CEA45F-2BD3-47E2-A285-B42FC9811FA9.jpg","11:57:04")</f>
      </c>
      <c r="V1884" s="18">
        <v>0.15966435185185185</v>
      </c>
      <c r="W1884" s="15" t="s">
        <v>10406</v>
      </c>
      <c r="X1884" s="15" t="s">
        <v>10407</v>
      </c>
      <c r="Y1884" s="15" t="s">
        <v>35</v>
      </c>
      <c r="Z1884" s="19">
        <v>0</v>
      </c>
      <c r="AA1884" s="15">
        <v>0</v>
      </c>
      <c r="AB1884" s="15" t="s">
        <v>35</v>
      </c>
    </row>
    <row r="1885">
      <c r="A1885" s="15">
        <v>1881</v>
      </c>
      <c r="B1885" s="15" t="s">
        <v>49</v>
      </c>
      <c r="C1885" s="15" t="s">
        <v>468</v>
      </c>
      <c r="D1885" s="15" t="s">
        <v>35</v>
      </c>
      <c r="E1885" s="15" t="s">
        <v>35</v>
      </c>
      <c r="F1885" s="15" t="s">
        <v>1435</v>
      </c>
      <c r="G1885" s="15" t="s">
        <v>36</v>
      </c>
      <c r="H1885" s="15" t="s">
        <v>8359</v>
      </c>
      <c r="I1885" s="15" t="s">
        <v>8360</v>
      </c>
      <c r="J1885" s="15" t="s">
        <v>8361</v>
      </c>
      <c r="K1885" s="15" t="s">
        <v>40</v>
      </c>
      <c r="L1885" s="15" t="s">
        <v>41</v>
      </c>
      <c r="M1885" s="15" t="s">
        <v>55</v>
      </c>
      <c r="N1885" s="15" t="s">
        <v>56</v>
      </c>
      <c r="O1885" s="15" t="s">
        <v>44</v>
      </c>
      <c r="P1885" s="15" t="s">
        <v>8362</v>
      </c>
      <c r="Q1885" s="15" t="s">
        <v>8363</v>
      </c>
      <c r="R1885" s="16">
        <v>44329</v>
      </c>
      <c r="S1885" s="17" t="s">
        <v>317</v>
      </c>
      <c r="T1885" s="20">
        <f>HYPERLINK("https://vnm.spiral.com.vn//uploaded/20210513/7913D3D2-6074-4AEC-B68E-F5C3F43DA2BC.jpg","07:55:52")</f>
      </c>
      <c r="U1885" s="20">
        <f>HYPERLINK("https://vnm.spiral.com.vn//uploaded/20210513/3F8D46AB-6107-4D4B-B97C-BEF727F12A89.jpg","11:56:59")</f>
      </c>
      <c r="V1885" s="18">
        <v>0.16744212962962962</v>
      </c>
      <c r="W1885" s="15" t="s">
        <v>10408</v>
      </c>
      <c r="X1885" s="15" t="s">
        <v>10409</v>
      </c>
      <c r="Y1885" s="15" t="s">
        <v>35</v>
      </c>
      <c r="Z1885" s="19">
        <v>0</v>
      </c>
      <c r="AA1885" s="15">
        <v>0</v>
      </c>
      <c r="AB1885" s="15" t="s">
        <v>35</v>
      </c>
    </row>
    <row r="1886">
      <c r="A1886" s="15">
        <v>1882</v>
      </c>
      <c r="B1886" s="15" t="s">
        <v>343</v>
      </c>
      <c r="C1886" s="15" t="s">
        <v>344</v>
      </c>
      <c r="D1886" s="15" t="s">
        <v>35</v>
      </c>
      <c r="E1886" s="15" t="s">
        <v>35</v>
      </c>
      <c r="F1886" s="15" t="s">
        <v>35</v>
      </c>
      <c r="G1886" s="15" t="s">
        <v>36</v>
      </c>
      <c r="H1886" s="15" t="s">
        <v>7428</v>
      </c>
      <c r="I1886" s="15" t="s">
        <v>7429</v>
      </c>
      <c r="J1886" s="15" t="s">
        <v>7430</v>
      </c>
      <c r="K1886" s="15" t="s">
        <v>40</v>
      </c>
      <c r="L1886" s="15" t="s">
        <v>41</v>
      </c>
      <c r="M1886" s="15" t="s">
        <v>595</v>
      </c>
      <c r="N1886" s="15" t="s">
        <v>596</v>
      </c>
      <c r="O1886" s="15" t="s">
        <v>44</v>
      </c>
      <c r="P1886" s="15" t="s">
        <v>7431</v>
      </c>
      <c r="Q1886" s="15" t="s">
        <v>7432</v>
      </c>
      <c r="R1886" s="16">
        <v>44329</v>
      </c>
      <c r="S1886" s="17" t="s">
        <v>317</v>
      </c>
      <c r="T1886" s="20">
        <f>HYPERLINK("https://vnm.spiral.com.vn//uploaded/20210513/FECC2642-F05D-46B8-8C2A-C31E345F0ED5.jpg","07:46:14")</f>
      </c>
      <c r="U1886" s="20">
        <f>HYPERLINK("https://vnm.spiral.com.vn//uploaded/20210513/24B0EAFC-B0DF-4A09-B2E0-80F4D547CCDC.jpg","11:56:45")</f>
      </c>
      <c r="V1886" s="18">
        <v>0.17396990740740742</v>
      </c>
      <c r="W1886" s="15" t="s">
        <v>10410</v>
      </c>
      <c r="X1886" s="15" t="s">
        <v>10411</v>
      </c>
      <c r="Y1886" s="15" t="s">
        <v>35</v>
      </c>
      <c r="Z1886" s="19">
        <v>0</v>
      </c>
      <c r="AA1886" s="15">
        <v>0</v>
      </c>
      <c r="AB1886" s="15" t="s">
        <v>35</v>
      </c>
    </row>
    <row r="1887">
      <c r="A1887" s="15">
        <v>1883</v>
      </c>
      <c r="B1887" s="15" t="s">
        <v>343</v>
      </c>
      <c r="C1887" s="15" t="s">
        <v>344</v>
      </c>
      <c r="D1887" s="15" t="s">
        <v>35</v>
      </c>
      <c r="E1887" s="15" t="s">
        <v>35</v>
      </c>
      <c r="F1887" s="15" t="s">
        <v>35</v>
      </c>
      <c r="G1887" s="15" t="s">
        <v>36</v>
      </c>
      <c r="H1887" s="15" t="s">
        <v>10412</v>
      </c>
      <c r="I1887" s="15" t="s">
        <v>6806</v>
      </c>
      <c r="J1887" s="15" t="s">
        <v>10413</v>
      </c>
      <c r="K1887" s="15" t="s">
        <v>40</v>
      </c>
      <c r="L1887" s="15" t="s">
        <v>41</v>
      </c>
      <c r="M1887" s="15" t="s">
        <v>595</v>
      </c>
      <c r="N1887" s="15" t="s">
        <v>596</v>
      </c>
      <c r="O1887" s="15" t="s">
        <v>44</v>
      </c>
      <c r="P1887" s="15" t="s">
        <v>6380</v>
      </c>
      <c r="Q1887" s="15" t="s">
        <v>6381</v>
      </c>
      <c r="R1887" s="16">
        <v>44329</v>
      </c>
      <c r="S1887" s="17" t="s">
        <v>317</v>
      </c>
      <c r="T1887" s="20">
        <f>HYPERLINK("https://vnm.spiral.com.vn//uploaded/20210513/190B6223-883A-4C1B-8635-489D60BC5E6F.jpg","08:03:03")</f>
      </c>
      <c r="U1887" s="20">
        <f>HYPERLINK("https://vnm.spiral.com.vn//uploaded/20210513/6C6326A8-2256-4FF0-A3D8-A7DDD7E56366.jpg","11:56:34")</f>
      </c>
      <c r="V1887" s="18">
        <v>0.16216435185185185</v>
      </c>
      <c r="W1887" s="15" t="s">
        <v>10414</v>
      </c>
      <c r="X1887" s="15" t="s">
        <v>10415</v>
      </c>
      <c r="Y1887" s="15" t="s">
        <v>35</v>
      </c>
      <c r="Z1887" s="19">
        <v>0</v>
      </c>
      <c r="AA1887" s="15">
        <v>0</v>
      </c>
      <c r="AB1887" s="15" t="s">
        <v>35</v>
      </c>
    </row>
    <row r="1888">
      <c r="A1888" s="15">
        <v>1884</v>
      </c>
      <c r="B1888" s="15" t="s">
        <v>87</v>
      </c>
      <c r="C1888" s="15" t="s">
        <v>88</v>
      </c>
      <c r="D1888" s="15" t="s">
        <v>74</v>
      </c>
      <c r="E1888" s="15" t="s">
        <v>90</v>
      </c>
      <c r="F1888" s="15" t="s">
        <v>35</v>
      </c>
      <c r="G1888" s="15" t="s">
        <v>74</v>
      </c>
      <c r="H1888" s="15" t="s">
        <v>10416</v>
      </c>
      <c r="I1888" s="15" t="s">
        <v>10417</v>
      </c>
      <c r="J1888" s="15" t="s">
        <v>10418</v>
      </c>
      <c r="K1888" s="15" t="s">
        <v>190</v>
      </c>
      <c r="L1888" s="15" t="s">
        <v>191</v>
      </c>
      <c r="M1888" s="15" t="s">
        <v>1031</v>
      </c>
      <c r="N1888" s="15" t="s">
        <v>1032</v>
      </c>
      <c r="O1888" s="15" t="s">
        <v>82</v>
      </c>
      <c r="P1888" s="15" t="s">
        <v>1033</v>
      </c>
      <c r="Q1888" s="15" t="s">
        <v>1034</v>
      </c>
      <c r="R1888" s="16">
        <v>44329</v>
      </c>
      <c r="S1888" s="17" t="s">
        <v>70</v>
      </c>
      <c r="T1888" s="20">
        <f>HYPERLINK("https://vnm.spiral.com.vn//uploaded/20210513/b2e503f3-ef45-4c4b-b4da-aea2371fbb7b.JPEG","11:18:00")</f>
      </c>
      <c r="U1888" s="20">
        <f>HYPERLINK("https://vnm.spiral.com.vn//uploaded/20210513/7e993d25-2ff9-428f-b393-07dc13deed12.JPEG","11:56:20")</f>
      </c>
      <c r="V1888" s="18">
        <v>0.02662037037037037</v>
      </c>
      <c r="W1888" s="15" t="s">
        <v>10419</v>
      </c>
      <c r="X1888" s="15" t="s">
        <v>10420</v>
      </c>
      <c r="Y1888" s="15" t="s">
        <v>35</v>
      </c>
      <c r="Z1888" s="19">
        <v>0</v>
      </c>
      <c r="AA1888" s="15">
        <v>0</v>
      </c>
      <c r="AB1888" s="15" t="s">
        <v>35</v>
      </c>
    </row>
    <row r="1889">
      <c r="A1889" s="15">
        <v>1885</v>
      </c>
      <c r="B1889" s="15" t="s">
        <v>246</v>
      </c>
      <c r="C1889" s="15" t="s">
        <v>276</v>
      </c>
      <c r="D1889" s="15" t="s">
        <v>148</v>
      </c>
      <c r="E1889" s="15" t="s">
        <v>90</v>
      </c>
      <c r="F1889" s="15" t="s">
        <v>35</v>
      </c>
      <c r="G1889" s="15" t="s">
        <v>74</v>
      </c>
      <c r="H1889" s="15" t="s">
        <v>4095</v>
      </c>
      <c r="I1889" s="15" t="s">
        <v>4096</v>
      </c>
      <c r="J1889" s="15" t="s">
        <v>4097</v>
      </c>
      <c r="K1889" s="15" t="s">
        <v>166</v>
      </c>
      <c r="L1889" s="15" t="s">
        <v>167</v>
      </c>
      <c r="M1889" s="15" t="s">
        <v>263</v>
      </c>
      <c r="N1889" s="15" t="s">
        <v>264</v>
      </c>
      <c r="O1889" s="15" t="s">
        <v>98</v>
      </c>
      <c r="P1889" s="15" t="s">
        <v>280</v>
      </c>
      <c r="Q1889" s="15" t="s">
        <v>281</v>
      </c>
      <c r="R1889" s="16">
        <v>44329</v>
      </c>
      <c r="S1889" s="17" t="s">
        <v>70</v>
      </c>
      <c r="T1889" s="20">
        <f>HYPERLINK("https://vnm.spiral.com.vn//uploaded/20210513/054dccb6-629e-45ef-85aa-b76da5144d33.JPEG","09:13:37")</f>
      </c>
      <c r="U1889" s="20">
        <f>HYPERLINK("https://vnm.spiral.com.vn//uploaded/20210513/892dd9b0-9e8b-4e37-8db8-900235cf5c8d.JPEG","11:56:17")</f>
      </c>
      <c r="V1889" s="18">
        <v>0.11296296296296296</v>
      </c>
      <c r="W1889" s="15" t="s">
        <v>10421</v>
      </c>
      <c r="X1889" s="15" t="s">
        <v>10422</v>
      </c>
      <c r="Y1889" s="15" t="s">
        <v>35</v>
      </c>
      <c r="Z1889" s="19">
        <v>0</v>
      </c>
      <c r="AA1889" s="15">
        <v>0</v>
      </c>
      <c r="AB1889" s="15" t="s">
        <v>35</v>
      </c>
    </row>
    <row r="1890">
      <c r="A1890" s="15">
        <v>1886</v>
      </c>
      <c r="B1890" s="15" t="s">
        <v>103</v>
      </c>
      <c r="C1890" s="15" t="s">
        <v>1078</v>
      </c>
      <c r="D1890" s="15" t="s">
        <v>135</v>
      </c>
      <c r="E1890" s="15" t="s">
        <v>116</v>
      </c>
      <c r="F1890" s="15" t="s">
        <v>35</v>
      </c>
      <c r="G1890" s="15" t="s">
        <v>74</v>
      </c>
      <c r="H1890" s="15" t="s">
        <v>10423</v>
      </c>
      <c r="I1890" s="15" t="s">
        <v>10424</v>
      </c>
      <c r="J1890" s="15" t="s">
        <v>10425</v>
      </c>
      <c r="K1890" s="15" t="s">
        <v>436</v>
      </c>
      <c r="L1890" s="15" t="s">
        <v>437</v>
      </c>
      <c r="M1890" s="15" t="s">
        <v>1429</v>
      </c>
      <c r="N1890" s="15" t="s">
        <v>1430</v>
      </c>
      <c r="O1890" s="15" t="s">
        <v>82</v>
      </c>
      <c r="P1890" s="15" t="s">
        <v>1825</v>
      </c>
      <c r="Q1890" s="15" t="s">
        <v>144</v>
      </c>
      <c r="R1890" s="16">
        <v>44329</v>
      </c>
      <c r="S1890" s="17" t="s">
        <v>70</v>
      </c>
      <c r="T1890" s="20">
        <f>HYPERLINK("https://vnm.spiral.com.vn//uploaded/20210513/7f287b30-27c9-49f8-90ca-6d8e1130ca25.JPEG","11:13:07")</f>
      </c>
      <c r="U1890" s="20">
        <f>HYPERLINK("https://vnm.spiral.com.vn//uploaded/20210513/54aef05f-3db3-4bdd-9af7-7b2ce5167611.JPEG","11:56:02")</f>
      </c>
      <c r="V1890" s="18">
        <v>0.02980324074074074</v>
      </c>
      <c r="W1890" s="15" t="s">
        <v>10426</v>
      </c>
      <c r="X1890" s="15" t="s">
        <v>10427</v>
      </c>
      <c r="Y1890" s="15" t="s">
        <v>35</v>
      </c>
      <c r="Z1890" s="19">
        <v>0</v>
      </c>
      <c r="AA1890" s="15">
        <v>0</v>
      </c>
      <c r="AB1890" s="15" t="s">
        <v>35</v>
      </c>
    </row>
    <row r="1891">
      <c r="A1891" s="15">
        <v>1887</v>
      </c>
      <c r="B1891" s="15" t="s">
        <v>33</v>
      </c>
      <c r="C1891" s="15" t="s">
        <v>34</v>
      </c>
      <c r="D1891" s="15" t="s">
        <v>35</v>
      </c>
      <c r="E1891" s="15" t="s">
        <v>35</v>
      </c>
      <c r="F1891" s="15" t="s">
        <v>35</v>
      </c>
      <c r="G1891" s="15" t="s">
        <v>36</v>
      </c>
      <c r="H1891" s="15" t="s">
        <v>10428</v>
      </c>
      <c r="I1891" s="15" t="s">
        <v>10429</v>
      </c>
      <c r="J1891" s="15" t="s">
        <v>10430</v>
      </c>
      <c r="K1891" s="15" t="s">
        <v>40</v>
      </c>
      <c r="L1891" s="15" t="s">
        <v>41</v>
      </c>
      <c r="M1891" s="15" t="s">
        <v>42</v>
      </c>
      <c r="N1891" s="15" t="s">
        <v>43</v>
      </c>
      <c r="O1891" s="15" t="s">
        <v>44</v>
      </c>
      <c r="P1891" s="15" t="s">
        <v>5919</v>
      </c>
      <c r="Q1891" s="15" t="s">
        <v>3806</v>
      </c>
      <c r="R1891" s="16">
        <v>44329</v>
      </c>
      <c r="S1891" s="17" t="s">
        <v>7866</v>
      </c>
      <c r="T1891" s="20">
        <f>HYPERLINK("https://vnm.spiral.com.vn//uploaded/20210513/1ceaad97-b883-4e70-b402-1178daf065ca.JPEG","07:44:21")</f>
      </c>
      <c r="U1891" s="20">
        <f>HYPERLINK("https://vnm.spiral.com.vn//uploaded/20210513/87875d43-2181-4ea2-a9c3-0dc8905a6958.JPEG","11:56:02")</f>
      </c>
      <c r="V1891" s="18">
        <v>0.17478009259259258</v>
      </c>
      <c r="W1891" s="15" t="s">
        <v>10431</v>
      </c>
      <c r="X1891" s="15" t="s">
        <v>10432</v>
      </c>
      <c r="Y1891" s="15" t="s">
        <v>35</v>
      </c>
      <c r="Z1891" s="19">
        <v>0</v>
      </c>
      <c r="AA1891" s="15">
        <v>0</v>
      </c>
      <c r="AB1891" s="15" t="s">
        <v>35</v>
      </c>
    </row>
    <row r="1892">
      <c r="A1892" s="15">
        <v>1888</v>
      </c>
      <c r="B1892" s="15" t="s">
        <v>49</v>
      </c>
      <c r="C1892" s="15" t="s">
        <v>50</v>
      </c>
      <c r="D1892" s="15" t="s">
        <v>35</v>
      </c>
      <c r="E1892" s="15" t="s">
        <v>35</v>
      </c>
      <c r="F1892" s="15" t="s">
        <v>35</v>
      </c>
      <c r="G1892" s="15" t="s">
        <v>36</v>
      </c>
      <c r="H1892" s="15" t="s">
        <v>5367</v>
      </c>
      <c r="I1892" s="15" t="s">
        <v>5368</v>
      </c>
      <c r="J1892" s="15" t="s">
        <v>5369</v>
      </c>
      <c r="K1892" s="15" t="s">
        <v>40</v>
      </c>
      <c r="L1892" s="15" t="s">
        <v>41</v>
      </c>
      <c r="M1892" s="15" t="s">
        <v>55</v>
      </c>
      <c r="N1892" s="15" t="s">
        <v>56</v>
      </c>
      <c r="O1892" s="15" t="s">
        <v>44</v>
      </c>
      <c r="P1892" s="15" t="s">
        <v>5370</v>
      </c>
      <c r="Q1892" s="15" t="s">
        <v>5371</v>
      </c>
      <c r="R1892" s="16">
        <v>44329</v>
      </c>
      <c r="S1892" s="17" t="s">
        <v>7866</v>
      </c>
      <c r="T1892" s="20">
        <f>HYPERLINK("https://vnm.spiral.com.vn//uploaded/20210513/3d706cac-b6be-4034-8391-295b8c69feb7.JPEG","07:20:05")</f>
      </c>
      <c r="U1892" s="20">
        <f>HYPERLINK("https://vnm.spiral.com.vn//uploaded/20210513/149a5b76-493e-4e55-a6de-f3d54bf0f8cb.JPEG","11:55:49")</f>
      </c>
      <c r="V1892" s="18">
        <v>0.19148148148148147</v>
      </c>
      <c r="W1892" s="15" t="s">
        <v>10433</v>
      </c>
      <c r="X1892" s="15" t="s">
        <v>10434</v>
      </c>
      <c r="Y1892" s="15" t="s">
        <v>35</v>
      </c>
      <c r="Z1892" s="19">
        <v>0</v>
      </c>
      <c r="AA1892" s="15">
        <v>0</v>
      </c>
      <c r="AB1892" s="15" t="s">
        <v>35</v>
      </c>
    </row>
    <row r="1893">
      <c r="A1893" s="15">
        <v>1889</v>
      </c>
      <c r="B1893" s="15" t="s">
        <v>87</v>
      </c>
      <c r="C1893" s="15" t="s">
        <v>88</v>
      </c>
      <c r="D1893" s="15" t="s">
        <v>35</v>
      </c>
      <c r="E1893" s="15" t="s">
        <v>35</v>
      </c>
      <c r="F1893" s="15" t="s">
        <v>1191</v>
      </c>
      <c r="G1893" s="15" t="s">
        <v>36</v>
      </c>
      <c r="H1893" s="15" t="s">
        <v>10435</v>
      </c>
      <c r="I1893" s="15" t="s">
        <v>10436</v>
      </c>
      <c r="J1893" s="15" t="s">
        <v>10437</v>
      </c>
      <c r="K1893" s="15" t="s">
        <v>40</v>
      </c>
      <c r="L1893" s="15" t="s">
        <v>41</v>
      </c>
      <c r="M1893" s="15" t="s">
        <v>1195</v>
      </c>
      <c r="N1893" s="15" t="s">
        <v>1196</v>
      </c>
      <c r="O1893" s="15" t="s">
        <v>44</v>
      </c>
      <c r="P1893" s="15" t="s">
        <v>10438</v>
      </c>
      <c r="Q1893" s="15" t="s">
        <v>10439</v>
      </c>
      <c r="R1893" s="16">
        <v>44329</v>
      </c>
      <c r="S1893" s="17" t="s">
        <v>6144</v>
      </c>
      <c r="T1893" s="20">
        <f>HYPERLINK("https://vnm.spiral.com.vn//uploaded/20210513/C57D9E0B-3110-4282-AAA3-0A65FD4F5980.jpg","11:55:44")</f>
      </c>
      <c r="U1893" s="18"/>
      <c r="V1893" s="18" t="s">
        <v>35</v>
      </c>
      <c r="W1893" s="15" t="s">
        <v>10440</v>
      </c>
      <c r="X1893" s="15" t="s">
        <v>35</v>
      </c>
      <c r="Y1893" s="15" t="s">
        <v>35</v>
      </c>
      <c r="Z1893" s="19">
        <v>0</v>
      </c>
      <c r="AA1893" s="15">
        <v>0</v>
      </c>
      <c r="AB1893" s="15" t="s">
        <v>35</v>
      </c>
    </row>
    <row r="1894">
      <c r="A1894" s="15">
        <v>1890</v>
      </c>
      <c r="B1894" s="15" t="s">
        <v>87</v>
      </c>
      <c r="C1894" s="15" t="s">
        <v>88</v>
      </c>
      <c r="D1894" s="15" t="s">
        <v>35</v>
      </c>
      <c r="E1894" s="15" t="s">
        <v>35</v>
      </c>
      <c r="F1894" s="15" t="s">
        <v>1191</v>
      </c>
      <c r="G1894" s="15" t="s">
        <v>36</v>
      </c>
      <c r="H1894" s="15" t="s">
        <v>10441</v>
      </c>
      <c r="I1894" s="15" t="s">
        <v>10442</v>
      </c>
      <c r="J1894" s="15" t="s">
        <v>10443</v>
      </c>
      <c r="K1894" s="15" t="s">
        <v>40</v>
      </c>
      <c r="L1894" s="15" t="s">
        <v>41</v>
      </c>
      <c r="M1894" s="15" t="s">
        <v>1195</v>
      </c>
      <c r="N1894" s="15" t="s">
        <v>1196</v>
      </c>
      <c r="O1894" s="15" t="s">
        <v>44</v>
      </c>
      <c r="P1894" s="15" t="s">
        <v>5131</v>
      </c>
      <c r="Q1894" s="15" t="s">
        <v>5132</v>
      </c>
      <c r="R1894" s="16">
        <v>44329</v>
      </c>
      <c r="S1894" s="17" t="s">
        <v>317</v>
      </c>
      <c r="T1894" s="20">
        <f>HYPERLINK("https://vnm.spiral.com.vn//uploaded/20210513/317BC5F5-AB7C-4778-865C-85A48CA6ED61.jpg","08:00:27")</f>
      </c>
      <c r="U1894" s="20">
        <f>HYPERLINK("https://vnm.spiral.com.vn//uploaded/20210513/D9B25287-855B-41C7-A751-604EE4B6B622.jpg","11:55:43")</f>
      </c>
      <c r="V1894" s="18">
        <v>0.16337962962962962</v>
      </c>
      <c r="W1894" s="15" t="s">
        <v>10444</v>
      </c>
      <c r="X1894" s="15" t="s">
        <v>10445</v>
      </c>
      <c r="Y1894" s="15" t="s">
        <v>35</v>
      </c>
      <c r="Z1894" s="19">
        <v>0</v>
      </c>
      <c r="AA1894" s="15">
        <v>0</v>
      </c>
      <c r="AB1894" s="15" t="s">
        <v>35</v>
      </c>
    </row>
    <row r="1895">
      <c r="A1895" s="15">
        <v>1891</v>
      </c>
      <c r="B1895" s="15" t="s">
        <v>246</v>
      </c>
      <c r="C1895" s="15" t="s">
        <v>247</v>
      </c>
      <c r="D1895" s="15" t="s">
        <v>35</v>
      </c>
      <c r="E1895" s="15" t="s">
        <v>35</v>
      </c>
      <c r="F1895" s="15" t="s">
        <v>7347</v>
      </c>
      <c r="G1895" s="15" t="s">
        <v>36</v>
      </c>
      <c r="H1895" s="15" t="s">
        <v>8232</v>
      </c>
      <c r="I1895" s="15" t="s">
        <v>8233</v>
      </c>
      <c r="J1895" s="15" t="s">
        <v>8234</v>
      </c>
      <c r="K1895" s="15" t="s">
        <v>40</v>
      </c>
      <c r="L1895" s="15" t="s">
        <v>41</v>
      </c>
      <c r="M1895" s="15" t="s">
        <v>252</v>
      </c>
      <c r="N1895" s="15" t="s">
        <v>253</v>
      </c>
      <c r="O1895" s="15" t="s">
        <v>44</v>
      </c>
      <c r="P1895" s="15" t="s">
        <v>8235</v>
      </c>
      <c r="Q1895" s="15" t="s">
        <v>8236</v>
      </c>
      <c r="R1895" s="16">
        <v>44329</v>
      </c>
      <c r="S1895" s="17" t="s">
        <v>317</v>
      </c>
      <c r="T1895" s="20">
        <f>HYPERLINK("https://vnm.spiral.com.vn//uploaded/20210513/C012CF97-502F-41B3-8BDB-F9AE4291AAF4.jpg","07:53:44")</f>
      </c>
      <c r="U1895" s="20">
        <f>HYPERLINK("https://vnm.spiral.com.vn//uploaded/20210513/C3FB4E47-B551-43DD-8FA4-DCD3EFEFCCF2.jpg","11:55:27")</f>
      </c>
      <c r="V1895" s="18">
        <v>0.1678587962962963</v>
      </c>
      <c r="W1895" s="15" t="s">
        <v>10446</v>
      </c>
      <c r="X1895" s="15" t="s">
        <v>10447</v>
      </c>
      <c r="Y1895" s="15" t="s">
        <v>35</v>
      </c>
      <c r="Z1895" s="19">
        <v>0</v>
      </c>
      <c r="AA1895" s="15">
        <v>0</v>
      </c>
      <c r="AB1895" s="15" t="s">
        <v>35</v>
      </c>
    </row>
    <row r="1896">
      <c r="A1896" s="15">
        <v>1892</v>
      </c>
      <c r="B1896" s="15" t="s">
        <v>246</v>
      </c>
      <c r="C1896" s="15" t="s">
        <v>864</v>
      </c>
      <c r="D1896" s="15" t="s">
        <v>35</v>
      </c>
      <c r="E1896" s="15" t="s">
        <v>35</v>
      </c>
      <c r="F1896" s="15" t="s">
        <v>2406</v>
      </c>
      <c r="G1896" s="15" t="s">
        <v>36</v>
      </c>
      <c r="H1896" s="15" t="s">
        <v>7250</v>
      </c>
      <c r="I1896" s="15" t="s">
        <v>4124</v>
      </c>
      <c r="J1896" s="15" t="s">
        <v>7251</v>
      </c>
      <c r="K1896" s="15" t="s">
        <v>40</v>
      </c>
      <c r="L1896" s="15" t="s">
        <v>41</v>
      </c>
      <c r="M1896" s="15" t="s">
        <v>252</v>
      </c>
      <c r="N1896" s="15" t="s">
        <v>253</v>
      </c>
      <c r="O1896" s="15" t="s">
        <v>44</v>
      </c>
      <c r="P1896" s="15" t="s">
        <v>7252</v>
      </c>
      <c r="Q1896" s="15" t="s">
        <v>7253</v>
      </c>
      <c r="R1896" s="16">
        <v>44329</v>
      </c>
      <c r="S1896" s="17" t="s">
        <v>317</v>
      </c>
      <c r="T1896" s="20">
        <f>HYPERLINK("https://vnm.spiral.com.vn//uploaded/20210513/C8C68EFC-3C25-437A-B19C-01834212A884.jpg","08:01:36")</f>
      </c>
      <c r="U1896" s="20">
        <f>HYPERLINK("https://vnm.spiral.com.vn//uploaded/20210513/81C3FE20-A0FD-4FC5-8927-6F47BE877297.jpg","11:55:17")</f>
      </c>
      <c r="V1896" s="18">
        <v>0.1622800925925926</v>
      </c>
      <c r="W1896" s="15" t="s">
        <v>10448</v>
      </c>
      <c r="X1896" s="15" t="s">
        <v>10449</v>
      </c>
      <c r="Y1896" s="15" t="s">
        <v>35</v>
      </c>
      <c r="Z1896" s="19">
        <v>0</v>
      </c>
      <c r="AA1896" s="15">
        <v>0</v>
      </c>
      <c r="AB1896" s="15" t="s">
        <v>35</v>
      </c>
    </row>
    <row r="1897">
      <c r="A1897" s="15">
        <v>1893</v>
      </c>
      <c r="B1897" s="15" t="s">
        <v>61</v>
      </c>
      <c r="C1897" s="15" t="s">
        <v>62</v>
      </c>
      <c r="D1897" s="15" t="s">
        <v>35</v>
      </c>
      <c r="E1897" s="15" t="s">
        <v>35</v>
      </c>
      <c r="F1897" s="15" t="s">
        <v>35</v>
      </c>
      <c r="G1897" s="15" t="s">
        <v>36</v>
      </c>
      <c r="H1897" s="15" t="s">
        <v>6765</v>
      </c>
      <c r="I1897" s="15" t="s">
        <v>6766</v>
      </c>
      <c r="J1897" s="15" t="s">
        <v>6767</v>
      </c>
      <c r="K1897" s="15" t="s">
        <v>40</v>
      </c>
      <c r="L1897" s="15" t="s">
        <v>41</v>
      </c>
      <c r="M1897" s="15" t="s">
        <v>66</v>
      </c>
      <c r="N1897" s="15" t="s">
        <v>67</v>
      </c>
      <c r="O1897" s="15" t="s">
        <v>44</v>
      </c>
      <c r="P1897" s="15" t="s">
        <v>6768</v>
      </c>
      <c r="Q1897" s="15" t="s">
        <v>6769</v>
      </c>
      <c r="R1897" s="16">
        <v>44329</v>
      </c>
      <c r="S1897" s="17" t="s">
        <v>317</v>
      </c>
      <c r="T1897" s="20">
        <f>HYPERLINK("https://vnm.spiral.com.vn//uploaded/20210513/29e61cef-d23b-4788-81f7-062e4d43528a.JPEG","08:03:35")</f>
      </c>
      <c r="U1897" s="20">
        <f>HYPERLINK("https://vnm.spiral.com.vn//uploaded/20210513/6dee67d3-35a2-48dd-a8ec-6a62fbd60974.JPEG","11:55:13")</f>
      </c>
      <c r="V1897" s="18">
        <v>0.1608564814814815</v>
      </c>
      <c r="W1897" s="15" t="s">
        <v>10450</v>
      </c>
      <c r="X1897" s="15" t="s">
        <v>10451</v>
      </c>
      <c r="Y1897" s="15" t="s">
        <v>35</v>
      </c>
      <c r="Z1897" s="19">
        <v>0</v>
      </c>
      <c r="AA1897" s="15">
        <v>0</v>
      </c>
      <c r="AB1897" s="15" t="s">
        <v>35</v>
      </c>
    </row>
    <row r="1898">
      <c r="A1898" s="15">
        <v>1894</v>
      </c>
      <c r="B1898" s="15" t="s">
        <v>246</v>
      </c>
      <c r="C1898" s="15" t="s">
        <v>259</v>
      </c>
      <c r="D1898" s="15" t="s">
        <v>35</v>
      </c>
      <c r="E1898" s="15" t="s">
        <v>35</v>
      </c>
      <c r="F1898" s="15" t="s">
        <v>943</v>
      </c>
      <c r="G1898" s="15" t="s">
        <v>36</v>
      </c>
      <c r="H1898" s="15" t="s">
        <v>8270</v>
      </c>
      <c r="I1898" s="15" t="s">
        <v>4818</v>
      </c>
      <c r="J1898" s="15" t="s">
        <v>8271</v>
      </c>
      <c r="K1898" s="15" t="s">
        <v>40</v>
      </c>
      <c r="L1898" s="15" t="s">
        <v>41</v>
      </c>
      <c r="M1898" s="15" t="s">
        <v>252</v>
      </c>
      <c r="N1898" s="15" t="s">
        <v>253</v>
      </c>
      <c r="O1898" s="15" t="s">
        <v>44</v>
      </c>
      <c r="P1898" s="15" t="s">
        <v>8272</v>
      </c>
      <c r="Q1898" s="15" t="s">
        <v>8273</v>
      </c>
      <c r="R1898" s="16">
        <v>44329</v>
      </c>
      <c r="S1898" s="17" t="s">
        <v>317</v>
      </c>
      <c r="T1898" s="20">
        <f>HYPERLINK("https://vnm.spiral.com.vn//uploaded/20210513/F910A469-B535-4DB5-9BE5-DAC577CF31B8.jpg","08:01:49")</f>
      </c>
      <c r="U1898" s="20">
        <f>HYPERLINK("https://vnm.spiral.com.vn//uploaded/20210513/08C1AD74-F824-4C32-9649-015012C510C2.jpg","11:55:04")</f>
      </c>
      <c r="V1898" s="18">
        <v>0.16197916666666667</v>
      </c>
      <c r="W1898" s="15" t="s">
        <v>10452</v>
      </c>
      <c r="X1898" s="15" t="s">
        <v>10453</v>
      </c>
      <c r="Y1898" s="15" t="s">
        <v>35</v>
      </c>
      <c r="Z1898" s="19">
        <v>0</v>
      </c>
      <c r="AA1898" s="15">
        <v>0</v>
      </c>
      <c r="AB1898" s="15" t="s">
        <v>35</v>
      </c>
    </row>
    <row r="1899">
      <c r="A1899" s="15">
        <v>1895</v>
      </c>
      <c r="B1899" s="15" t="s">
        <v>103</v>
      </c>
      <c r="C1899" s="15" t="s">
        <v>1078</v>
      </c>
      <c r="D1899" s="15" t="s">
        <v>35</v>
      </c>
      <c r="E1899" s="15" t="s">
        <v>35</v>
      </c>
      <c r="F1899" s="15" t="s">
        <v>35</v>
      </c>
      <c r="G1899" s="15" t="s">
        <v>36</v>
      </c>
      <c r="H1899" s="15" t="s">
        <v>8386</v>
      </c>
      <c r="I1899" s="15" t="s">
        <v>8387</v>
      </c>
      <c r="J1899" s="15" t="s">
        <v>8388</v>
      </c>
      <c r="K1899" s="15" t="s">
        <v>40</v>
      </c>
      <c r="L1899" s="15" t="s">
        <v>41</v>
      </c>
      <c r="M1899" s="15" t="s">
        <v>565</v>
      </c>
      <c r="N1899" s="15" t="s">
        <v>566</v>
      </c>
      <c r="O1899" s="15" t="s">
        <v>44</v>
      </c>
      <c r="P1899" s="15" t="s">
        <v>8389</v>
      </c>
      <c r="Q1899" s="15" t="s">
        <v>8390</v>
      </c>
      <c r="R1899" s="16">
        <v>44329</v>
      </c>
      <c r="S1899" s="17" t="s">
        <v>9664</v>
      </c>
      <c r="T1899" s="20">
        <f>HYPERLINK("https://vnm.spiral.com.vn//uploaded/20210513/09d13ad0-bae1-452e-91c6-f57baeda5cde.JPEG","07:23:55")</f>
      </c>
      <c r="U1899" s="20">
        <f>HYPERLINK("https://vnm.spiral.com.vn//uploaded/20210513/41718b6d-69e0-41a5-822c-0ad952a8b6a6.JPEG","11:54:52")</f>
      </c>
      <c r="V1899" s="18">
        <v>0.18815972222222221</v>
      </c>
      <c r="W1899" s="15" t="s">
        <v>10454</v>
      </c>
      <c r="X1899" s="15" t="s">
        <v>10455</v>
      </c>
      <c r="Y1899" s="15" t="s">
        <v>35</v>
      </c>
      <c r="Z1899" s="19">
        <v>0</v>
      </c>
      <c r="AA1899" s="15">
        <v>0</v>
      </c>
      <c r="AB1899" s="15" t="s">
        <v>35</v>
      </c>
    </row>
    <row r="1900">
      <c r="A1900" s="15">
        <v>1896</v>
      </c>
      <c r="B1900" s="15" t="s">
        <v>61</v>
      </c>
      <c r="C1900" s="15" t="s">
        <v>904</v>
      </c>
      <c r="D1900" s="15" t="s">
        <v>89</v>
      </c>
      <c r="E1900" s="15" t="s">
        <v>90</v>
      </c>
      <c r="F1900" s="15" t="s">
        <v>35</v>
      </c>
      <c r="G1900" s="15" t="s">
        <v>74</v>
      </c>
      <c r="H1900" s="15" t="s">
        <v>3533</v>
      </c>
      <c r="I1900" s="15" t="s">
        <v>3534</v>
      </c>
      <c r="J1900" s="15" t="s">
        <v>3535</v>
      </c>
      <c r="K1900" s="15" t="s">
        <v>1586</v>
      </c>
      <c r="L1900" s="15" t="s">
        <v>1587</v>
      </c>
      <c r="M1900" s="15" t="s">
        <v>1588</v>
      </c>
      <c r="N1900" s="15" t="s">
        <v>1589</v>
      </c>
      <c r="O1900" s="15" t="s">
        <v>156</v>
      </c>
      <c r="P1900" s="15" t="s">
        <v>10456</v>
      </c>
      <c r="Q1900" s="15" t="s">
        <v>10457</v>
      </c>
      <c r="R1900" s="16">
        <v>44329</v>
      </c>
      <c r="S1900" s="17" t="s">
        <v>9455</v>
      </c>
      <c r="T1900" s="20">
        <f>HYPERLINK("https://vnm.spiral.com.vn//uploaded/20210513/62017295-F156-4AC9-A76D-9B5C477854BE.jpg","11:54:38")</f>
      </c>
      <c r="U1900" s="18"/>
      <c r="V1900" s="18" t="s">
        <v>35</v>
      </c>
      <c r="W1900" s="15" t="s">
        <v>10458</v>
      </c>
      <c r="X1900" s="15" t="s">
        <v>35</v>
      </c>
      <c r="Y1900" s="15" t="s">
        <v>35</v>
      </c>
      <c r="Z1900" s="19">
        <v>0</v>
      </c>
      <c r="AA1900" s="15">
        <v>0</v>
      </c>
      <c r="AB1900" s="15" t="s">
        <v>35</v>
      </c>
    </row>
    <row r="1901">
      <c r="A1901" s="15">
        <v>1897</v>
      </c>
      <c r="B1901" s="15" t="s">
        <v>87</v>
      </c>
      <c r="C1901" s="15" t="s">
        <v>88</v>
      </c>
      <c r="D1901" s="15" t="s">
        <v>432</v>
      </c>
      <c r="E1901" s="15" t="s">
        <v>116</v>
      </c>
      <c r="F1901" s="15" t="s">
        <v>35</v>
      </c>
      <c r="G1901" s="15" t="s">
        <v>74</v>
      </c>
      <c r="H1901" s="15" t="s">
        <v>10459</v>
      </c>
      <c r="I1901" s="15" t="s">
        <v>10460</v>
      </c>
      <c r="J1901" s="15" t="s">
        <v>10461</v>
      </c>
      <c r="K1901" s="15" t="s">
        <v>625</v>
      </c>
      <c r="L1901" s="15" t="s">
        <v>626</v>
      </c>
      <c r="M1901" s="15" t="s">
        <v>1022</v>
      </c>
      <c r="N1901" s="15" t="s">
        <v>1023</v>
      </c>
      <c r="O1901" s="15" t="s">
        <v>82</v>
      </c>
      <c r="P1901" s="15" t="s">
        <v>2209</v>
      </c>
      <c r="Q1901" s="15" t="s">
        <v>2210</v>
      </c>
      <c r="R1901" s="16">
        <v>44329</v>
      </c>
      <c r="S1901" s="17" t="s">
        <v>70</v>
      </c>
      <c r="T1901" s="20">
        <f>HYPERLINK("https://vnm.spiral.com.vn//uploaded/20210513/029672d1-c331-4904-a91e-0617249cfa6a.jpg","11:31:33")</f>
      </c>
      <c r="U1901" s="20">
        <f>HYPERLINK("https://vnm.spiral.com.vn//uploaded/20210513/018f818a-d8c3-4178-85f9-f3a4f6527786.jpg","11:54:30")</f>
      </c>
      <c r="V1901" s="18">
        <v>0.0159375</v>
      </c>
      <c r="W1901" s="15" t="s">
        <v>10462</v>
      </c>
      <c r="X1901" s="15" t="s">
        <v>10463</v>
      </c>
      <c r="Y1901" s="15" t="s">
        <v>35</v>
      </c>
      <c r="Z1901" s="19">
        <v>0</v>
      </c>
      <c r="AA1901" s="15">
        <v>0</v>
      </c>
      <c r="AB1901" s="15" t="s">
        <v>35</v>
      </c>
    </row>
    <row r="1902">
      <c r="A1902" s="15">
        <v>1898</v>
      </c>
      <c r="B1902" s="15" t="s">
        <v>343</v>
      </c>
      <c r="C1902" s="15" t="s">
        <v>344</v>
      </c>
      <c r="D1902" s="15" t="s">
        <v>35</v>
      </c>
      <c r="E1902" s="15" t="s">
        <v>35</v>
      </c>
      <c r="F1902" s="15" t="s">
        <v>35</v>
      </c>
      <c r="G1902" s="15" t="s">
        <v>36</v>
      </c>
      <c r="H1902" s="15" t="s">
        <v>10464</v>
      </c>
      <c r="I1902" s="15" t="s">
        <v>10465</v>
      </c>
      <c r="J1902" s="15" t="s">
        <v>10466</v>
      </c>
      <c r="K1902" s="15" t="s">
        <v>40</v>
      </c>
      <c r="L1902" s="15" t="s">
        <v>41</v>
      </c>
      <c r="M1902" s="15" t="s">
        <v>595</v>
      </c>
      <c r="N1902" s="15" t="s">
        <v>596</v>
      </c>
      <c r="O1902" s="15" t="s">
        <v>44</v>
      </c>
      <c r="P1902" s="15" t="s">
        <v>9783</v>
      </c>
      <c r="Q1902" s="15" t="s">
        <v>9784</v>
      </c>
      <c r="R1902" s="16">
        <v>44329</v>
      </c>
      <c r="S1902" s="17" t="s">
        <v>317</v>
      </c>
      <c r="T1902" s="20">
        <f>HYPERLINK("https://vnm.spiral.com.vn//uploaded/20210513/79E80D47-0524-49B5-AB7E-D630DC930E9B.jpg","08:03:13")</f>
      </c>
      <c r="U1902" s="20">
        <f>HYPERLINK("https://vnm.spiral.com.vn//uploaded/20210513/89995081-EFDC-4B43-9B72-C66E22A94012.jpg","11:54:30")</f>
      </c>
      <c r="V1902" s="18">
        <v>0.16061342592592592</v>
      </c>
      <c r="W1902" s="15" t="s">
        <v>10467</v>
      </c>
      <c r="X1902" s="15" t="s">
        <v>10468</v>
      </c>
      <c r="Y1902" s="15" t="s">
        <v>35</v>
      </c>
      <c r="Z1902" s="19">
        <v>0</v>
      </c>
      <c r="AA1902" s="15">
        <v>0</v>
      </c>
      <c r="AB1902" s="15" t="s">
        <v>35</v>
      </c>
    </row>
    <row r="1903">
      <c r="A1903" s="15">
        <v>1899</v>
      </c>
      <c r="B1903" s="15" t="s">
        <v>343</v>
      </c>
      <c r="C1903" s="15" t="s">
        <v>344</v>
      </c>
      <c r="D1903" s="15" t="s">
        <v>432</v>
      </c>
      <c r="E1903" s="15" t="s">
        <v>116</v>
      </c>
      <c r="F1903" s="15" t="s">
        <v>35</v>
      </c>
      <c r="G1903" s="15" t="s">
        <v>74</v>
      </c>
      <c r="H1903" s="15" t="s">
        <v>10469</v>
      </c>
      <c r="I1903" s="15" t="s">
        <v>10470</v>
      </c>
      <c r="J1903" s="15" t="s">
        <v>10471</v>
      </c>
      <c r="K1903" s="15" t="s">
        <v>512</v>
      </c>
      <c r="L1903" s="15" t="s">
        <v>513</v>
      </c>
      <c r="M1903" s="15" t="s">
        <v>514</v>
      </c>
      <c r="N1903" s="15" t="s">
        <v>515</v>
      </c>
      <c r="O1903" s="15" t="s">
        <v>82</v>
      </c>
      <c r="P1903" s="15" t="s">
        <v>523</v>
      </c>
      <c r="Q1903" s="15" t="s">
        <v>524</v>
      </c>
      <c r="R1903" s="16">
        <v>44329</v>
      </c>
      <c r="S1903" s="17" t="s">
        <v>70</v>
      </c>
      <c r="T1903" s="20">
        <f>HYPERLINK("https://vnm.spiral.com.vn//uploaded/20210513/2B57C75C-58BA-4E93-88BE-C486D46D8FD9.jpg","09:32:41")</f>
      </c>
      <c r="U1903" s="20">
        <f>HYPERLINK("https://vnm.spiral.com.vn//uploaded/20210513/D79027B6-EB38-4D6A-AB3E-E2BAB19EC98A.jpg","11:54:29")</f>
      </c>
      <c r="V1903" s="18">
        <v>0.09847222222222222</v>
      </c>
      <c r="W1903" s="15" t="s">
        <v>10472</v>
      </c>
      <c r="X1903" s="15" t="s">
        <v>10473</v>
      </c>
      <c r="Y1903" s="15" t="s">
        <v>35</v>
      </c>
      <c r="Z1903" s="19">
        <v>0</v>
      </c>
      <c r="AA1903" s="15">
        <v>0</v>
      </c>
      <c r="AB1903" s="15" t="s">
        <v>35</v>
      </c>
    </row>
    <row r="1904">
      <c r="A1904" s="15">
        <v>1900</v>
      </c>
      <c r="B1904" s="15" t="s">
        <v>246</v>
      </c>
      <c r="C1904" s="15" t="s">
        <v>259</v>
      </c>
      <c r="D1904" s="15" t="s">
        <v>35</v>
      </c>
      <c r="E1904" s="15" t="s">
        <v>35</v>
      </c>
      <c r="F1904" s="15" t="s">
        <v>4355</v>
      </c>
      <c r="G1904" s="15" t="s">
        <v>36</v>
      </c>
      <c r="H1904" s="15" t="s">
        <v>4356</v>
      </c>
      <c r="I1904" s="15" t="s">
        <v>4357</v>
      </c>
      <c r="J1904" s="15" t="s">
        <v>4358</v>
      </c>
      <c r="K1904" s="15" t="s">
        <v>40</v>
      </c>
      <c r="L1904" s="15" t="s">
        <v>41</v>
      </c>
      <c r="M1904" s="15" t="s">
        <v>252</v>
      </c>
      <c r="N1904" s="15" t="s">
        <v>253</v>
      </c>
      <c r="O1904" s="15" t="s">
        <v>44</v>
      </c>
      <c r="P1904" s="15" t="s">
        <v>4359</v>
      </c>
      <c r="Q1904" s="15" t="s">
        <v>4360</v>
      </c>
      <c r="R1904" s="16">
        <v>44329</v>
      </c>
      <c r="S1904" s="17" t="s">
        <v>317</v>
      </c>
      <c r="T1904" s="20">
        <f>HYPERLINK("https://vnm.spiral.com.vn//uploaded/20210513/889033A8-3835-4FE4-B35B-B2085F92741B.jpg","08:03:19")</f>
      </c>
      <c r="U1904" s="20">
        <f>HYPERLINK("https://vnm.spiral.com.vn//uploaded/20210513/84155A73-9C59-4FC3-AF36-6C6CA5ACE966.jpg","11:54:26")</f>
      </c>
      <c r="V1904" s="18">
        <v>0.16049768518518517</v>
      </c>
      <c r="W1904" s="15" t="s">
        <v>10474</v>
      </c>
      <c r="X1904" s="15" t="s">
        <v>10475</v>
      </c>
      <c r="Y1904" s="15" t="s">
        <v>35</v>
      </c>
      <c r="Z1904" s="19">
        <v>0</v>
      </c>
      <c r="AA1904" s="15">
        <v>0</v>
      </c>
      <c r="AB1904" s="15" t="s">
        <v>35</v>
      </c>
    </row>
    <row r="1905">
      <c r="A1905" s="15">
        <v>1901</v>
      </c>
      <c r="B1905" s="15" t="s">
        <v>87</v>
      </c>
      <c r="C1905" s="15" t="s">
        <v>88</v>
      </c>
      <c r="D1905" s="15" t="s">
        <v>1644</v>
      </c>
      <c r="E1905" s="15" t="s">
        <v>35</v>
      </c>
      <c r="F1905" s="15" t="s">
        <v>35</v>
      </c>
      <c r="G1905" s="15" t="s">
        <v>74</v>
      </c>
      <c r="H1905" s="15" t="s">
        <v>10476</v>
      </c>
      <c r="I1905" s="15" t="s">
        <v>10477</v>
      </c>
      <c r="J1905" s="15" t="s">
        <v>10478</v>
      </c>
      <c r="K1905" s="15" t="s">
        <v>190</v>
      </c>
      <c r="L1905" s="15" t="s">
        <v>191</v>
      </c>
      <c r="M1905" s="15" t="s">
        <v>888</v>
      </c>
      <c r="N1905" s="15" t="s">
        <v>889</v>
      </c>
      <c r="O1905" s="15" t="s">
        <v>98</v>
      </c>
      <c r="P1905" s="15" t="s">
        <v>1666</v>
      </c>
      <c r="Q1905" s="15" t="s">
        <v>1667</v>
      </c>
      <c r="R1905" s="16">
        <v>44329</v>
      </c>
      <c r="S1905" s="17" t="s">
        <v>35</v>
      </c>
      <c r="T1905" s="20">
        <f>HYPERLINK("https://vnm.spiral.com.vn//uploaded/20210513/44578603-9ad3-4684-8e14-68bcaee322a3.JPEG","11:36:20")</f>
      </c>
      <c r="U1905" s="20">
        <f>HYPERLINK("https://vnm.spiral.com.vn//uploaded/20210513/e0d927fb-b1a5-47b7-b742-0cd5343f8de9.JPEG","11:54:12")</f>
      </c>
      <c r="V1905" s="18">
        <v>0.012407407407407407</v>
      </c>
      <c r="W1905" s="15" t="s">
        <v>10479</v>
      </c>
      <c r="X1905" s="15" t="s">
        <v>10480</v>
      </c>
      <c r="Y1905" s="15" t="s">
        <v>35</v>
      </c>
      <c r="Z1905" s="19">
        <v>0</v>
      </c>
      <c r="AA1905" s="15">
        <v>0</v>
      </c>
      <c r="AB1905" s="15" t="s">
        <v>35</v>
      </c>
    </row>
    <row r="1906">
      <c r="A1906" s="15">
        <v>1902</v>
      </c>
      <c r="B1906" s="15" t="s">
        <v>343</v>
      </c>
      <c r="C1906" s="15" t="s">
        <v>344</v>
      </c>
      <c r="D1906" s="15" t="s">
        <v>35</v>
      </c>
      <c r="E1906" s="15" t="s">
        <v>35</v>
      </c>
      <c r="F1906" s="15" t="s">
        <v>35</v>
      </c>
      <c r="G1906" s="15" t="s">
        <v>74</v>
      </c>
      <c r="H1906" s="15" t="s">
        <v>10481</v>
      </c>
      <c r="I1906" s="15" t="s">
        <v>10482</v>
      </c>
      <c r="J1906" s="15" t="s">
        <v>10483</v>
      </c>
      <c r="K1906" s="15" t="s">
        <v>584</v>
      </c>
      <c r="L1906" s="15" t="s">
        <v>585</v>
      </c>
      <c r="M1906" s="15" t="s">
        <v>827</v>
      </c>
      <c r="N1906" s="15" t="s">
        <v>828</v>
      </c>
      <c r="O1906" s="15" t="s">
        <v>82</v>
      </c>
      <c r="P1906" s="15" t="s">
        <v>2484</v>
      </c>
      <c r="Q1906" s="15" t="s">
        <v>2485</v>
      </c>
      <c r="R1906" s="16">
        <v>44329</v>
      </c>
      <c r="S1906" s="17" t="s">
        <v>70</v>
      </c>
      <c r="T1906" s="20">
        <f>HYPERLINK("https://vnm.spiral.com.vn//uploaded/20210513/89E312FE-8D72-4C2E-9CF0-29D49482D9C3.jpg","11:05:23")</f>
      </c>
      <c r="U1906" s="20">
        <f>HYPERLINK("https://vnm.spiral.com.vn//uploaded/20210513/D0CBA7AA-355B-447B-ADE5-E402E7737D8F.jpg","11:53:55")</f>
      </c>
      <c r="V1906" s="18">
        <v>0.0337037037037037</v>
      </c>
      <c r="W1906" s="15" t="s">
        <v>10484</v>
      </c>
      <c r="X1906" s="15" t="s">
        <v>9779</v>
      </c>
      <c r="Y1906" s="15" t="s">
        <v>35</v>
      </c>
      <c r="Z1906" s="19">
        <v>0</v>
      </c>
      <c r="AA1906" s="15">
        <v>0</v>
      </c>
      <c r="AB1906" s="15" t="s">
        <v>35</v>
      </c>
    </row>
    <row r="1907">
      <c r="A1907" s="15">
        <v>1903</v>
      </c>
      <c r="B1907" s="15" t="s">
        <v>61</v>
      </c>
      <c r="C1907" s="15" t="s">
        <v>904</v>
      </c>
      <c r="D1907" s="15" t="s">
        <v>89</v>
      </c>
      <c r="E1907" s="15" t="s">
        <v>90</v>
      </c>
      <c r="F1907" s="15" t="s">
        <v>35</v>
      </c>
      <c r="G1907" s="15" t="s">
        <v>74</v>
      </c>
      <c r="H1907" s="15" t="s">
        <v>3585</v>
      </c>
      <c r="I1907" s="15" t="s">
        <v>3586</v>
      </c>
      <c r="J1907" s="15" t="s">
        <v>3587</v>
      </c>
      <c r="K1907" s="15" t="s">
        <v>1586</v>
      </c>
      <c r="L1907" s="15" t="s">
        <v>1587</v>
      </c>
      <c r="M1907" s="15" t="s">
        <v>1588</v>
      </c>
      <c r="N1907" s="15" t="s">
        <v>1589</v>
      </c>
      <c r="O1907" s="15" t="s">
        <v>156</v>
      </c>
      <c r="P1907" s="15" t="s">
        <v>10485</v>
      </c>
      <c r="Q1907" s="15" t="s">
        <v>6352</v>
      </c>
      <c r="R1907" s="16">
        <v>44329</v>
      </c>
      <c r="S1907" s="17" t="s">
        <v>9455</v>
      </c>
      <c r="T1907" s="20">
        <f>HYPERLINK("https://vnm.spiral.com.vn//uploaded/20210513/DAAE2E12-F792-4ABD-88F1-8C964DEA8800.jpg","11:53:47")</f>
      </c>
      <c r="U1907" s="18"/>
      <c r="V1907" s="18" t="s">
        <v>35</v>
      </c>
      <c r="W1907" s="15" t="s">
        <v>10486</v>
      </c>
      <c r="X1907" s="15" t="s">
        <v>35</v>
      </c>
      <c r="Y1907" s="15" t="s">
        <v>35</v>
      </c>
      <c r="Z1907" s="19">
        <v>0</v>
      </c>
      <c r="AA1907" s="15">
        <v>0</v>
      </c>
      <c r="AB1907" s="15" t="s">
        <v>35</v>
      </c>
    </row>
    <row r="1908">
      <c r="A1908" s="15">
        <v>1904</v>
      </c>
      <c r="B1908" s="15" t="s">
        <v>87</v>
      </c>
      <c r="C1908" s="15" t="s">
        <v>88</v>
      </c>
      <c r="D1908" s="15" t="s">
        <v>35</v>
      </c>
      <c r="E1908" s="15" t="s">
        <v>35</v>
      </c>
      <c r="F1908" s="15" t="s">
        <v>35</v>
      </c>
      <c r="G1908" s="15" t="s">
        <v>36</v>
      </c>
      <c r="H1908" s="15" t="s">
        <v>10487</v>
      </c>
      <c r="I1908" s="15" t="s">
        <v>10488</v>
      </c>
      <c r="J1908" s="15" t="s">
        <v>10489</v>
      </c>
      <c r="K1908" s="15" t="s">
        <v>40</v>
      </c>
      <c r="L1908" s="15" t="s">
        <v>41</v>
      </c>
      <c r="M1908" s="15" t="s">
        <v>289</v>
      </c>
      <c r="N1908" s="15" t="s">
        <v>290</v>
      </c>
      <c r="O1908" s="15" t="s">
        <v>44</v>
      </c>
      <c r="P1908" s="15" t="s">
        <v>10490</v>
      </c>
      <c r="Q1908" s="15" t="s">
        <v>10491</v>
      </c>
      <c r="R1908" s="16">
        <v>44329</v>
      </c>
      <c r="S1908" s="17" t="s">
        <v>7866</v>
      </c>
      <c r="T1908" s="20">
        <f>HYPERLINK("https://vnm.spiral.com.vn//uploaded/20210513/BF214A98-E9D6-4F89-BB2A-FA6EE5755E35.jpg","07:44:05")</f>
      </c>
      <c r="U1908" s="20">
        <f>HYPERLINK("https://vnm.spiral.com.vn//uploaded/20210513/72BA0AF4-6FB8-425F-A53D-ADD1FD59DDC6.jpg","11:53:45")</f>
      </c>
      <c r="V1908" s="18">
        <v>0.17337962962962963</v>
      </c>
      <c r="W1908" s="15" t="s">
        <v>10492</v>
      </c>
      <c r="X1908" s="15" t="s">
        <v>10493</v>
      </c>
      <c r="Y1908" s="15" t="s">
        <v>35</v>
      </c>
      <c r="Z1908" s="19">
        <v>0</v>
      </c>
      <c r="AA1908" s="15">
        <v>0</v>
      </c>
      <c r="AB1908" s="15" t="s">
        <v>35</v>
      </c>
    </row>
    <row r="1909">
      <c r="A1909" s="15">
        <v>1905</v>
      </c>
      <c r="B1909" s="15" t="s">
        <v>343</v>
      </c>
      <c r="C1909" s="15" t="s">
        <v>344</v>
      </c>
      <c r="D1909" s="15" t="s">
        <v>432</v>
      </c>
      <c r="E1909" s="15" t="s">
        <v>116</v>
      </c>
      <c r="F1909" s="15" t="s">
        <v>35</v>
      </c>
      <c r="G1909" s="15" t="s">
        <v>74</v>
      </c>
      <c r="H1909" s="15" t="s">
        <v>10494</v>
      </c>
      <c r="I1909" s="15" t="s">
        <v>10495</v>
      </c>
      <c r="J1909" s="15" t="s">
        <v>10496</v>
      </c>
      <c r="K1909" s="15" t="s">
        <v>1168</v>
      </c>
      <c r="L1909" s="15" t="s">
        <v>1169</v>
      </c>
      <c r="M1909" s="15" t="s">
        <v>1170</v>
      </c>
      <c r="N1909" s="15" t="s">
        <v>1171</v>
      </c>
      <c r="O1909" s="15" t="s">
        <v>82</v>
      </c>
      <c r="P1909" s="15" t="s">
        <v>4370</v>
      </c>
      <c r="Q1909" s="15" t="s">
        <v>4371</v>
      </c>
      <c r="R1909" s="16">
        <v>44329</v>
      </c>
      <c r="S1909" s="17" t="s">
        <v>70</v>
      </c>
      <c r="T1909" s="20">
        <f>HYPERLINK("https://vnm.spiral.com.vn//uploaded/20210513/FC207AD0-FD1B-4CCA-ACAB-5B03E28577E6.jpg","10:30:43")</f>
      </c>
      <c r="U1909" s="20">
        <f>HYPERLINK("https://vnm.spiral.com.vn//uploaded/20210513/A8386813-6F71-470E-9198-A534D18A545B.jpg","11:53:44")</f>
      </c>
      <c r="V1909" s="18">
        <v>0.057650462962962966</v>
      </c>
      <c r="W1909" s="15" t="s">
        <v>10497</v>
      </c>
      <c r="X1909" s="15" t="s">
        <v>10498</v>
      </c>
      <c r="Y1909" s="15" t="s">
        <v>35</v>
      </c>
      <c r="Z1909" s="19">
        <v>0</v>
      </c>
      <c r="AA1909" s="15">
        <v>0</v>
      </c>
      <c r="AB1909" s="15" t="s">
        <v>35</v>
      </c>
    </row>
    <row r="1910">
      <c r="A1910" s="15">
        <v>1906</v>
      </c>
      <c r="B1910" s="15" t="s">
        <v>103</v>
      </c>
      <c r="C1910" s="15" t="s">
        <v>186</v>
      </c>
      <c r="D1910" s="15" t="s">
        <v>35</v>
      </c>
      <c r="E1910" s="15" t="s">
        <v>35</v>
      </c>
      <c r="F1910" s="15" t="s">
        <v>6748</v>
      </c>
      <c r="G1910" s="15" t="s">
        <v>36</v>
      </c>
      <c r="H1910" s="15" t="s">
        <v>6749</v>
      </c>
      <c r="I1910" s="15" t="s">
        <v>2079</v>
      </c>
      <c r="J1910" s="15" t="s">
        <v>6750</v>
      </c>
      <c r="K1910" s="15" t="s">
        <v>40</v>
      </c>
      <c r="L1910" s="15" t="s">
        <v>41</v>
      </c>
      <c r="M1910" s="15" t="s">
        <v>565</v>
      </c>
      <c r="N1910" s="15" t="s">
        <v>566</v>
      </c>
      <c r="O1910" s="15" t="s">
        <v>44</v>
      </c>
      <c r="P1910" s="15" t="s">
        <v>6751</v>
      </c>
      <c r="Q1910" s="15" t="s">
        <v>6752</v>
      </c>
      <c r="R1910" s="16">
        <v>44329</v>
      </c>
      <c r="S1910" s="17" t="s">
        <v>317</v>
      </c>
      <c r="T1910" s="20">
        <f>HYPERLINK("https://vnm.spiral.com.vn//uploaded/20210513/bb2f0dc6-35b9-4522-b196-c627226eb651.JPEG","07:59:05")</f>
      </c>
      <c r="U1910" s="20">
        <f>HYPERLINK("https://vnm.spiral.com.vn//uploaded/20210513/e43d1ece-5230-405c-9688-ed1a6dd61f32.JPEG","11:53:34")</f>
      </c>
      <c r="V1910" s="18">
        <v>0.16283564814814816</v>
      </c>
      <c r="W1910" s="15" t="s">
        <v>10499</v>
      </c>
      <c r="X1910" s="15" t="s">
        <v>10500</v>
      </c>
      <c r="Y1910" s="15" t="s">
        <v>35</v>
      </c>
      <c r="Z1910" s="19">
        <v>0</v>
      </c>
      <c r="AA1910" s="15">
        <v>0</v>
      </c>
      <c r="AB1910" s="15" t="s">
        <v>35</v>
      </c>
    </row>
    <row r="1911">
      <c r="A1911" s="15">
        <v>1907</v>
      </c>
      <c r="B1911" s="15" t="s">
        <v>87</v>
      </c>
      <c r="C1911" s="15" t="s">
        <v>88</v>
      </c>
      <c r="D1911" s="15" t="s">
        <v>35</v>
      </c>
      <c r="E1911" s="15" t="s">
        <v>35</v>
      </c>
      <c r="F1911" s="15" t="s">
        <v>2773</v>
      </c>
      <c r="G1911" s="15" t="s">
        <v>36</v>
      </c>
      <c r="H1911" s="15" t="s">
        <v>4589</v>
      </c>
      <c r="I1911" s="15" t="s">
        <v>4590</v>
      </c>
      <c r="J1911" s="15" t="s">
        <v>4591</v>
      </c>
      <c r="K1911" s="15" t="s">
        <v>40</v>
      </c>
      <c r="L1911" s="15" t="s">
        <v>41</v>
      </c>
      <c r="M1911" s="15" t="s">
        <v>810</v>
      </c>
      <c r="N1911" s="15" t="s">
        <v>811</v>
      </c>
      <c r="O1911" s="15" t="s">
        <v>44</v>
      </c>
      <c r="P1911" s="15" t="s">
        <v>4592</v>
      </c>
      <c r="Q1911" s="15" t="s">
        <v>4593</v>
      </c>
      <c r="R1911" s="16">
        <v>44329</v>
      </c>
      <c r="S1911" s="17" t="s">
        <v>317</v>
      </c>
      <c r="T1911" s="20">
        <f>HYPERLINK("https://vnm.spiral.com.vn//uploaded/20210513/bebe043c-8b48-4874-8d99-a21814591b00.JPEG","08:04:48")</f>
      </c>
      <c r="U1911" s="20">
        <f>HYPERLINK("https://vnm.spiral.com.vn//uploaded/20210513/c9cf2cda-bcfe-4aa1-af37-7204c2ab81ba.JPEG","11:53:17")</f>
      </c>
      <c r="V1911" s="18">
        <v>0.15866898148148148</v>
      </c>
      <c r="W1911" s="15" t="s">
        <v>10501</v>
      </c>
      <c r="X1911" s="15" t="s">
        <v>10502</v>
      </c>
      <c r="Y1911" s="15" t="s">
        <v>35</v>
      </c>
      <c r="Z1911" s="19">
        <v>0</v>
      </c>
      <c r="AA1911" s="15">
        <v>0</v>
      </c>
      <c r="AB1911" s="15" t="s">
        <v>35</v>
      </c>
    </row>
    <row r="1912">
      <c r="A1912" s="15">
        <v>1908</v>
      </c>
      <c r="B1912" s="15" t="s">
        <v>61</v>
      </c>
      <c r="C1912" s="15" t="s">
        <v>62</v>
      </c>
      <c r="D1912" s="15" t="s">
        <v>35</v>
      </c>
      <c r="E1912" s="15" t="s">
        <v>35</v>
      </c>
      <c r="F1912" s="15" t="s">
        <v>35</v>
      </c>
      <c r="G1912" s="15" t="s">
        <v>36</v>
      </c>
      <c r="H1912" s="15" t="s">
        <v>10503</v>
      </c>
      <c r="I1912" s="15" t="s">
        <v>10504</v>
      </c>
      <c r="J1912" s="15" t="s">
        <v>10505</v>
      </c>
      <c r="K1912" s="15" t="s">
        <v>40</v>
      </c>
      <c r="L1912" s="15" t="s">
        <v>41</v>
      </c>
      <c r="M1912" s="15" t="s">
        <v>66</v>
      </c>
      <c r="N1912" s="15" t="s">
        <v>67</v>
      </c>
      <c r="O1912" s="15" t="s">
        <v>44</v>
      </c>
      <c r="P1912" s="15" t="s">
        <v>10506</v>
      </c>
      <c r="Q1912" s="15" t="s">
        <v>10507</v>
      </c>
      <c r="R1912" s="16">
        <v>44329</v>
      </c>
      <c r="S1912" s="17" t="s">
        <v>9803</v>
      </c>
      <c r="T1912" s="20">
        <f>HYPERLINK("https://vnm.spiral.com.vn//uploaded/20210513/f22a32f8-c26e-4bd5-910d-f21913f1f6eb.JPEG","11:53:13")</f>
      </c>
      <c r="U1912" s="18"/>
      <c r="V1912" s="18" t="s">
        <v>35</v>
      </c>
      <c r="W1912" s="15" t="s">
        <v>10508</v>
      </c>
      <c r="X1912" s="15" t="s">
        <v>35</v>
      </c>
      <c r="Y1912" s="15" t="s">
        <v>35</v>
      </c>
      <c r="Z1912" s="19">
        <v>0</v>
      </c>
      <c r="AA1912" s="15">
        <v>0</v>
      </c>
      <c r="AB1912" s="15" t="s">
        <v>35</v>
      </c>
    </row>
    <row r="1913">
      <c r="A1913" s="15">
        <v>1909</v>
      </c>
      <c r="B1913" s="15" t="s">
        <v>61</v>
      </c>
      <c r="C1913" s="15" t="s">
        <v>442</v>
      </c>
      <c r="D1913" s="15" t="s">
        <v>35</v>
      </c>
      <c r="E1913" s="15" t="s">
        <v>35</v>
      </c>
      <c r="F1913" s="15" t="s">
        <v>35</v>
      </c>
      <c r="G1913" s="15" t="s">
        <v>36</v>
      </c>
      <c r="H1913" s="15" t="s">
        <v>10509</v>
      </c>
      <c r="I1913" s="15" t="s">
        <v>10510</v>
      </c>
      <c r="J1913" s="15" t="s">
        <v>10511</v>
      </c>
      <c r="K1913" s="15" t="s">
        <v>40</v>
      </c>
      <c r="L1913" s="15" t="s">
        <v>41</v>
      </c>
      <c r="M1913" s="15" t="s">
        <v>205</v>
      </c>
      <c r="N1913" s="15" t="s">
        <v>206</v>
      </c>
      <c r="O1913" s="15" t="s">
        <v>44</v>
      </c>
      <c r="P1913" s="15" t="s">
        <v>10512</v>
      </c>
      <c r="Q1913" s="15" t="s">
        <v>10513</v>
      </c>
      <c r="R1913" s="16">
        <v>44329</v>
      </c>
      <c r="S1913" s="17" t="s">
        <v>9455</v>
      </c>
      <c r="T1913" s="20">
        <f>HYPERLINK("https://vnm.spiral.com.vn//uploaded/20210513/52C2C8FC-172D-48C0-8307-2B3623429C9A.jpg","11:53:01")</f>
      </c>
      <c r="U1913" s="18"/>
      <c r="V1913" s="18" t="s">
        <v>35</v>
      </c>
      <c r="W1913" s="15" t="s">
        <v>10514</v>
      </c>
      <c r="X1913" s="15" t="s">
        <v>35</v>
      </c>
      <c r="Y1913" s="15" t="s">
        <v>35</v>
      </c>
      <c r="Z1913" s="19">
        <v>0</v>
      </c>
      <c r="AA1913" s="15">
        <v>0</v>
      </c>
      <c r="AB1913" s="15" t="s">
        <v>35</v>
      </c>
    </row>
    <row r="1914">
      <c r="A1914" s="15">
        <v>1910</v>
      </c>
      <c r="B1914" s="15" t="s">
        <v>61</v>
      </c>
      <c r="C1914" s="15" t="s">
        <v>303</v>
      </c>
      <c r="D1914" s="15" t="s">
        <v>115</v>
      </c>
      <c r="E1914" s="15" t="s">
        <v>116</v>
      </c>
      <c r="F1914" s="15" t="s">
        <v>35</v>
      </c>
      <c r="G1914" s="15" t="s">
        <v>74</v>
      </c>
      <c r="H1914" s="15" t="s">
        <v>10515</v>
      </c>
      <c r="I1914" s="15" t="s">
        <v>10516</v>
      </c>
      <c r="J1914" s="15" t="s">
        <v>10517</v>
      </c>
      <c r="K1914" s="15" t="s">
        <v>232</v>
      </c>
      <c r="L1914" s="15" t="s">
        <v>233</v>
      </c>
      <c r="M1914" s="15" t="s">
        <v>503</v>
      </c>
      <c r="N1914" s="15" t="s">
        <v>504</v>
      </c>
      <c r="O1914" s="15" t="s">
        <v>82</v>
      </c>
      <c r="P1914" s="15" t="s">
        <v>505</v>
      </c>
      <c r="Q1914" s="15" t="s">
        <v>506</v>
      </c>
      <c r="R1914" s="16">
        <v>44329</v>
      </c>
      <c r="S1914" s="17" t="s">
        <v>70</v>
      </c>
      <c r="T1914" s="20">
        <f>HYPERLINK("https://vnm.spiral.com.vn//uploaded/20210513/59E1EF10-CD3F-469D-B2B9-90AA1716BAD0.jpg","08:48:29")</f>
      </c>
      <c r="U1914" s="20">
        <f>HYPERLINK("https://vnm.spiral.com.vn//uploaded/20210513/CC5E83BF-F74F-445B-8486-BC336D346C7B.jpg","11:52:57")</f>
      </c>
      <c r="V1914" s="18">
        <v>0.12810185185185186</v>
      </c>
      <c r="W1914" s="15" t="s">
        <v>10518</v>
      </c>
      <c r="X1914" s="15" t="s">
        <v>10519</v>
      </c>
      <c r="Y1914" s="15" t="s">
        <v>35</v>
      </c>
      <c r="Z1914" s="19">
        <v>0</v>
      </c>
      <c r="AA1914" s="15">
        <v>0</v>
      </c>
      <c r="AB1914" s="15" t="s">
        <v>35</v>
      </c>
    </row>
    <row r="1915">
      <c r="A1915" s="15">
        <v>1911</v>
      </c>
      <c r="B1915" s="15" t="s">
        <v>103</v>
      </c>
      <c r="C1915" s="15" t="s">
        <v>1078</v>
      </c>
      <c r="D1915" s="15" t="s">
        <v>35</v>
      </c>
      <c r="E1915" s="15" t="s">
        <v>35</v>
      </c>
      <c r="F1915" s="15" t="s">
        <v>35</v>
      </c>
      <c r="G1915" s="15" t="s">
        <v>36</v>
      </c>
      <c r="H1915" s="15" t="s">
        <v>8563</v>
      </c>
      <c r="I1915" s="15" t="s">
        <v>8564</v>
      </c>
      <c r="J1915" s="15" t="s">
        <v>8565</v>
      </c>
      <c r="K1915" s="15" t="s">
        <v>40</v>
      </c>
      <c r="L1915" s="15" t="s">
        <v>41</v>
      </c>
      <c r="M1915" s="15" t="s">
        <v>565</v>
      </c>
      <c r="N1915" s="15" t="s">
        <v>566</v>
      </c>
      <c r="O1915" s="15" t="s">
        <v>44</v>
      </c>
      <c r="P1915" s="15" t="s">
        <v>8566</v>
      </c>
      <c r="Q1915" s="15" t="s">
        <v>8567</v>
      </c>
      <c r="R1915" s="16">
        <v>44329</v>
      </c>
      <c r="S1915" s="17" t="s">
        <v>9664</v>
      </c>
      <c r="T1915" s="20">
        <f>HYPERLINK("https://vnm.spiral.com.vn//uploaded/20210513/2c2266c4-01ed-49dd-a155-e0360035a888.JPEG","07:36:38")</f>
      </c>
      <c r="U1915" s="20">
        <f>HYPERLINK("https://vnm.spiral.com.vn//uploaded/20210513/81e543cc-0a10-4aef-99c5-b4f331215d6a.JPEG","11:52:50")</f>
      </c>
      <c r="V1915" s="18">
        <v>0.17791666666666667</v>
      </c>
      <c r="W1915" s="15" t="s">
        <v>10520</v>
      </c>
      <c r="X1915" s="15" t="s">
        <v>10521</v>
      </c>
      <c r="Y1915" s="15" t="s">
        <v>35</v>
      </c>
      <c r="Z1915" s="19">
        <v>0</v>
      </c>
      <c r="AA1915" s="15">
        <v>0</v>
      </c>
      <c r="AB1915" s="15" t="s">
        <v>35</v>
      </c>
    </row>
    <row r="1916">
      <c r="A1916" s="15">
        <v>1912</v>
      </c>
      <c r="B1916" s="15" t="s">
        <v>343</v>
      </c>
      <c r="C1916" s="15" t="s">
        <v>3117</v>
      </c>
      <c r="D1916" s="15" t="s">
        <v>35</v>
      </c>
      <c r="E1916" s="15" t="s">
        <v>35</v>
      </c>
      <c r="F1916" s="15" t="s">
        <v>35</v>
      </c>
      <c r="G1916" s="15" t="s">
        <v>36</v>
      </c>
      <c r="H1916" s="15" t="s">
        <v>8777</v>
      </c>
      <c r="I1916" s="15" t="s">
        <v>8778</v>
      </c>
      <c r="J1916" s="15" t="s">
        <v>8779</v>
      </c>
      <c r="K1916" s="15" t="s">
        <v>40</v>
      </c>
      <c r="L1916" s="15" t="s">
        <v>41</v>
      </c>
      <c r="M1916" s="15" t="s">
        <v>595</v>
      </c>
      <c r="N1916" s="15" t="s">
        <v>596</v>
      </c>
      <c r="O1916" s="15" t="s">
        <v>44</v>
      </c>
      <c r="P1916" s="15" t="s">
        <v>8780</v>
      </c>
      <c r="Q1916" s="15" t="s">
        <v>8781</v>
      </c>
      <c r="R1916" s="16">
        <v>44329</v>
      </c>
      <c r="S1916" s="17" t="s">
        <v>317</v>
      </c>
      <c r="T1916" s="20">
        <f>HYPERLINK("https://vnm.spiral.com.vn//uploaded/20210513/45FFF2F3-7011-4DB1-9883-306CE69A7BC5.jpg","08:00:43")</f>
      </c>
      <c r="U1916" s="20">
        <f>HYPERLINK("https://vnm.spiral.com.vn//uploaded/20210513/E85C7A74-17DC-45EB-8CF5-A3DF1B9708E9.jpg","11:52:41")</f>
      </c>
      <c r="V1916" s="18">
        <v>0.16108796296296296</v>
      </c>
      <c r="W1916" s="15" t="s">
        <v>10522</v>
      </c>
      <c r="X1916" s="15" t="s">
        <v>10523</v>
      </c>
      <c r="Y1916" s="15" t="s">
        <v>35</v>
      </c>
      <c r="Z1916" s="19">
        <v>0</v>
      </c>
      <c r="AA1916" s="15">
        <v>0</v>
      </c>
      <c r="AB1916" s="15" t="s">
        <v>35</v>
      </c>
    </row>
    <row r="1917">
      <c r="A1917" s="15">
        <v>1913</v>
      </c>
      <c r="B1917" s="15" t="s">
        <v>246</v>
      </c>
      <c r="C1917" s="15" t="s">
        <v>276</v>
      </c>
      <c r="D1917" s="15" t="s">
        <v>35</v>
      </c>
      <c r="E1917" s="15" t="s">
        <v>35</v>
      </c>
      <c r="F1917" s="15" t="s">
        <v>1182</v>
      </c>
      <c r="G1917" s="15" t="s">
        <v>36</v>
      </c>
      <c r="H1917" s="15" t="s">
        <v>10524</v>
      </c>
      <c r="I1917" s="15" t="s">
        <v>10525</v>
      </c>
      <c r="J1917" s="15" t="s">
        <v>10526</v>
      </c>
      <c r="K1917" s="15" t="s">
        <v>40</v>
      </c>
      <c r="L1917" s="15" t="s">
        <v>41</v>
      </c>
      <c r="M1917" s="15" t="s">
        <v>252</v>
      </c>
      <c r="N1917" s="15" t="s">
        <v>253</v>
      </c>
      <c r="O1917" s="15" t="s">
        <v>44</v>
      </c>
      <c r="P1917" s="15" t="s">
        <v>10527</v>
      </c>
      <c r="Q1917" s="15" t="s">
        <v>10528</v>
      </c>
      <c r="R1917" s="16">
        <v>44329</v>
      </c>
      <c r="S1917" s="17" t="s">
        <v>5871</v>
      </c>
      <c r="T1917" s="20">
        <f>HYPERLINK("https://vnm.spiral.com.vn//uploaded/20210513/4a7d0b62-0f86-4b36-a967-86b7cfcfd341.JPEG","11:52:37")</f>
      </c>
      <c r="U1917" s="18"/>
      <c r="V1917" s="18" t="s">
        <v>35</v>
      </c>
      <c r="W1917" s="15" t="s">
        <v>10529</v>
      </c>
      <c r="X1917" s="15" t="s">
        <v>35</v>
      </c>
      <c r="Y1917" s="15" t="s">
        <v>35</v>
      </c>
      <c r="Z1917" s="19">
        <v>0</v>
      </c>
      <c r="AA1917" s="15">
        <v>0</v>
      </c>
      <c r="AB1917" s="15" t="s">
        <v>35</v>
      </c>
    </row>
    <row r="1918">
      <c r="A1918" s="15">
        <v>1914</v>
      </c>
      <c r="B1918" s="15" t="s">
        <v>49</v>
      </c>
      <c r="C1918" s="15" t="s">
        <v>50</v>
      </c>
      <c r="D1918" s="15" t="s">
        <v>35</v>
      </c>
      <c r="E1918" s="15" t="s">
        <v>35</v>
      </c>
      <c r="F1918" s="15" t="s">
        <v>51</v>
      </c>
      <c r="G1918" s="15" t="s">
        <v>36</v>
      </c>
      <c r="H1918" s="15" t="s">
        <v>4471</v>
      </c>
      <c r="I1918" s="15" t="s">
        <v>4472</v>
      </c>
      <c r="J1918" s="15" t="s">
        <v>4473</v>
      </c>
      <c r="K1918" s="15" t="s">
        <v>40</v>
      </c>
      <c r="L1918" s="15" t="s">
        <v>41</v>
      </c>
      <c r="M1918" s="15" t="s">
        <v>55</v>
      </c>
      <c r="N1918" s="15" t="s">
        <v>56</v>
      </c>
      <c r="O1918" s="15" t="s">
        <v>44</v>
      </c>
      <c r="P1918" s="15" t="s">
        <v>4474</v>
      </c>
      <c r="Q1918" s="15" t="s">
        <v>4475</v>
      </c>
      <c r="R1918" s="16">
        <v>44329</v>
      </c>
      <c r="S1918" s="17" t="s">
        <v>317</v>
      </c>
      <c r="T1918" s="20">
        <f>HYPERLINK("https://vnm.spiral.com.vn//uploaded/20210513/475dc9db-53d0-469d-b7a9-b0798342e5de.JPEG","08:12:27")</f>
      </c>
      <c r="U1918" s="20">
        <f>HYPERLINK("https://vnm.spiral.com.vn//uploaded/20210513/6e335b19-6fda-4540-9725-e152cf435ae0.JPEG","11:52:33")</f>
      </c>
      <c r="V1918" s="18">
        <v>0.15284722222222222</v>
      </c>
      <c r="W1918" s="15" t="s">
        <v>10530</v>
      </c>
      <c r="X1918" s="15" t="s">
        <v>10531</v>
      </c>
      <c r="Y1918" s="15" t="s">
        <v>35</v>
      </c>
      <c r="Z1918" s="19">
        <v>0</v>
      </c>
      <c r="AA1918" s="15">
        <v>0</v>
      </c>
      <c r="AB1918" s="15" t="s">
        <v>35</v>
      </c>
    </row>
    <row r="1919">
      <c r="A1919" s="15">
        <v>1915</v>
      </c>
      <c r="B1919" s="15" t="s">
        <v>33</v>
      </c>
      <c r="C1919" s="15" t="s">
        <v>765</v>
      </c>
      <c r="D1919" s="15" t="s">
        <v>35</v>
      </c>
      <c r="E1919" s="15" t="s">
        <v>35</v>
      </c>
      <c r="F1919" s="15" t="s">
        <v>35</v>
      </c>
      <c r="G1919" s="15" t="s">
        <v>36</v>
      </c>
      <c r="H1919" s="15" t="s">
        <v>10532</v>
      </c>
      <c r="I1919" s="15" t="s">
        <v>10533</v>
      </c>
      <c r="J1919" s="15" t="s">
        <v>10534</v>
      </c>
      <c r="K1919" s="15" t="s">
        <v>40</v>
      </c>
      <c r="L1919" s="15" t="s">
        <v>41</v>
      </c>
      <c r="M1919" s="15" t="s">
        <v>42</v>
      </c>
      <c r="N1919" s="15" t="s">
        <v>43</v>
      </c>
      <c r="O1919" s="15" t="s">
        <v>44</v>
      </c>
      <c r="P1919" s="15" t="s">
        <v>6669</v>
      </c>
      <c r="Q1919" s="15" t="s">
        <v>6670</v>
      </c>
      <c r="R1919" s="16">
        <v>44329</v>
      </c>
      <c r="S1919" s="17" t="s">
        <v>317</v>
      </c>
      <c r="T1919" s="20">
        <f>HYPERLINK("https://vnm.spiral.com.vn//uploaded/20210513/B3A4F44E-B15B-4EA7-B935-FF3AE76F7206.jpg","08:06:41")</f>
      </c>
      <c r="U1919" s="20">
        <f>HYPERLINK("https://vnm.spiral.com.vn//uploaded/20210513/269D1EDB-C6DF-4C56-9C41-9F763CCC8ADE.jpg","11:52:12")</f>
      </c>
      <c r="V1919" s="18">
        <v>0.1566087962962963</v>
      </c>
      <c r="W1919" s="15" t="s">
        <v>10535</v>
      </c>
      <c r="X1919" s="15" t="s">
        <v>10536</v>
      </c>
      <c r="Y1919" s="15" t="s">
        <v>35</v>
      </c>
      <c r="Z1919" s="19">
        <v>0</v>
      </c>
      <c r="AA1919" s="15">
        <v>0</v>
      </c>
      <c r="AB1919" s="15" t="s">
        <v>35</v>
      </c>
    </row>
    <row r="1920">
      <c r="A1920" s="15">
        <v>1916</v>
      </c>
      <c r="B1920" s="15" t="s">
        <v>87</v>
      </c>
      <c r="C1920" s="15" t="s">
        <v>88</v>
      </c>
      <c r="D1920" s="15" t="s">
        <v>35</v>
      </c>
      <c r="E1920" s="15" t="s">
        <v>35</v>
      </c>
      <c r="F1920" s="15" t="s">
        <v>2721</v>
      </c>
      <c r="G1920" s="15" t="s">
        <v>36</v>
      </c>
      <c r="H1920" s="15" t="s">
        <v>5984</v>
      </c>
      <c r="I1920" s="15" t="s">
        <v>4103</v>
      </c>
      <c r="J1920" s="15" t="s">
        <v>5985</v>
      </c>
      <c r="K1920" s="15" t="s">
        <v>40</v>
      </c>
      <c r="L1920" s="15" t="s">
        <v>41</v>
      </c>
      <c r="M1920" s="15" t="s">
        <v>1195</v>
      </c>
      <c r="N1920" s="15" t="s">
        <v>1196</v>
      </c>
      <c r="O1920" s="15" t="s">
        <v>44</v>
      </c>
      <c r="P1920" s="15" t="s">
        <v>5986</v>
      </c>
      <c r="Q1920" s="15" t="s">
        <v>5987</v>
      </c>
      <c r="R1920" s="16">
        <v>44329</v>
      </c>
      <c r="S1920" s="17" t="s">
        <v>317</v>
      </c>
      <c r="T1920" s="20">
        <f>HYPERLINK("https://vnm.spiral.com.vn//uploaded/20210513/31000b54-1104-427a-a11f-0c78f9de5559.JPEG","06:56:25")</f>
      </c>
      <c r="U1920" s="20">
        <f>HYPERLINK("https://vnm.spiral.com.vn//uploaded/20210513/74400169-bcd5-44b2-99aa-a167f1bcf45a.JPEG","11:52:07")</f>
      </c>
      <c r="V1920" s="18">
        <v>0.2053472222222222</v>
      </c>
      <c r="W1920" s="15" t="s">
        <v>10537</v>
      </c>
      <c r="X1920" s="15" t="s">
        <v>10538</v>
      </c>
      <c r="Y1920" s="15" t="s">
        <v>35</v>
      </c>
      <c r="Z1920" s="19">
        <v>0</v>
      </c>
      <c r="AA1920" s="15">
        <v>0</v>
      </c>
      <c r="AB1920" s="15" t="s">
        <v>35</v>
      </c>
    </row>
    <row r="1921">
      <c r="A1921" s="15">
        <v>1917</v>
      </c>
      <c r="B1921" s="15" t="s">
        <v>246</v>
      </c>
      <c r="C1921" s="15" t="s">
        <v>276</v>
      </c>
      <c r="D1921" s="15" t="s">
        <v>35</v>
      </c>
      <c r="E1921" s="15" t="s">
        <v>35</v>
      </c>
      <c r="F1921" s="15" t="s">
        <v>1182</v>
      </c>
      <c r="G1921" s="15" t="s">
        <v>36</v>
      </c>
      <c r="H1921" s="15" t="s">
        <v>10524</v>
      </c>
      <c r="I1921" s="15" t="s">
        <v>10525</v>
      </c>
      <c r="J1921" s="15" t="s">
        <v>10526</v>
      </c>
      <c r="K1921" s="15" t="s">
        <v>40</v>
      </c>
      <c r="L1921" s="15" t="s">
        <v>41</v>
      </c>
      <c r="M1921" s="15" t="s">
        <v>252</v>
      </c>
      <c r="N1921" s="15" t="s">
        <v>253</v>
      </c>
      <c r="O1921" s="15" t="s">
        <v>44</v>
      </c>
      <c r="P1921" s="15" t="s">
        <v>10527</v>
      </c>
      <c r="Q1921" s="15" t="s">
        <v>10528</v>
      </c>
      <c r="R1921" s="16">
        <v>44329</v>
      </c>
      <c r="S1921" s="17" t="s">
        <v>9925</v>
      </c>
      <c r="T1921" s="20">
        <f>HYPERLINK("https://vnm.spiral.com.vn//uploaded/20210513/be370d1c-1f5d-4f76-aef0-00d441c51daa.JPEG","08:37:11")</f>
      </c>
      <c r="U1921" s="20">
        <f>HYPERLINK("https://vnm.spiral.com.vn//uploaded/20210513/de63822d-295f-43e5-bf4e-31114508bb01.JPEG","11:52:07")</f>
      </c>
      <c r="V1921" s="18">
        <v>0.13537037037037036</v>
      </c>
      <c r="W1921" s="15" t="s">
        <v>10539</v>
      </c>
      <c r="X1921" s="15" t="s">
        <v>10540</v>
      </c>
      <c r="Y1921" s="15" t="s">
        <v>35</v>
      </c>
      <c r="Z1921" s="19">
        <v>0</v>
      </c>
      <c r="AA1921" s="15">
        <v>0</v>
      </c>
      <c r="AB1921" s="15" t="s">
        <v>35</v>
      </c>
    </row>
    <row r="1922">
      <c r="A1922" s="15">
        <v>1918</v>
      </c>
      <c r="B1922" s="15" t="s">
        <v>61</v>
      </c>
      <c r="C1922" s="15" t="s">
        <v>320</v>
      </c>
      <c r="D1922" s="15" t="s">
        <v>135</v>
      </c>
      <c r="E1922" s="15" t="s">
        <v>116</v>
      </c>
      <c r="F1922" s="15" t="s">
        <v>35</v>
      </c>
      <c r="G1922" s="15" t="s">
        <v>74</v>
      </c>
      <c r="H1922" s="15" t="s">
        <v>10541</v>
      </c>
      <c r="I1922" s="15" t="s">
        <v>10542</v>
      </c>
      <c r="J1922" s="15" t="s">
        <v>10543</v>
      </c>
      <c r="K1922" s="15" t="s">
        <v>154</v>
      </c>
      <c r="L1922" s="15" t="s">
        <v>155</v>
      </c>
      <c r="M1922" s="15" t="s">
        <v>2458</v>
      </c>
      <c r="N1922" s="15" t="s">
        <v>2459</v>
      </c>
      <c r="O1922" s="15" t="s">
        <v>82</v>
      </c>
      <c r="P1922" s="15" t="s">
        <v>4003</v>
      </c>
      <c r="Q1922" s="15" t="s">
        <v>4004</v>
      </c>
      <c r="R1922" s="16">
        <v>44329</v>
      </c>
      <c r="S1922" s="17" t="s">
        <v>70</v>
      </c>
      <c r="T1922" s="20">
        <f>HYPERLINK("https://vnm.spiral.com.vn//uploaded/20210513/9bff61b3-854d-4f6b-b857-d4e2d94c87c1.JPEG","10:09:12")</f>
      </c>
      <c r="U1922" s="20">
        <f>HYPERLINK("https://vnm.spiral.com.vn//uploaded/20210513/a7021a42-0f69-4a98-a8a5-70d410a6cf7b.JPEG","11:52:03")</f>
      </c>
      <c r="V1922" s="18">
        <v>0.0714236111111111</v>
      </c>
      <c r="W1922" s="15" t="s">
        <v>10544</v>
      </c>
      <c r="X1922" s="15" t="s">
        <v>10545</v>
      </c>
      <c r="Y1922" s="15" t="s">
        <v>35</v>
      </c>
      <c r="Z1922" s="19">
        <v>0</v>
      </c>
      <c r="AA1922" s="15">
        <v>0</v>
      </c>
      <c r="AB1922" s="15" t="s">
        <v>35</v>
      </c>
    </row>
    <row r="1923">
      <c r="A1923" s="15">
        <v>1919</v>
      </c>
      <c r="B1923" s="15" t="s">
        <v>87</v>
      </c>
      <c r="C1923" s="15" t="s">
        <v>88</v>
      </c>
      <c r="D1923" s="15" t="s">
        <v>35</v>
      </c>
      <c r="E1923" s="15" t="s">
        <v>35</v>
      </c>
      <c r="F1923" s="15" t="s">
        <v>1191</v>
      </c>
      <c r="G1923" s="15" t="s">
        <v>36</v>
      </c>
      <c r="H1923" s="15" t="s">
        <v>6679</v>
      </c>
      <c r="I1923" s="15" t="s">
        <v>6680</v>
      </c>
      <c r="J1923" s="15" t="s">
        <v>6681</v>
      </c>
      <c r="K1923" s="15" t="s">
        <v>40</v>
      </c>
      <c r="L1923" s="15" t="s">
        <v>41</v>
      </c>
      <c r="M1923" s="15" t="s">
        <v>1195</v>
      </c>
      <c r="N1923" s="15" t="s">
        <v>1196</v>
      </c>
      <c r="O1923" s="15" t="s">
        <v>44</v>
      </c>
      <c r="P1923" s="15" t="s">
        <v>6682</v>
      </c>
      <c r="Q1923" s="15" t="s">
        <v>6683</v>
      </c>
      <c r="R1923" s="16">
        <v>44329</v>
      </c>
      <c r="S1923" s="17" t="s">
        <v>9925</v>
      </c>
      <c r="T1923" s="20">
        <f>HYPERLINK("https://vnm.spiral.com.vn//uploaded/20210513/EC189AD7-43EE-4405-A85B-9A99E77CE5C2.jpg","08:32:15")</f>
      </c>
      <c r="U1923" s="20">
        <f>HYPERLINK("https://vnm.spiral.com.vn//uploaded/20210513/C6473567-3BE4-4156-8396-1DECF6074178.jpg","11:51:56")</f>
      </c>
      <c r="V1923" s="18">
        <v>0.1386689814814815</v>
      </c>
      <c r="W1923" s="15" t="s">
        <v>10546</v>
      </c>
      <c r="X1923" s="15" t="s">
        <v>10547</v>
      </c>
      <c r="Y1923" s="15" t="s">
        <v>35</v>
      </c>
      <c r="Z1923" s="19">
        <v>0</v>
      </c>
      <c r="AA1923" s="15">
        <v>0</v>
      </c>
      <c r="AB1923" s="15" t="s">
        <v>35</v>
      </c>
    </row>
    <row r="1924">
      <c r="A1924" s="15">
        <v>1920</v>
      </c>
      <c r="B1924" s="15" t="s">
        <v>49</v>
      </c>
      <c r="C1924" s="15" t="s">
        <v>369</v>
      </c>
      <c r="D1924" s="15" t="s">
        <v>35</v>
      </c>
      <c r="E1924" s="15" t="s">
        <v>35</v>
      </c>
      <c r="F1924" s="15" t="s">
        <v>370</v>
      </c>
      <c r="G1924" s="15" t="s">
        <v>36</v>
      </c>
      <c r="H1924" s="15" t="s">
        <v>7617</v>
      </c>
      <c r="I1924" s="15" t="s">
        <v>7618</v>
      </c>
      <c r="J1924" s="15" t="s">
        <v>7619</v>
      </c>
      <c r="K1924" s="15" t="s">
        <v>40</v>
      </c>
      <c r="L1924" s="15" t="s">
        <v>41</v>
      </c>
      <c r="M1924" s="15" t="s">
        <v>55</v>
      </c>
      <c r="N1924" s="15" t="s">
        <v>56</v>
      </c>
      <c r="O1924" s="15" t="s">
        <v>44</v>
      </c>
      <c r="P1924" s="15" t="s">
        <v>7620</v>
      </c>
      <c r="Q1924" s="15" t="s">
        <v>7621</v>
      </c>
      <c r="R1924" s="16">
        <v>44329</v>
      </c>
      <c r="S1924" s="17" t="s">
        <v>317</v>
      </c>
      <c r="T1924" s="20">
        <f>HYPERLINK("https://vnm.spiral.com.vn//uploaded/20210513/9F2D8623-92EF-4D89-8E8C-5746BD467B9A.jpg","07:30:08")</f>
      </c>
      <c r="U1924" s="20">
        <f>HYPERLINK("https://vnm.spiral.com.vn//uploaded/20210513/A473F9A5-D27D-4D86-B78D-176CAC8D1077.jpg","11:51:44")</f>
      </c>
      <c r="V1924" s="18">
        <v>0.18166666666666667</v>
      </c>
      <c r="W1924" s="15" t="s">
        <v>10548</v>
      </c>
      <c r="X1924" s="15" t="s">
        <v>10549</v>
      </c>
      <c r="Y1924" s="15" t="s">
        <v>35</v>
      </c>
      <c r="Z1924" s="19">
        <v>0</v>
      </c>
      <c r="AA1924" s="15">
        <v>0</v>
      </c>
      <c r="AB1924" s="15" t="s">
        <v>35</v>
      </c>
    </row>
    <row r="1925">
      <c r="A1925" s="15">
        <v>1921</v>
      </c>
      <c r="B1925" s="15" t="s">
        <v>87</v>
      </c>
      <c r="C1925" s="15" t="s">
        <v>88</v>
      </c>
      <c r="D1925" s="15" t="s">
        <v>35</v>
      </c>
      <c r="E1925" s="15" t="s">
        <v>35</v>
      </c>
      <c r="F1925" s="15" t="s">
        <v>2789</v>
      </c>
      <c r="G1925" s="15" t="s">
        <v>36</v>
      </c>
      <c r="H1925" s="15" t="s">
        <v>7385</v>
      </c>
      <c r="I1925" s="15" t="s">
        <v>7386</v>
      </c>
      <c r="J1925" s="15" t="s">
        <v>7387</v>
      </c>
      <c r="K1925" s="15" t="s">
        <v>40</v>
      </c>
      <c r="L1925" s="15" t="s">
        <v>41</v>
      </c>
      <c r="M1925" s="15" t="s">
        <v>289</v>
      </c>
      <c r="N1925" s="15" t="s">
        <v>290</v>
      </c>
      <c r="O1925" s="15" t="s">
        <v>44</v>
      </c>
      <c r="P1925" s="15" t="s">
        <v>7388</v>
      </c>
      <c r="Q1925" s="15" t="s">
        <v>7389</v>
      </c>
      <c r="R1925" s="16">
        <v>44329</v>
      </c>
      <c r="S1925" s="17" t="s">
        <v>317</v>
      </c>
      <c r="T1925" s="20">
        <f>HYPERLINK("https://vnm.spiral.com.vn//uploaded/20210513/402b28c7-590f-470e-abd3-9fe4d8822a0b.JPEG","08:02:57")</f>
      </c>
      <c r="U1925" s="20">
        <f>HYPERLINK("https://vnm.spiral.com.vn//uploaded/20210513/7e29ed04-e17c-4937-8444-1eb0f20aef22.JPEG","11:51:29")</f>
      </c>
      <c r="V1925" s="18">
        <v>0.1587037037037037</v>
      </c>
      <c r="W1925" s="15" t="s">
        <v>10550</v>
      </c>
      <c r="X1925" s="15" t="s">
        <v>10551</v>
      </c>
      <c r="Y1925" s="15" t="s">
        <v>35</v>
      </c>
      <c r="Z1925" s="19">
        <v>0</v>
      </c>
      <c r="AA1925" s="15">
        <v>0</v>
      </c>
      <c r="AB1925" s="15" t="s">
        <v>35</v>
      </c>
    </row>
    <row r="1926">
      <c r="A1926" s="15">
        <v>1922</v>
      </c>
      <c r="B1926" s="15" t="s">
        <v>87</v>
      </c>
      <c r="C1926" s="15" t="s">
        <v>88</v>
      </c>
      <c r="D1926" s="15" t="s">
        <v>35</v>
      </c>
      <c r="E1926" s="15" t="s">
        <v>35</v>
      </c>
      <c r="F1926" s="15" t="s">
        <v>35</v>
      </c>
      <c r="G1926" s="15" t="s">
        <v>74</v>
      </c>
      <c r="H1926" s="15" t="s">
        <v>10552</v>
      </c>
      <c r="I1926" s="15" t="s">
        <v>10553</v>
      </c>
      <c r="J1926" s="15" t="s">
        <v>10554</v>
      </c>
      <c r="K1926" s="15" t="s">
        <v>888</v>
      </c>
      <c r="L1926" s="15" t="s">
        <v>889</v>
      </c>
      <c r="M1926" s="15" t="s">
        <v>890</v>
      </c>
      <c r="N1926" s="15" t="s">
        <v>891</v>
      </c>
      <c r="O1926" s="15" t="s">
        <v>82</v>
      </c>
      <c r="P1926" s="15" t="s">
        <v>1547</v>
      </c>
      <c r="Q1926" s="15" t="s">
        <v>1548</v>
      </c>
      <c r="R1926" s="16">
        <v>44329</v>
      </c>
      <c r="S1926" s="17" t="s">
        <v>70</v>
      </c>
      <c r="T1926" s="20">
        <f>HYPERLINK("https://vnm.spiral.com.vn//uploaded/20210513/35129C3E-838C-45A5-857F-2C547FEF0FFD.jpg","10:59:35")</f>
      </c>
      <c r="U1926" s="20">
        <f>HYPERLINK("https://vnm.spiral.com.vn//uploaded/20210513/1F6F79B7-3333-4F06-A9BB-4AC91FA97753.jpg","11:51:29")</f>
      </c>
      <c r="V1926" s="18">
        <v>0.036041666666666666</v>
      </c>
      <c r="W1926" s="15" t="s">
        <v>10555</v>
      </c>
      <c r="X1926" s="15" t="s">
        <v>10556</v>
      </c>
      <c r="Y1926" s="15" t="s">
        <v>35</v>
      </c>
      <c r="Z1926" s="19">
        <v>0</v>
      </c>
      <c r="AA1926" s="15">
        <v>0</v>
      </c>
      <c r="AB1926" s="15" t="s">
        <v>35</v>
      </c>
    </row>
    <row r="1927">
      <c r="A1927" s="15">
        <v>1923</v>
      </c>
      <c r="B1927" s="15" t="s">
        <v>49</v>
      </c>
      <c r="C1927" s="15" t="s">
        <v>369</v>
      </c>
      <c r="D1927" s="15" t="s">
        <v>432</v>
      </c>
      <c r="E1927" s="15" t="s">
        <v>116</v>
      </c>
      <c r="F1927" s="15" t="s">
        <v>35</v>
      </c>
      <c r="G1927" s="15" t="s">
        <v>74</v>
      </c>
      <c r="H1927" s="15" t="s">
        <v>10557</v>
      </c>
      <c r="I1927" s="15" t="s">
        <v>10558</v>
      </c>
      <c r="J1927" s="15" t="s">
        <v>10559</v>
      </c>
      <c r="K1927" s="15" t="s">
        <v>166</v>
      </c>
      <c r="L1927" s="15" t="s">
        <v>167</v>
      </c>
      <c r="M1927" s="15" t="s">
        <v>168</v>
      </c>
      <c r="N1927" s="15" t="s">
        <v>169</v>
      </c>
      <c r="O1927" s="15" t="s">
        <v>82</v>
      </c>
      <c r="P1927" s="15" t="s">
        <v>5228</v>
      </c>
      <c r="Q1927" s="15" t="s">
        <v>5229</v>
      </c>
      <c r="R1927" s="16">
        <v>44329</v>
      </c>
      <c r="S1927" s="17" t="s">
        <v>70</v>
      </c>
      <c r="T1927" s="20">
        <f>HYPERLINK("https://vnm.spiral.com.vn//uploaded/20210513/3ED6448E-75EE-4473-B795-9D75190C1169.jpg","11:01:27")</f>
      </c>
      <c r="U1927" s="20">
        <f>HYPERLINK("https://vnm.spiral.com.vn//uploaded/20210513/80981C2E-7FB6-4862-AAD3-E7F798A3EEB3.jpg","11:51:27")</f>
      </c>
      <c r="V1927" s="18">
        <v>0.034722222222222224</v>
      </c>
      <c r="W1927" s="15" t="s">
        <v>10560</v>
      </c>
      <c r="X1927" s="15" t="s">
        <v>10561</v>
      </c>
      <c r="Y1927" s="15" t="s">
        <v>35</v>
      </c>
      <c r="Z1927" s="19">
        <v>0</v>
      </c>
      <c r="AA1927" s="15">
        <v>0</v>
      </c>
      <c r="AB1927" s="15" t="s">
        <v>35</v>
      </c>
    </row>
    <row r="1928">
      <c r="A1928" s="15">
        <v>1924</v>
      </c>
      <c r="B1928" s="15" t="s">
        <v>103</v>
      </c>
      <c r="C1928" s="15" t="s">
        <v>186</v>
      </c>
      <c r="D1928" s="15" t="s">
        <v>35</v>
      </c>
      <c r="E1928" s="15" t="s">
        <v>35</v>
      </c>
      <c r="F1928" s="15" t="s">
        <v>5564</v>
      </c>
      <c r="G1928" s="15" t="s">
        <v>36</v>
      </c>
      <c r="H1928" s="15" t="s">
        <v>5565</v>
      </c>
      <c r="I1928" s="15" t="s">
        <v>5566</v>
      </c>
      <c r="J1928" s="15" t="s">
        <v>5567</v>
      </c>
      <c r="K1928" s="15" t="s">
        <v>40</v>
      </c>
      <c r="L1928" s="15" t="s">
        <v>41</v>
      </c>
      <c r="M1928" s="15" t="s">
        <v>565</v>
      </c>
      <c r="N1928" s="15" t="s">
        <v>566</v>
      </c>
      <c r="O1928" s="15" t="s">
        <v>44</v>
      </c>
      <c r="P1928" s="15" t="s">
        <v>5568</v>
      </c>
      <c r="Q1928" s="15" t="s">
        <v>5569</v>
      </c>
      <c r="R1928" s="16">
        <v>44329</v>
      </c>
      <c r="S1928" s="17" t="s">
        <v>317</v>
      </c>
      <c r="T1928" s="20">
        <f>HYPERLINK("https://vnm.spiral.com.vn//uploaded/20210513/170B3D5D-3E98-42A6-8F7A-81E452B013D8.jpg","07:42:34")</f>
      </c>
      <c r="U1928" s="20">
        <f>HYPERLINK("https://vnm.spiral.com.vn//uploaded/20210513/3DDC15C9-79D3-4D38-94CB-A76A357CB423.jpg","11:51:22")</f>
      </c>
      <c r="V1928" s="18">
        <v>0.17277777777777778</v>
      </c>
      <c r="W1928" s="15" t="s">
        <v>10562</v>
      </c>
      <c r="X1928" s="15" t="s">
        <v>10563</v>
      </c>
      <c r="Y1928" s="15" t="s">
        <v>35</v>
      </c>
      <c r="Z1928" s="19">
        <v>0</v>
      </c>
      <c r="AA1928" s="15">
        <v>0</v>
      </c>
      <c r="AB1928" s="15" t="s">
        <v>35</v>
      </c>
    </row>
    <row r="1929">
      <c r="A1929" s="15">
        <v>1925</v>
      </c>
      <c r="B1929" s="15" t="s">
        <v>49</v>
      </c>
      <c r="C1929" s="15" t="s">
        <v>756</v>
      </c>
      <c r="D1929" s="15" t="s">
        <v>35</v>
      </c>
      <c r="E1929" s="15" t="s">
        <v>35</v>
      </c>
      <c r="F1929" s="15" t="s">
        <v>6964</v>
      </c>
      <c r="G1929" s="15" t="s">
        <v>36</v>
      </c>
      <c r="H1929" s="15" t="s">
        <v>10564</v>
      </c>
      <c r="I1929" s="15" t="s">
        <v>4430</v>
      </c>
      <c r="J1929" s="15" t="s">
        <v>10565</v>
      </c>
      <c r="K1929" s="15" t="s">
        <v>40</v>
      </c>
      <c r="L1929" s="15" t="s">
        <v>41</v>
      </c>
      <c r="M1929" s="15" t="s">
        <v>55</v>
      </c>
      <c r="N1929" s="15" t="s">
        <v>56</v>
      </c>
      <c r="O1929" s="15" t="s">
        <v>44</v>
      </c>
      <c r="P1929" s="15" t="s">
        <v>10566</v>
      </c>
      <c r="Q1929" s="15" t="s">
        <v>10567</v>
      </c>
      <c r="R1929" s="16">
        <v>44329</v>
      </c>
      <c r="S1929" s="17" t="s">
        <v>8289</v>
      </c>
      <c r="T1929" s="20">
        <f>HYPERLINK("https://vnm.spiral.com.vn//uploaded/20210513/6df0ed7f-c8bb-4a0d-9f4a-e14961045817.JPEG","11:51:17")</f>
      </c>
      <c r="U1929" s="18"/>
      <c r="V1929" s="18" t="s">
        <v>35</v>
      </c>
      <c r="W1929" s="15" t="s">
        <v>10568</v>
      </c>
      <c r="X1929" s="15" t="s">
        <v>35</v>
      </c>
      <c r="Y1929" s="15" t="s">
        <v>35</v>
      </c>
      <c r="Z1929" s="19">
        <v>0</v>
      </c>
      <c r="AA1929" s="15">
        <v>0</v>
      </c>
      <c r="AB1929" s="15" t="s">
        <v>35</v>
      </c>
    </row>
    <row r="1930">
      <c r="A1930" s="15">
        <v>1926</v>
      </c>
      <c r="B1930" s="15" t="s">
        <v>49</v>
      </c>
      <c r="C1930" s="15" t="s">
        <v>756</v>
      </c>
      <c r="D1930" s="15" t="s">
        <v>35</v>
      </c>
      <c r="E1930" s="15" t="s">
        <v>35</v>
      </c>
      <c r="F1930" s="15" t="s">
        <v>6964</v>
      </c>
      <c r="G1930" s="15" t="s">
        <v>36</v>
      </c>
      <c r="H1930" s="15" t="s">
        <v>10564</v>
      </c>
      <c r="I1930" s="15" t="s">
        <v>4430</v>
      </c>
      <c r="J1930" s="15" t="s">
        <v>10565</v>
      </c>
      <c r="K1930" s="15" t="s">
        <v>40</v>
      </c>
      <c r="L1930" s="15" t="s">
        <v>41</v>
      </c>
      <c r="M1930" s="15" t="s">
        <v>55</v>
      </c>
      <c r="N1930" s="15" t="s">
        <v>56</v>
      </c>
      <c r="O1930" s="15" t="s">
        <v>44</v>
      </c>
      <c r="P1930" s="15" t="s">
        <v>10566</v>
      </c>
      <c r="Q1930" s="15" t="s">
        <v>10567</v>
      </c>
      <c r="R1930" s="16">
        <v>44329</v>
      </c>
      <c r="S1930" s="17" t="s">
        <v>3018</v>
      </c>
      <c r="T1930" s="20">
        <f>HYPERLINK("https://vnm.spiral.com.vn//uploaded/20210513/a57ac581-5b4e-4342-bb0e-a9f360cb63ce.JPEG","07:55:05")</f>
      </c>
      <c r="U1930" s="20">
        <f>HYPERLINK("https://vnm.spiral.com.vn//uploaded/20210513/7c419bcd-40ec-47d0-ae49-046858b2834c.JPEG","11:51:03")</f>
      </c>
      <c r="V1930" s="18">
        <v>0.16386574074074073</v>
      </c>
      <c r="W1930" s="15" t="s">
        <v>10569</v>
      </c>
      <c r="X1930" s="15" t="s">
        <v>10570</v>
      </c>
      <c r="Y1930" s="15" t="s">
        <v>35</v>
      </c>
      <c r="Z1930" s="19">
        <v>0</v>
      </c>
      <c r="AA1930" s="15">
        <v>0</v>
      </c>
      <c r="AB1930" s="15" t="s">
        <v>35</v>
      </c>
    </row>
    <row r="1931">
      <c r="A1931" s="15">
        <v>1927</v>
      </c>
      <c r="B1931" s="15" t="s">
        <v>246</v>
      </c>
      <c r="C1931" s="15" t="s">
        <v>276</v>
      </c>
      <c r="D1931" s="15" t="s">
        <v>35</v>
      </c>
      <c r="E1931" s="15" t="s">
        <v>35</v>
      </c>
      <c r="F1931" s="15" t="s">
        <v>7713</v>
      </c>
      <c r="G1931" s="15" t="s">
        <v>36</v>
      </c>
      <c r="H1931" s="15" t="s">
        <v>7714</v>
      </c>
      <c r="I1931" s="15" t="s">
        <v>7715</v>
      </c>
      <c r="J1931" s="15" t="s">
        <v>7716</v>
      </c>
      <c r="K1931" s="15" t="s">
        <v>40</v>
      </c>
      <c r="L1931" s="15" t="s">
        <v>41</v>
      </c>
      <c r="M1931" s="15" t="s">
        <v>252</v>
      </c>
      <c r="N1931" s="15" t="s">
        <v>253</v>
      </c>
      <c r="O1931" s="15" t="s">
        <v>44</v>
      </c>
      <c r="P1931" s="15" t="s">
        <v>7717</v>
      </c>
      <c r="Q1931" s="15" t="s">
        <v>7718</v>
      </c>
      <c r="R1931" s="16">
        <v>44329</v>
      </c>
      <c r="S1931" s="17" t="s">
        <v>7866</v>
      </c>
      <c r="T1931" s="20">
        <f>HYPERLINK("https://vnm.spiral.com.vn//uploaded/20210513/084aa8b4-12d6-47b1-80a2-b34889661339.JPEG","07:29:21")</f>
      </c>
      <c r="U1931" s="20">
        <f>HYPERLINK("https://vnm.spiral.com.vn//uploaded/20210513/097d23a0-3cae-4972-9523-37ceed627144.JPEG","11:51:03")</f>
      </c>
      <c r="V1931" s="18">
        <v>0.1817361111111111</v>
      </c>
      <c r="W1931" s="15" t="s">
        <v>10571</v>
      </c>
      <c r="X1931" s="15" t="s">
        <v>10572</v>
      </c>
      <c r="Y1931" s="15" t="s">
        <v>35</v>
      </c>
      <c r="Z1931" s="19">
        <v>0</v>
      </c>
      <c r="AA1931" s="15">
        <v>0</v>
      </c>
      <c r="AB1931" s="15" t="s">
        <v>35</v>
      </c>
    </row>
    <row r="1932">
      <c r="A1932" s="15">
        <v>1928</v>
      </c>
      <c r="B1932" s="15" t="s">
        <v>246</v>
      </c>
      <c r="C1932" s="15" t="s">
        <v>782</v>
      </c>
      <c r="D1932" s="15" t="s">
        <v>35</v>
      </c>
      <c r="E1932" s="15" t="s">
        <v>35</v>
      </c>
      <c r="F1932" s="15" t="s">
        <v>5859</v>
      </c>
      <c r="G1932" s="15" t="s">
        <v>36</v>
      </c>
      <c r="H1932" s="15" t="s">
        <v>5860</v>
      </c>
      <c r="I1932" s="15" t="s">
        <v>5861</v>
      </c>
      <c r="J1932" s="15" t="s">
        <v>5862</v>
      </c>
      <c r="K1932" s="15" t="s">
        <v>40</v>
      </c>
      <c r="L1932" s="15" t="s">
        <v>41</v>
      </c>
      <c r="M1932" s="15" t="s">
        <v>252</v>
      </c>
      <c r="N1932" s="15" t="s">
        <v>253</v>
      </c>
      <c r="O1932" s="15" t="s">
        <v>44</v>
      </c>
      <c r="P1932" s="15" t="s">
        <v>5863</v>
      </c>
      <c r="Q1932" s="15" t="s">
        <v>5864</v>
      </c>
      <c r="R1932" s="16">
        <v>44329</v>
      </c>
      <c r="S1932" s="17" t="s">
        <v>7866</v>
      </c>
      <c r="T1932" s="20">
        <f>HYPERLINK("https://vnm.spiral.com.vn//uploaded/20210513/42209030-305f-4e52-be3a-2853ae17b896.JPEG","07:27:04")</f>
      </c>
      <c r="U1932" s="20">
        <f>HYPERLINK("https://vnm.spiral.com.vn//uploaded/20210513/3f9e7d1a-39de-45c3-979a-4b4149a7c482.JPEG","11:50:52")</f>
      </c>
      <c r="V1932" s="18">
        <v>0.18319444444444444</v>
      </c>
      <c r="W1932" s="15" t="s">
        <v>10573</v>
      </c>
      <c r="X1932" s="15" t="s">
        <v>10574</v>
      </c>
      <c r="Y1932" s="15" t="s">
        <v>35</v>
      </c>
      <c r="Z1932" s="19">
        <v>0</v>
      </c>
      <c r="AA1932" s="15">
        <v>0</v>
      </c>
      <c r="AB1932" s="15" t="s">
        <v>35</v>
      </c>
    </row>
    <row r="1933">
      <c r="A1933" s="15">
        <v>1929</v>
      </c>
      <c r="B1933" s="15" t="s">
        <v>246</v>
      </c>
      <c r="C1933" s="15" t="s">
        <v>276</v>
      </c>
      <c r="D1933" s="15" t="s">
        <v>35</v>
      </c>
      <c r="E1933" s="15" t="s">
        <v>35</v>
      </c>
      <c r="F1933" s="15" t="s">
        <v>1182</v>
      </c>
      <c r="G1933" s="15" t="s">
        <v>36</v>
      </c>
      <c r="H1933" s="15" t="s">
        <v>6220</v>
      </c>
      <c r="I1933" s="15" t="s">
        <v>6221</v>
      </c>
      <c r="J1933" s="15" t="s">
        <v>6222</v>
      </c>
      <c r="K1933" s="15" t="s">
        <v>40</v>
      </c>
      <c r="L1933" s="15" t="s">
        <v>41</v>
      </c>
      <c r="M1933" s="15" t="s">
        <v>252</v>
      </c>
      <c r="N1933" s="15" t="s">
        <v>253</v>
      </c>
      <c r="O1933" s="15" t="s">
        <v>44</v>
      </c>
      <c r="P1933" s="15" t="s">
        <v>6223</v>
      </c>
      <c r="Q1933" s="15" t="s">
        <v>6224</v>
      </c>
      <c r="R1933" s="16">
        <v>44329</v>
      </c>
      <c r="S1933" s="17" t="s">
        <v>317</v>
      </c>
      <c r="T1933" s="20">
        <f>HYPERLINK("https://vnm.spiral.com.vn//uploaded/20210513/D40CD621-A689-4124-A0D7-70CC31B787B5.jpg","08:11:52")</f>
      </c>
      <c r="U1933" s="20">
        <f>HYPERLINK("https://vnm.spiral.com.vn//uploaded/20210513/E07CF9EF-DA10-4AA9-AE0A-85AC36A2FE80.jpg","11:50:39")</f>
      </c>
      <c r="V1933" s="18">
        <v>0.15193287037037037</v>
      </c>
      <c r="W1933" s="15" t="s">
        <v>10575</v>
      </c>
      <c r="X1933" s="15" t="s">
        <v>10576</v>
      </c>
      <c r="Y1933" s="15" t="s">
        <v>35</v>
      </c>
      <c r="Z1933" s="19">
        <v>0</v>
      </c>
      <c r="AA1933" s="15">
        <v>0</v>
      </c>
      <c r="AB1933" s="15" t="s">
        <v>35</v>
      </c>
    </row>
    <row r="1934">
      <c r="A1934" s="15">
        <v>1930</v>
      </c>
      <c r="B1934" s="15" t="s">
        <v>87</v>
      </c>
      <c r="C1934" s="15" t="s">
        <v>88</v>
      </c>
      <c r="D1934" s="15" t="s">
        <v>432</v>
      </c>
      <c r="E1934" s="15" t="s">
        <v>116</v>
      </c>
      <c r="F1934" s="15" t="s">
        <v>35</v>
      </c>
      <c r="G1934" s="15" t="s">
        <v>74</v>
      </c>
      <c r="H1934" s="15" t="s">
        <v>10459</v>
      </c>
      <c r="I1934" s="15" t="s">
        <v>10460</v>
      </c>
      <c r="J1934" s="15" t="s">
        <v>10461</v>
      </c>
      <c r="K1934" s="15" t="s">
        <v>94</v>
      </c>
      <c r="L1934" s="15" t="s">
        <v>95</v>
      </c>
      <c r="M1934" s="15" t="s">
        <v>625</v>
      </c>
      <c r="N1934" s="15" t="s">
        <v>626</v>
      </c>
      <c r="O1934" s="15" t="s">
        <v>98</v>
      </c>
      <c r="P1934" s="15" t="s">
        <v>1022</v>
      </c>
      <c r="Q1934" s="15" t="s">
        <v>1023</v>
      </c>
      <c r="R1934" s="16">
        <v>44329</v>
      </c>
      <c r="S1934" s="17" t="s">
        <v>70</v>
      </c>
      <c r="T1934" s="20">
        <f>HYPERLINK("https://vnm.spiral.com.vn//uploaded/20210513/1bd2b72d-36b9-46a8-af62-fd97fb938ff0.JPEG","11:31:52")</f>
      </c>
      <c r="U1934" s="20">
        <f>HYPERLINK("https://vnm.spiral.com.vn//uploaded/20210513/653fa519-f139-4d9e-a63b-90cebcca1782.JPEG","11:50:37")</f>
      </c>
      <c r="V1934" s="18">
        <v>0.013020833333333334</v>
      </c>
      <c r="W1934" s="15" t="s">
        <v>10577</v>
      </c>
      <c r="X1934" s="15" t="s">
        <v>10578</v>
      </c>
      <c r="Y1934" s="15" t="s">
        <v>35</v>
      </c>
      <c r="Z1934" s="19">
        <v>0</v>
      </c>
      <c r="AA1934" s="15">
        <v>0</v>
      </c>
      <c r="AB1934" s="15" t="s">
        <v>35</v>
      </c>
    </row>
    <row r="1935">
      <c r="A1935" s="15">
        <v>1931</v>
      </c>
      <c r="B1935" s="15" t="s">
        <v>103</v>
      </c>
      <c r="C1935" s="15" t="s">
        <v>104</v>
      </c>
      <c r="D1935" s="15" t="s">
        <v>35</v>
      </c>
      <c r="E1935" s="15" t="s">
        <v>35</v>
      </c>
      <c r="F1935" s="15" t="s">
        <v>35</v>
      </c>
      <c r="G1935" s="15" t="s">
        <v>36</v>
      </c>
      <c r="H1935" s="15" t="s">
        <v>105</v>
      </c>
      <c r="I1935" s="15" t="s">
        <v>106</v>
      </c>
      <c r="J1935" s="15" t="s">
        <v>107</v>
      </c>
      <c r="K1935" s="15" t="s">
        <v>40</v>
      </c>
      <c r="L1935" s="15" t="s">
        <v>41</v>
      </c>
      <c r="M1935" s="15" t="s">
        <v>108</v>
      </c>
      <c r="N1935" s="15" t="s">
        <v>109</v>
      </c>
      <c r="O1935" s="15" t="s">
        <v>44</v>
      </c>
      <c r="P1935" s="15" t="s">
        <v>110</v>
      </c>
      <c r="Q1935" s="15" t="s">
        <v>111</v>
      </c>
      <c r="R1935" s="16">
        <v>44329</v>
      </c>
      <c r="S1935" s="17" t="s">
        <v>9898</v>
      </c>
      <c r="T1935" s="20">
        <f>HYPERLINK("https://vnm.spiral.com.vn//uploaded/20210513/07a98ba6-3401-4aa5-8003-247374ee1713.JPEG","06:57:22")</f>
      </c>
      <c r="U1935" s="20">
        <f>HYPERLINK("https://vnm.spiral.com.vn//uploaded/20210513/b0c94c0a-ba85-4cd3-875a-97c0a3939f00.JPEG","11:50:35")</f>
      </c>
      <c r="V1935" s="18">
        <v>0.2036226851851852</v>
      </c>
      <c r="W1935" s="15" t="s">
        <v>10579</v>
      </c>
      <c r="X1935" s="15" t="s">
        <v>10580</v>
      </c>
      <c r="Y1935" s="15" t="s">
        <v>35</v>
      </c>
      <c r="Z1935" s="19">
        <v>0</v>
      </c>
      <c r="AA1935" s="15">
        <v>0</v>
      </c>
      <c r="AB1935" s="15" t="s">
        <v>35</v>
      </c>
    </row>
    <row r="1936">
      <c r="A1936" s="15">
        <v>1932</v>
      </c>
      <c r="B1936" s="15" t="s">
        <v>87</v>
      </c>
      <c r="C1936" s="15" t="s">
        <v>88</v>
      </c>
      <c r="D1936" s="15" t="s">
        <v>35</v>
      </c>
      <c r="E1936" s="15" t="s">
        <v>35</v>
      </c>
      <c r="F1936" s="15" t="s">
        <v>35</v>
      </c>
      <c r="G1936" s="15" t="s">
        <v>36</v>
      </c>
      <c r="H1936" s="15" t="s">
        <v>10581</v>
      </c>
      <c r="I1936" s="15" t="s">
        <v>10582</v>
      </c>
      <c r="J1936" s="15" t="s">
        <v>10583</v>
      </c>
      <c r="K1936" s="15" t="s">
        <v>40</v>
      </c>
      <c r="L1936" s="15" t="s">
        <v>41</v>
      </c>
      <c r="M1936" s="15" t="s">
        <v>289</v>
      </c>
      <c r="N1936" s="15" t="s">
        <v>290</v>
      </c>
      <c r="O1936" s="15" t="s">
        <v>44</v>
      </c>
      <c r="P1936" s="15" t="s">
        <v>10584</v>
      </c>
      <c r="Q1936" s="15" t="s">
        <v>10585</v>
      </c>
      <c r="R1936" s="16">
        <v>44329</v>
      </c>
      <c r="S1936" s="17" t="s">
        <v>10586</v>
      </c>
      <c r="T1936" s="20">
        <f>HYPERLINK("https://vnm.spiral.com.vn//uploaded/20210513/FB734ADD-4A89-4194-947B-D7097FD1C41D.jpg","05:44:39")</f>
      </c>
      <c r="U1936" s="20">
        <f>HYPERLINK("https://vnm.spiral.com.vn//uploaded/20210513/163EA18F-BFB6-427F-845C-60EBC39E0808.jpg","11:50:32")</f>
      </c>
      <c r="V1936" s="18">
        <v>0.25408564814814816</v>
      </c>
      <c r="W1936" s="15" t="s">
        <v>10587</v>
      </c>
      <c r="X1936" s="15" t="s">
        <v>10588</v>
      </c>
      <c r="Y1936" s="15" t="s">
        <v>35</v>
      </c>
      <c r="Z1936" s="19">
        <v>0</v>
      </c>
      <c r="AA1936" s="15">
        <v>0</v>
      </c>
      <c r="AB1936" s="15" t="s">
        <v>35</v>
      </c>
    </row>
    <row r="1937">
      <c r="A1937" s="15">
        <v>1933</v>
      </c>
      <c r="B1937" s="15" t="s">
        <v>33</v>
      </c>
      <c r="C1937" s="15" t="s">
        <v>765</v>
      </c>
      <c r="D1937" s="15" t="s">
        <v>35</v>
      </c>
      <c r="E1937" s="15" t="s">
        <v>35</v>
      </c>
      <c r="F1937" s="15" t="s">
        <v>10589</v>
      </c>
      <c r="G1937" s="15" t="s">
        <v>36</v>
      </c>
      <c r="H1937" s="15" t="s">
        <v>10590</v>
      </c>
      <c r="I1937" s="15" t="s">
        <v>10591</v>
      </c>
      <c r="J1937" s="15" t="s">
        <v>10592</v>
      </c>
      <c r="K1937" s="15" t="s">
        <v>40</v>
      </c>
      <c r="L1937" s="15" t="s">
        <v>41</v>
      </c>
      <c r="M1937" s="15" t="s">
        <v>42</v>
      </c>
      <c r="N1937" s="15" t="s">
        <v>43</v>
      </c>
      <c r="O1937" s="15" t="s">
        <v>44</v>
      </c>
      <c r="P1937" s="15" t="s">
        <v>10593</v>
      </c>
      <c r="Q1937" s="15" t="s">
        <v>221</v>
      </c>
      <c r="R1937" s="16">
        <v>44329</v>
      </c>
      <c r="S1937" s="17" t="s">
        <v>35</v>
      </c>
      <c r="T1937" s="20">
        <f>HYPERLINK("https://vnm.spiral.com.vn//uploaded/20210513/93B846F3-95B3-4928-A02D-DDE7A1BB7ED5.jpg","09:30:38")</f>
      </c>
      <c r="U1937" s="20">
        <f>HYPERLINK("https://vnm.spiral.com.vn//uploaded/20210513/1D6AC972-7CD0-432D-A296-93ACBC44F0A2.jpg","11:49:37")</f>
      </c>
      <c r="V1937" s="18">
        <v>0.0965162037037037</v>
      </c>
      <c r="W1937" s="15" t="s">
        <v>10594</v>
      </c>
      <c r="X1937" s="15" t="s">
        <v>10595</v>
      </c>
      <c r="Y1937" s="15" t="s">
        <v>35</v>
      </c>
      <c r="Z1937" s="19">
        <v>0</v>
      </c>
      <c r="AA1937" s="15">
        <v>0</v>
      </c>
      <c r="AB1937" s="15" t="s">
        <v>35</v>
      </c>
    </row>
    <row r="1938">
      <c r="A1938" s="15">
        <v>1934</v>
      </c>
      <c r="B1938" s="15" t="s">
        <v>343</v>
      </c>
      <c r="C1938" s="15" t="s">
        <v>344</v>
      </c>
      <c r="D1938" s="15" t="s">
        <v>35</v>
      </c>
      <c r="E1938" s="15" t="s">
        <v>35</v>
      </c>
      <c r="F1938" s="15" t="s">
        <v>35</v>
      </c>
      <c r="G1938" s="15" t="s">
        <v>74</v>
      </c>
      <c r="H1938" s="15" t="s">
        <v>10596</v>
      </c>
      <c r="I1938" s="15" t="s">
        <v>10597</v>
      </c>
      <c r="J1938" s="15" t="s">
        <v>10598</v>
      </c>
      <c r="K1938" s="15" t="s">
        <v>584</v>
      </c>
      <c r="L1938" s="15" t="s">
        <v>585</v>
      </c>
      <c r="M1938" s="15" t="s">
        <v>827</v>
      </c>
      <c r="N1938" s="15" t="s">
        <v>828</v>
      </c>
      <c r="O1938" s="15" t="s">
        <v>82</v>
      </c>
      <c r="P1938" s="15" t="s">
        <v>829</v>
      </c>
      <c r="Q1938" s="15" t="s">
        <v>830</v>
      </c>
      <c r="R1938" s="16">
        <v>44329</v>
      </c>
      <c r="S1938" s="17" t="s">
        <v>70</v>
      </c>
      <c r="T1938" s="20">
        <f>HYPERLINK("https://vnm.spiral.com.vn//uploaded/20210513/01ae70a8-d288-4e72-afb6-62166f020d42.JPEG","07:52:56")</f>
      </c>
      <c r="U1938" s="20">
        <f>HYPERLINK("https://vnm.spiral.com.vn//uploaded/20210513/2432c41d-52af-45cc-bb9b-102d7175bbec.JPEG","11:49:37")</f>
      </c>
      <c r="V1938" s="18">
        <v>0.16436342592592593</v>
      </c>
      <c r="W1938" s="15" t="s">
        <v>10599</v>
      </c>
      <c r="X1938" s="15" t="s">
        <v>10600</v>
      </c>
      <c r="Y1938" s="15" t="s">
        <v>35</v>
      </c>
      <c r="Z1938" s="19">
        <v>0</v>
      </c>
      <c r="AA1938" s="15">
        <v>0</v>
      </c>
      <c r="AB1938" s="15" t="s">
        <v>35</v>
      </c>
    </row>
    <row r="1939">
      <c r="A1939" s="15">
        <v>1935</v>
      </c>
      <c r="B1939" s="15" t="s">
        <v>103</v>
      </c>
      <c r="C1939" s="15" t="s">
        <v>1078</v>
      </c>
      <c r="D1939" s="15" t="s">
        <v>35</v>
      </c>
      <c r="E1939" s="15" t="s">
        <v>35</v>
      </c>
      <c r="F1939" s="15" t="s">
        <v>1471</v>
      </c>
      <c r="G1939" s="15" t="s">
        <v>36</v>
      </c>
      <c r="H1939" s="15" t="s">
        <v>6023</v>
      </c>
      <c r="I1939" s="15" t="s">
        <v>6024</v>
      </c>
      <c r="J1939" s="15" t="s">
        <v>6025</v>
      </c>
      <c r="K1939" s="15" t="s">
        <v>40</v>
      </c>
      <c r="L1939" s="15" t="s">
        <v>41</v>
      </c>
      <c r="M1939" s="15" t="s">
        <v>565</v>
      </c>
      <c r="N1939" s="15" t="s">
        <v>566</v>
      </c>
      <c r="O1939" s="15" t="s">
        <v>44</v>
      </c>
      <c r="P1939" s="15" t="s">
        <v>6026</v>
      </c>
      <c r="Q1939" s="15" t="s">
        <v>6027</v>
      </c>
      <c r="R1939" s="16">
        <v>44329</v>
      </c>
      <c r="S1939" s="17" t="s">
        <v>7866</v>
      </c>
      <c r="T1939" s="20">
        <f>HYPERLINK("https://vnm.spiral.com.vn//uploaded/20210513/23cbecb0-adb4-45b6-ac42-8cf374d00537.JPEG","07:33:01")</f>
      </c>
      <c r="U1939" s="20">
        <f>HYPERLINK("https://vnm.spiral.com.vn//uploaded/20210513/f409741b-3730-46bd-84b8-1603aa1d06f7.JPEG","11:49:18")</f>
      </c>
      <c r="V1939" s="18">
        <v>0.17797453703703703</v>
      </c>
      <c r="W1939" s="15" t="s">
        <v>10601</v>
      </c>
      <c r="X1939" s="15" t="s">
        <v>10602</v>
      </c>
      <c r="Y1939" s="15" t="s">
        <v>35</v>
      </c>
      <c r="Z1939" s="19">
        <v>0</v>
      </c>
      <c r="AA1939" s="15">
        <v>0</v>
      </c>
      <c r="AB1939" s="15" t="s">
        <v>35</v>
      </c>
    </row>
    <row r="1940">
      <c r="A1940" s="15">
        <v>1936</v>
      </c>
      <c r="B1940" s="15" t="s">
        <v>87</v>
      </c>
      <c r="C1940" s="15" t="s">
        <v>88</v>
      </c>
      <c r="D1940" s="15" t="s">
        <v>35</v>
      </c>
      <c r="E1940" s="15" t="s">
        <v>35</v>
      </c>
      <c r="F1940" s="15" t="s">
        <v>2667</v>
      </c>
      <c r="G1940" s="15" t="s">
        <v>36</v>
      </c>
      <c r="H1940" s="15" t="s">
        <v>10603</v>
      </c>
      <c r="I1940" s="15" t="s">
        <v>10604</v>
      </c>
      <c r="J1940" s="15" t="s">
        <v>10605</v>
      </c>
      <c r="K1940" s="15" t="s">
        <v>40</v>
      </c>
      <c r="L1940" s="15" t="s">
        <v>41</v>
      </c>
      <c r="M1940" s="15" t="s">
        <v>1195</v>
      </c>
      <c r="N1940" s="15" t="s">
        <v>1196</v>
      </c>
      <c r="O1940" s="15" t="s">
        <v>44</v>
      </c>
      <c r="P1940" s="15" t="s">
        <v>10606</v>
      </c>
      <c r="Q1940" s="15" t="s">
        <v>10607</v>
      </c>
      <c r="R1940" s="16">
        <v>44329</v>
      </c>
      <c r="S1940" s="17" t="s">
        <v>6144</v>
      </c>
      <c r="T1940" s="20">
        <f>HYPERLINK("https://vnm.spiral.com.vn//uploaded/20210513/b7c74525-163e-4e05-aeca-e894d3d670e7.JPEG","11:49:06")</f>
      </c>
      <c r="U1940" s="18"/>
      <c r="V1940" s="18" t="s">
        <v>35</v>
      </c>
      <c r="W1940" s="15" t="s">
        <v>10608</v>
      </c>
      <c r="X1940" s="15" t="s">
        <v>35</v>
      </c>
      <c r="Y1940" s="15" t="s">
        <v>35</v>
      </c>
      <c r="Z1940" s="19">
        <v>0</v>
      </c>
      <c r="AA1940" s="15">
        <v>0</v>
      </c>
      <c r="AB1940" s="15" t="s">
        <v>35</v>
      </c>
    </row>
    <row r="1941">
      <c r="A1941" s="15">
        <v>1937</v>
      </c>
      <c r="B1941" s="15" t="s">
        <v>61</v>
      </c>
      <c r="C1941" s="15" t="s">
        <v>303</v>
      </c>
      <c r="D1941" s="15" t="s">
        <v>135</v>
      </c>
      <c r="E1941" s="15" t="s">
        <v>116</v>
      </c>
      <c r="F1941" s="15" t="s">
        <v>35</v>
      </c>
      <c r="G1941" s="15" t="s">
        <v>74</v>
      </c>
      <c r="H1941" s="15" t="s">
        <v>10609</v>
      </c>
      <c r="I1941" s="15" t="s">
        <v>10610</v>
      </c>
      <c r="J1941" s="15" t="s">
        <v>10611</v>
      </c>
      <c r="K1941" s="15" t="s">
        <v>232</v>
      </c>
      <c r="L1941" s="15" t="s">
        <v>233</v>
      </c>
      <c r="M1941" s="15" t="s">
        <v>503</v>
      </c>
      <c r="N1941" s="15" t="s">
        <v>504</v>
      </c>
      <c r="O1941" s="15" t="s">
        <v>82</v>
      </c>
      <c r="P1941" s="15" t="s">
        <v>2063</v>
      </c>
      <c r="Q1941" s="15" t="s">
        <v>2064</v>
      </c>
      <c r="R1941" s="16">
        <v>44329</v>
      </c>
      <c r="S1941" s="17" t="s">
        <v>70</v>
      </c>
      <c r="T1941" s="20">
        <f>HYPERLINK("https://vnm.spiral.com.vn//uploaded/20210513/A12B3DCC-5F56-419B-BBD6-975D999F36C7.jpg","11:28:10")</f>
      </c>
      <c r="U1941" s="20">
        <f>HYPERLINK("https://vnm.spiral.com.vn//uploaded/20210513/A86159A8-6E7E-4E7F-BE9F-098C5F917601.jpg","11:48:58")</f>
      </c>
      <c r="V1941" s="18">
        <v>0.014444444444444444</v>
      </c>
      <c r="W1941" s="15" t="s">
        <v>10612</v>
      </c>
      <c r="X1941" s="15" t="s">
        <v>10613</v>
      </c>
      <c r="Y1941" s="15" t="s">
        <v>35</v>
      </c>
      <c r="Z1941" s="19">
        <v>0</v>
      </c>
      <c r="AA1941" s="15">
        <v>0</v>
      </c>
      <c r="AB1941" s="15" t="s">
        <v>35</v>
      </c>
    </row>
    <row r="1942">
      <c r="A1942" s="15">
        <v>1938</v>
      </c>
      <c r="B1942" s="15" t="s">
        <v>61</v>
      </c>
      <c r="C1942" s="15" t="s">
        <v>1106</v>
      </c>
      <c r="D1942" s="15" t="s">
        <v>35</v>
      </c>
      <c r="E1942" s="15" t="s">
        <v>35</v>
      </c>
      <c r="F1942" s="15" t="s">
        <v>10614</v>
      </c>
      <c r="G1942" s="15" t="s">
        <v>36</v>
      </c>
      <c r="H1942" s="15" t="s">
        <v>10615</v>
      </c>
      <c r="I1942" s="15" t="s">
        <v>10616</v>
      </c>
      <c r="J1942" s="15" t="s">
        <v>10617</v>
      </c>
      <c r="K1942" s="15" t="s">
        <v>40</v>
      </c>
      <c r="L1942" s="15" t="s">
        <v>41</v>
      </c>
      <c r="M1942" s="15" t="s">
        <v>66</v>
      </c>
      <c r="N1942" s="15" t="s">
        <v>67</v>
      </c>
      <c r="O1942" s="15" t="s">
        <v>44</v>
      </c>
      <c r="P1942" s="15" t="s">
        <v>10618</v>
      </c>
      <c r="Q1942" s="15" t="s">
        <v>10619</v>
      </c>
      <c r="R1942" s="16">
        <v>44329</v>
      </c>
      <c r="S1942" s="17" t="s">
        <v>9729</v>
      </c>
      <c r="T1942" s="20">
        <f>HYPERLINK("https://vnm.spiral.com.vn//uploaded/20210513/acea788d-6222-423c-9b0d-e6f2bdf00efa.JPEG","11:48:46")</f>
      </c>
      <c r="U1942" s="18"/>
      <c r="V1942" s="18" t="s">
        <v>35</v>
      </c>
      <c r="W1942" s="15" t="s">
        <v>10620</v>
      </c>
      <c r="X1942" s="15" t="s">
        <v>35</v>
      </c>
      <c r="Y1942" s="15" t="s">
        <v>35</v>
      </c>
      <c r="Z1942" s="19">
        <v>0</v>
      </c>
      <c r="AA1942" s="15">
        <v>0</v>
      </c>
      <c r="AB1942" s="15" t="s">
        <v>35</v>
      </c>
    </row>
    <row r="1943">
      <c r="A1943" s="15">
        <v>1939</v>
      </c>
      <c r="B1943" s="15" t="s">
        <v>87</v>
      </c>
      <c r="C1943" s="15" t="s">
        <v>88</v>
      </c>
      <c r="D1943" s="15" t="s">
        <v>135</v>
      </c>
      <c r="E1943" s="15" t="s">
        <v>116</v>
      </c>
      <c r="F1943" s="15" t="s">
        <v>35</v>
      </c>
      <c r="G1943" s="15" t="s">
        <v>74</v>
      </c>
      <c r="H1943" s="15" t="s">
        <v>10621</v>
      </c>
      <c r="I1943" s="15" t="s">
        <v>10622</v>
      </c>
      <c r="J1943" s="15" t="s">
        <v>10623</v>
      </c>
      <c r="K1943" s="15" t="s">
        <v>390</v>
      </c>
      <c r="L1943" s="15" t="s">
        <v>391</v>
      </c>
      <c r="M1943" s="15" t="s">
        <v>392</v>
      </c>
      <c r="N1943" s="15" t="s">
        <v>393</v>
      </c>
      <c r="O1943" s="15" t="s">
        <v>82</v>
      </c>
      <c r="P1943" s="15" t="s">
        <v>1980</v>
      </c>
      <c r="Q1943" s="15" t="s">
        <v>1981</v>
      </c>
      <c r="R1943" s="16">
        <v>44329</v>
      </c>
      <c r="S1943" s="17" t="s">
        <v>70</v>
      </c>
      <c r="T1943" s="20">
        <f>HYPERLINK("https://vnm.spiral.com.vn//uploaded/20210513/d470b45b-b7f2-413a-b1a5-31b600ce002e.JPEG","10:28:50")</f>
      </c>
      <c r="U1943" s="20">
        <f>HYPERLINK("https://vnm.spiral.com.vn//uploaded/20210513/3812cca8-48f4-44c4-93d3-367a209847fc.JPEG","11:48:31")</f>
      </c>
      <c r="V1943" s="18">
        <v>0.05533564814814815</v>
      </c>
      <c r="W1943" s="15" t="s">
        <v>10624</v>
      </c>
      <c r="X1943" s="15" t="s">
        <v>10625</v>
      </c>
      <c r="Y1943" s="15" t="s">
        <v>35</v>
      </c>
      <c r="Z1943" s="19">
        <v>0</v>
      </c>
      <c r="AA1943" s="15">
        <v>0</v>
      </c>
      <c r="AB1943" s="15" t="s">
        <v>35</v>
      </c>
    </row>
    <row r="1944">
      <c r="A1944" s="15">
        <v>1940</v>
      </c>
      <c r="B1944" s="15" t="s">
        <v>87</v>
      </c>
      <c r="C1944" s="15" t="s">
        <v>88</v>
      </c>
      <c r="D1944" s="15" t="s">
        <v>35</v>
      </c>
      <c r="E1944" s="15" t="s">
        <v>35</v>
      </c>
      <c r="F1944" s="15" t="s">
        <v>2721</v>
      </c>
      <c r="G1944" s="15" t="s">
        <v>36</v>
      </c>
      <c r="H1944" s="15" t="s">
        <v>2722</v>
      </c>
      <c r="I1944" s="15" t="s">
        <v>2723</v>
      </c>
      <c r="J1944" s="15" t="s">
        <v>2724</v>
      </c>
      <c r="K1944" s="15" t="s">
        <v>40</v>
      </c>
      <c r="L1944" s="15" t="s">
        <v>41</v>
      </c>
      <c r="M1944" s="15" t="s">
        <v>1195</v>
      </c>
      <c r="N1944" s="15" t="s">
        <v>1196</v>
      </c>
      <c r="O1944" s="15" t="s">
        <v>44</v>
      </c>
      <c r="P1944" s="15" t="s">
        <v>2725</v>
      </c>
      <c r="Q1944" s="15" t="s">
        <v>2726</v>
      </c>
      <c r="R1944" s="16">
        <v>44329</v>
      </c>
      <c r="S1944" s="17" t="s">
        <v>10586</v>
      </c>
      <c r="T1944" s="20">
        <f>HYPERLINK("https://vnm.spiral.com.vn//uploaded/20210513/3f915698-6d57-4c07-b9b8-e8d7b0b1ced1.JPEG","05:59:58")</f>
      </c>
      <c r="U1944" s="20">
        <f>HYPERLINK("https://vnm.spiral.com.vn//uploaded/20210513/35e9a3eb-80a9-462d-b7c9-b71c1f65d453.JPEG","11:48:30")</f>
      </c>
      <c r="V1944" s="18">
        <v>0.24203703703703705</v>
      </c>
      <c r="W1944" s="15" t="s">
        <v>10626</v>
      </c>
      <c r="X1944" s="15" t="s">
        <v>10627</v>
      </c>
      <c r="Y1944" s="15" t="s">
        <v>35</v>
      </c>
      <c r="Z1944" s="19">
        <v>0</v>
      </c>
      <c r="AA1944" s="15">
        <v>0</v>
      </c>
      <c r="AB1944" s="15" t="s">
        <v>35</v>
      </c>
    </row>
    <row r="1945">
      <c r="A1945" s="15">
        <v>1941</v>
      </c>
      <c r="B1945" s="15" t="s">
        <v>61</v>
      </c>
      <c r="C1945" s="15" t="s">
        <v>303</v>
      </c>
      <c r="D1945" s="15" t="s">
        <v>304</v>
      </c>
      <c r="E1945" s="15" t="s">
        <v>305</v>
      </c>
      <c r="F1945" s="15" t="s">
        <v>35</v>
      </c>
      <c r="G1945" s="15" t="s">
        <v>74</v>
      </c>
      <c r="H1945" s="15" t="s">
        <v>306</v>
      </c>
      <c r="I1945" s="15" t="s">
        <v>307</v>
      </c>
      <c r="J1945" s="15" t="s">
        <v>308</v>
      </c>
      <c r="K1945" s="15" t="s">
        <v>309</v>
      </c>
      <c r="L1945" s="15" t="s">
        <v>310</v>
      </c>
      <c r="M1945" s="15" t="s">
        <v>311</v>
      </c>
      <c r="N1945" s="15" t="s">
        <v>312</v>
      </c>
      <c r="O1945" s="15" t="s">
        <v>156</v>
      </c>
      <c r="P1945" s="15" t="s">
        <v>10628</v>
      </c>
      <c r="Q1945" s="15" t="s">
        <v>10629</v>
      </c>
      <c r="R1945" s="16">
        <v>44329</v>
      </c>
      <c r="S1945" s="17" t="s">
        <v>9455</v>
      </c>
      <c r="T1945" s="20">
        <f>HYPERLINK("https://vnm.spiral.com.vn//uploaded/20210513/d9761a87-a7b7-4e4b-bad7-d8e5d20395ea.JPEG","11:48:30")</f>
      </c>
      <c r="U1945" s="18"/>
      <c r="V1945" s="18" t="s">
        <v>35</v>
      </c>
      <c r="W1945" s="15" t="s">
        <v>10630</v>
      </c>
      <c r="X1945" s="15" t="s">
        <v>35</v>
      </c>
      <c r="Y1945" s="15" t="s">
        <v>35</v>
      </c>
      <c r="Z1945" s="19">
        <v>0</v>
      </c>
      <c r="AA1945" s="15">
        <v>0</v>
      </c>
      <c r="AB1945" s="15" t="s">
        <v>35</v>
      </c>
    </row>
    <row r="1946">
      <c r="A1946" s="15">
        <v>1942</v>
      </c>
      <c r="B1946" s="15" t="s">
        <v>61</v>
      </c>
      <c r="C1946" s="15" t="s">
        <v>737</v>
      </c>
      <c r="D1946" s="15" t="s">
        <v>35</v>
      </c>
      <c r="E1946" s="15" t="s">
        <v>35</v>
      </c>
      <c r="F1946" s="15" t="s">
        <v>35</v>
      </c>
      <c r="G1946" s="15" t="s">
        <v>36</v>
      </c>
      <c r="H1946" s="15" t="s">
        <v>7907</v>
      </c>
      <c r="I1946" s="15" t="s">
        <v>7908</v>
      </c>
      <c r="J1946" s="15" t="s">
        <v>7909</v>
      </c>
      <c r="K1946" s="15" t="s">
        <v>40</v>
      </c>
      <c r="L1946" s="15" t="s">
        <v>41</v>
      </c>
      <c r="M1946" s="15" t="s">
        <v>205</v>
      </c>
      <c r="N1946" s="15" t="s">
        <v>206</v>
      </c>
      <c r="O1946" s="15" t="s">
        <v>44</v>
      </c>
      <c r="P1946" s="15" t="s">
        <v>7910</v>
      </c>
      <c r="Q1946" s="15" t="s">
        <v>7911</v>
      </c>
      <c r="R1946" s="16">
        <v>44329</v>
      </c>
      <c r="S1946" s="17" t="s">
        <v>7866</v>
      </c>
      <c r="T1946" s="20">
        <f>HYPERLINK("https://vnm.spiral.com.vn//uploaded/20210513/b2ef8154-3e75-4608-b3b7-9e9bb14e6ea6.JPEG","07:26:49")</f>
      </c>
      <c r="U1946" s="20">
        <f>HYPERLINK("https://vnm.spiral.com.vn//uploaded/20210513/f88ae63e-e86a-4de7-b3ea-da26d1518d32.JPEG","11:48:24")</f>
      </c>
      <c r="V1946" s="18">
        <v>0.1816550925925926</v>
      </c>
      <c r="W1946" s="15" t="s">
        <v>10631</v>
      </c>
      <c r="X1946" s="15" t="s">
        <v>10632</v>
      </c>
      <c r="Y1946" s="15" t="s">
        <v>35</v>
      </c>
      <c r="Z1946" s="19">
        <v>0</v>
      </c>
      <c r="AA1946" s="15">
        <v>0</v>
      </c>
      <c r="AB1946" s="15" t="s">
        <v>35</v>
      </c>
    </row>
    <row r="1947">
      <c r="A1947" s="15">
        <v>1943</v>
      </c>
      <c r="B1947" s="15" t="s">
        <v>246</v>
      </c>
      <c r="C1947" s="15" t="s">
        <v>276</v>
      </c>
      <c r="D1947" s="15" t="s">
        <v>35</v>
      </c>
      <c r="E1947" s="15" t="s">
        <v>35</v>
      </c>
      <c r="F1947" s="15" t="s">
        <v>8302</v>
      </c>
      <c r="G1947" s="15" t="s">
        <v>36</v>
      </c>
      <c r="H1947" s="15" t="s">
        <v>8303</v>
      </c>
      <c r="I1947" s="15" t="s">
        <v>7731</v>
      </c>
      <c r="J1947" s="15" t="s">
        <v>8304</v>
      </c>
      <c r="K1947" s="15" t="s">
        <v>40</v>
      </c>
      <c r="L1947" s="15" t="s">
        <v>41</v>
      </c>
      <c r="M1947" s="15" t="s">
        <v>252</v>
      </c>
      <c r="N1947" s="15" t="s">
        <v>253</v>
      </c>
      <c r="O1947" s="15" t="s">
        <v>44</v>
      </c>
      <c r="P1947" s="15" t="s">
        <v>8305</v>
      </c>
      <c r="Q1947" s="15" t="s">
        <v>3745</v>
      </c>
      <c r="R1947" s="16">
        <v>44329</v>
      </c>
      <c r="S1947" s="17" t="s">
        <v>7866</v>
      </c>
      <c r="T1947" s="20">
        <f>HYPERLINK("https://vnm.spiral.com.vn//uploaded/20210513/F169CB1B-9665-46E9-8377-805013C33854.jpg","07:10:44")</f>
      </c>
      <c r="U1947" s="20">
        <f>HYPERLINK("https://vnm.spiral.com.vn//uploaded/20210513/04ABF01D-B0F2-43FB-B796-2BA2E92883B8.jpg","11:48:10")</f>
      </c>
      <c r="V1947" s="18">
        <v>0.19266203703703705</v>
      </c>
      <c r="W1947" s="15" t="s">
        <v>10633</v>
      </c>
      <c r="X1947" s="15" t="s">
        <v>10634</v>
      </c>
      <c r="Y1947" s="15" t="s">
        <v>35</v>
      </c>
      <c r="Z1947" s="19">
        <v>0</v>
      </c>
      <c r="AA1947" s="15">
        <v>0</v>
      </c>
      <c r="AB1947" s="15" t="s">
        <v>35</v>
      </c>
    </row>
    <row r="1948">
      <c r="A1948" s="15">
        <v>1944</v>
      </c>
      <c r="B1948" s="15" t="s">
        <v>343</v>
      </c>
      <c r="C1948" s="15" t="s">
        <v>344</v>
      </c>
      <c r="D1948" s="15" t="s">
        <v>35</v>
      </c>
      <c r="E1948" s="15" t="s">
        <v>35</v>
      </c>
      <c r="F1948" s="15" t="s">
        <v>35</v>
      </c>
      <c r="G1948" s="15" t="s">
        <v>36</v>
      </c>
      <c r="H1948" s="15" t="s">
        <v>681</v>
      </c>
      <c r="I1948" s="15" t="s">
        <v>682</v>
      </c>
      <c r="J1948" s="15" t="s">
        <v>683</v>
      </c>
      <c r="K1948" s="15" t="s">
        <v>40</v>
      </c>
      <c r="L1948" s="15" t="s">
        <v>41</v>
      </c>
      <c r="M1948" s="15" t="s">
        <v>595</v>
      </c>
      <c r="N1948" s="15" t="s">
        <v>596</v>
      </c>
      <c r="O1948" s="15" t="s">
        <v>44</v>
      </c>
      <c r="P1948" s="15" t="s">
        <v>684</v>
      </c>
      <c r="Q1948" s="15" t="s">
        <v>685</v>
      </c>
      <c r="R1948" s="16">
        <v>44329</v>
      </c>
      <c r="S1948" s="17" t="s">
        <v>317</v>
      </c>
      <c r="T1948" s="20">
        <f>HYPERLINK("https://vnm.spiral.com.vn//uploaded/20210513/FDB95C0D-7D86-4B98-8E4F-69E70E64272C.jpg","08:08:14")</f>
      </c>
      <c r="U1948" s="20">
        <f>HYPERLINK("https://vnm.spiral.com.vn//uploaded/20210513/656AF494-8DFA-4DF0-A81E-9DC8AE744B12.jpg","11:47:58")</f>
      </c>
      <c r="V1948" s="18">
        <v>0.15259259259259259</v>
      </c>
      <c r="W1948" s="15" t="s">
        <v>10635</v>
      </c>
      <c r="X1948" s="15" t="s">
        <v>10636</v>
      </c>
      <c r="Y1948" s="15" t="s">
        <v>35</v>
      </c>
      <c r="Z1948" s="19">
        <v>0</v>
      </c>
      <c r="AA1948" s="15">
        <v>0</v>
      </c>
      <c r="AB1948" s="15" t="s">
        <v>35</v>
      </c>
    </row>
    <row r="1949">
      <c r="A1949" s="15">
        <v>1945</v>
      </c>
      <c r="B1949" s="15" t="s">
        <v>61</v>
      </c>
      <c r="C1949" s="15" t="s">
        <v>62</v>
      </c>
      <c r="D1949" s="15" t="s">
        <v>89</v>
      </c>
      <c r="E1949" s="15" t="s">
        <v>90</v>
      </c>
      <c r="F1949" s="15" t="s">
        <v>35</v>
      </c>
      <c r="G1949" s="15" t="s">
        <v>74</v>
      </c>
      <c r="H1949" s="15" t="s">
        <v>10637</v>
      </c>
      <c r="I1949" s="15" t="s">
        <v>10638</v>
      </c>
      <c r="J1949" s="15" t="s">
        <v>10639</v>
      </c>
      <c r="K1949" s="15" t="s">
        <v>1586</v>
      </c>
      <c r="L1949" s="15" t="s">
        <v>1587</v>
      </c>
      <c r="M1949" s="15" t="s">
        <v>1588</v>
      </c>
      <c r="N1949" s="15" t="s">
        <v>1589</v>
      </c>
      <c r="O1949" s="15" t="s">
        <v>156</v>
      </c>
      <c r="P1949" s="15" t="s">
        <v>10640</v>
      </c>
      <c r="Q1949" s="15" t="s">
        <v>10641</v>
      </c>
      <c r="R1949" s="16">
        <v>44329</v>
      </c>
      <c r="S1949" s="17" t="s">
        <v>9455</v>
      </c>
      <c r="T1949" s="20">
        <f>HYPERLINK("https://vnm.spiral.com.vn//uploaded/20210513/01147e7c-e4f4-453e-ba3a-a70e1e59ffad.JPEG","11:47:50")</f>
      </c>
      <c r="U1949" s="18"/>
      <c r="V1949" s="18" t="s">
        <v>35</v>
      </c>
      <c r="W1949" s="15" t="s">
        <v>10642</v>
      </c>
      <c r="X1949" s="15" t="s">
        <v>35</v>
      </c>
      <c r="Y1949" s="15" t="s">
        <v>35</v>
      </c>
      <c r="Z1949" s="19">
        <v>0</v>
      </c>
      <c r="AA1949" s="15">
        <v>0</v>
      </c>
      <c r="AB1949" s="15" t="s">
        <v>35</v>
      </c>
    </row>
    <row r="1950">
      <c r="A1950" s="15">
        <v>1946</v>
      </c>
      <c r="B1950" s="15" t="s">
        <v>246</v>
      </c>
      <c r="C1950" s="15" t="s">
        <v>247</v>
      </c>
      <c r="D1950" s="15" t="s">
        <v>35</v>
      </c>
      <c r="E1950" s="15" t="s">
        <v>35</v>
      </c>
      <c r="F1950" s="15" t="s">
        <v>5302</v>
      </c>
      <c r="G1950" s="15" t="s">
        <v>36</v>
      </c>
      <c r="H1950" s="15" t="s">
        <v>5303</v>
      </c>
      <c r="I1950" s="15" t="s">
        <v>5304</v>
      </c>
      <c r="J1950" s="15" t="s">
        <v>5305</v>
      </c>
      <c r="K1950" s="15" t="s">
        <v>40</v>
      </c>
      <c r="L1950" s="15" t="s">
        <v>41</v>
      </c>
      <c r="M1950" s="15" t="s">
        <v>252</v>
      </c>
      <c r="N1950" s="15" t="s">
        <v>253</v>
      </c>
      <c r="O1950" s="15" t="s">
        <v>44</v>
      </c>
      <c r="P1950" s="15" t="s">
        <v>5306</v>
      </c>
      <c r="Q1950" s="15" t="s">
        <v>5307</v>
      </c>
      <c r="R1950" s="16">
        <v>44329</v>
      </c>
      <c r="S1950" s="17" t="s">
        <v>317</v>
      </c>
      <c r="T1950" s="20">
        <f>HYPERLINK("https://vnm.spiral.com.vn//uploaded/20210513/9711F3D1-D922-4352-BC8B-F05670CCA600.jpg","08:03:46")</f>
      </c>
      <c r="U1950" s="20">
        <f>HYPERLINK("https://vnm.spiral.com.vn//uploaded/20210513/0780CDCC-9DB6-4FF4-88B8-DD2CAF8B7995.jpg","11:47:37")</f>
      </c>
      <c r="V1950" s="18">
        <v>0.15545138888888888</v>
      </c>
      <c r="W1950" s="15" t="s">
        <v>10643</v>
      </c>
      <c r="X1950" s="15" t="s">
        <v>10644</v>
      </c>
      <c r="Y1950" s="15" t="s">
        <v>35</v>
      </c>
      <c r="Z1950" s="19">
        <v>0</v>
      </c>
      <c r="AA1950" s="15">
        <v>0</v>
      </c>
      <c r="AB1950" s="15" t="s">
        <v>35</v>
      </c>
    </row>
    <row r="1951">
      <c r="A1951" s="15">
        <v>1947</v>
      </c>
      <c r="B1951" s="15" t="s">
        <v>246</v>
      </c>
      <c r="C1951" s="15" t="s">
        <v>276</v>
      </c>
      <c r="D1951" s="15" t="s">
        <v>304</v>
      </c>
      <c r="E1951" s="15" t="s">
        <v>305</v>
      </c>
      <c r="F1951" s="15" t="s">
        <v>35</v>
      </c>
      <c r="G1951" s="15" t="s">
        <v>74</v>
      </c>
      <c r="H1951" s="15" t="s">
        <v>5149</v>
      </c>
      <c r="I1951" s="15" t="s">
        <v>5150</v>
      </c>
      <c r="J1951" s="15" t="s">
        <v>5151</v>
      </c>
      <c r="K1951" s="15" t="s">
        <v>263</v>
      </c>
      <c r="L1951" s="15" t="s">
        <v>264</v>
      </c>
      <c r="M1951" s="15" t="s">
        <v>280</v>
      </c>
      <c r="N1951" s="15" t="s">
        <v>281</v>
      </c>
      <c r="O1951" s="15" t="s">
        <v>156</v>
      </c>
      <c r="P1951" s="15" t="s">
        <v>551</v>
      </c>
      <c r="Q1951" s="15" t="s">
        <v>552</v>
      </c>
      <c r="R1951" s="16">
        <v>44329</v>
      </c>
      <c r="S1951" s="17" t="s">
        <v>7866</v>
      </c>
      <c r="T1951" s="20">
        <f>HYPERLINK("https://vnm.spiral.com.vn//uploaded/20210513/B33DA65D-B0CD-4B42-8091-1560E1E16F4F.jpg","07:23:23")</f>
      </c>
      <c r="U1951" s="20">
        <f>HYPERLINK("https://vnm.spiral.com.vn//uploaded/20210513/A22F8882-AD5D-43AF-BFD9-9597F00EF45E.jpg","11:47:36")</f>
      </c>
      <c r="V1951" s="18">
        <v>0.1834837962962963</v>
      </c>
      <c r="W1951" s="15" t="s">
        <v>10645</v>
      </c>
      <c r="X1951" s="15" t="s">
        <v>10646</v>
      </c>
      <c r="Y1951" s="15" t="s">
        <v>35</v>
      </c>
      <c r="Z1951" s="19">
        <v>0</v>
      </c>
      <c r="AA1951" s="15">
        <v>0</v>
      </c>
      <c r="AB1951" s="15" t="s">
        <v>35</v>
      </c>
    </row>
    <row r="1952">
      <c r="A1952" s="15">
        <v>1948</v>
      </c>
      <c r="B1952" s="15" t="s">
        <v>61</v>
      </c>
      <c r="C1952" s="15" t="s">
        <v>303</v>
      </c>
      <c r="D1952" s="15" t="s">
        <v>35</v>
      </c>
      <c r="E1952" s="15" t="s">
        <v>35</v>
      </c>
      <c r="F1952" s="15" t="s">
        <v>1947</v>
      </c>
      <c r="G1952" s="15" t="s">
        <v>36</v>
      </c>
      <c r="H1952" s="15" t="s">
        <v>6297</v>
      </c>
      <c r="I1952" s="15" t="s">
        <v>6298</v>
      </c>
      <c r="J1952" s="15" t="s">
        <v>6299</v>
      </c>
      <c r="K1952" s="15" t="s">
        <v>40</v>
      </c>
      <c r="L1952" s="15" t="s">
        <v>41</v>
      </c>
      <c r="M1952" s="15" t="s">
        <v>205</v>
      </c>
      <c r="N1952" s="15" t="s">
        <v>206</v>
      </c>
      <c r="O1952" s="15" t="s">
        <v>44</v>
      </c>
      <c r="P1952" s="15" t="s">
        <v>6300</v>
      </c>
      <c r="Q1952" s="15" t="s">
        <v>6301</v>
      </c>
      <c r="R1952" s="16">
        <v>44329</v>
      </c>
      <c r="S1952" s="17" t="s">
        <v>8968</v>
      </c>
      <c r="T1952" s="20">
        <f>HYPERLINK("https://vnm.spiral.com.vn//uploaded/20210513/293439dc-d446-4517-87b3-89503da52f3e.JPEG","07:13:05")</f>
      </c>
      <c r="U1952" s="20">
        <f>HYPERLINK("https://vnm.spiral.com.vn//uploaded/20210513/d3c8f559-ea77-49d3-9aef-03cc930ce6dc.JPEG","11:47:27")</f>
      </c>
      <c r="V1952" s="18">
        <v>0.1905324074074074</v>
      </c>
      <c r="W1952" s="15" t="s">
        <v>10647</v>
      </c>
      <c r="X1952" s="15" t="s">
        <v>10648</v>
      </c>
      <c r="Y1952" s="15" t="s">
        <v>35</v>
      </c>
      <c r="Z1952" s="19">
        <v>0</v>
      </c>
      <c r="AA1952" s="15">
        <v>0</v>
      </c>
      <c r="AB1952" s="15" t="s">
        <v>35</v>
      </c>
    </row>
    <row r="1953">
      <c r="A1953" s="15">
        <v>1949</v>
      </c>
      <c r="B1953" s="15" t="s">
        <v>343</v>
      </c>
      <c r="C1953" s="15" t="s">
        <v>2069</v>
      </c>
      <c r="D1953" s="15" t="s">
        <v>35</v>
      </c>
      <c r="E1953" s="15" t="s">
        <v>35</v>
      </c>
      <c r="F1953" s="15" t="s">
        <v>35</v>
      </c>
      <c r="G1953" s="15" t="s">
        <v>36</v>
      </c>
      <c r="H1953" s="15" t="s">
        <v>8646</v>
      </c>
      <c r="I1953" s="15" t="s">
        <v>8647</v>
      </c>
      <c r="J1953" s="15" t="s">
        <v>8648</v>
      </c>
      <c r="K1953" s="15" t="s">
        <v>40</v>
      </c>
      <c r="L1953" s="15" t="s">
        <v>41</v>
      </c>
      <c r="M1953" s="15" t="s">
        <v>595</v>
      </c>
      <c r="N1953" s="15" t="s">
        <v>596</v>
      </c>
      <c r="O1953" s="15" t="s">
        <v>44</v>
      </c>
      <c r="P1953" s="15" t="s">
        <v>8649</v>
      </c>
      <c r="Q1953" s="15" t="s">
        <v>8650</v>
      </c>
      <c r="R1953" s="16">
        <v>44329</v>
      </c>
      <c r="S1953" s="17" t="s">
        <v>317</v>
      </c>
      <c r="T1953" s="20">
        <f>HYPERLINK("https://vnm.spiral.com.vn//uploaded/20210513/0E81871C-3415-4577-BA57-B1F415C9980C.jpg","07:46:31")</f>
      </c>
      <c r="U1953" s="20">
        <f>HYPERLINK("https://vnm.spiral.com.vn//uploaded/20210513/8A04BA47-372F-428C-B425-A185014B8327.jpg","11:47:18")</f>
      </c>
      <c r="V1953" s="18">
        <v>0.16721064814814815</v>
      </c>
      <c r="W1953" s="15" t="s">
        <v>10649</v>
      </c>
      <c r="X1953" s="15" t="s">
        <v>10650</v>
      </c>
      <c r="Y1953" s="15" t="s">
        <v>35</v>
      </c>
      <c r="Z1953" s="19">
        <v>0</v>
      </c>
      <c r="AA1953" s="15">
        <v>0</v>
      </c>
      <c r="AB1953" s="15" t="s">
        <v>35</v>
      </c>
    </row>
    <row r="1954">
      <c r="A1954" s="15">
        <v>1950</v>
      </c>
      <c r="B1954" s="15" t="s">
        <v>343</v>
      </c>
      <c r="C1954" s="15" t="s">
        <v>7476</v>
      </c>
      <c r="D1954" s="15" t="s">
        <v>35</v>
      </c>
      <c r="E1954" s="15" t="s">
        <v>35</v>
      </c>
      <c r="F1954" s="15" t="s">
        <v>8219</v>
      </c>
      <c r="G1954" s="15" t="s">
        <v>36</v>
      </c>
      <c r="H1954" s="15" t="s">
        <v>8220</v>
      </c>
      <c r="I1954" s="15" t="s">
        <v>8221</v>
      </c>
      <c r="J1954" s="15" t="s">
        <v>8222</v>
      </c>
      <c r="K1954" s="15" t="s">
        <v>40</v>
      </c>
      <c r="L1954" s="15" t="s">
        <v>41</v>
      </c>
      <c r="M1954" s="15" t="s">
        <v>409</v>
      </c>
      <c r="N1954" s="15" t="s">
        <v>410</v>
      </c>
      <c r="O1954" s="15" t="s">
        <v>44</v>
      </c>
      <c r="P1954" s="15" t="s">
        <v>8223</v>
      </c>
      <c r="Q1954" s="15" t="s">
        <v>8224</v>
      </c>
      <c r="R1954" s="16">
        <v>44329</v>
      </c>
      <c r="S1954" s="17" t="s">
        <v>10651</v>
      </c>
      <c r="T1954" s="20">
        <f>HYPERLINK("https://vnm.spiral.com.vn//uploaded/20210513/74E18C81-69F8-4F69-A5E3-99629CB35C8B.jpg","07:45:08")</f>
      </c>
      <c r="U1954" s="20">
        <f>HYPERLINK("https://vnm.spiral.com.vn//uploaded/20210513/E0D3B5F7-80AC-4149-B49C-2737996993CC.jpg","11:47:00")</f>
      </c>
      <c r="V1954" s="18">
        <v>0.16796296296296295</v>
      </c>
      <c r="W1954" s="15" t="s">
        <v>10652</v>
      </c>
      <c r="X1954" s="15" t="s">
        <v>10653</v>
      </c>
      <c r="Y1954" s="15" t="s">
        <v>35</v>
      </c>
      <c r="Z1954" s="19">
        <v>0</v>
      </c>
      <c r="AA1954" s="15">
        <v>0</v>
      </c>
      <c r="AB1954" s="15" t="s">
        <v>35</v>
      </c>
    </row>
    <row r="1955">
      <c r="A1955" s="15">
        <v>1951</v>
      </c>
      <c r="B1955" s="15" t="s">
        <v>61</v>
      </c>
      <c r="C1955" s="15" t="s">
        <v>303</v>
      </c>
      <c r="D1955" s="15" t="s">
        <v>610</v>
      </c>
      <c r="E1955" s="15" t="s">
        <v>90</v>
      </c>
      <c r="F1955" s="15" t="s">
        <v>35</v>
      </c>
      <c r="G1955" s="15" t="s">
        <v>74</v>
      </c>
      <c r="H1955" s="15" t="s">
        <v>10654</v>
      </c>
      <c r="I1955" s="15" t="s">
        <v>10655</v>
      </c>
      <c r="J1955" s="15" t="s">
        <v>10656</v>
      </c>
      <c r="K1955" s="15" t="s">
        <v>309</v>
      </c>
      <c r="L1955" s="15" t="s">
        <v>310</v>
      </c>
      <c r="M1955" s="15" t="s">
        <v>311</v>
      </c>
      <c r="N1955" s="15" t="s">
        <v>312</v>
      </c>
      <c r="O1955" s="15" t="s">
        <v>82</v>
      </c>
      <c r="P1955" s="15" t="s">
        <v>8750</v>
      </c>
      <c r="Q1955" s="15" t="s">
        <v>8751</v>
      </c>
      <c r="R1955" s="16">
        <v>44329</v>
      </c>
      <c r="S1955" s="17" t="s">
        <v>70</v>
      </c>
      <c r="T1955" s="20">
        <f>HYPERLINK("https://vnm.spiral.com.vn//uploaded/20210513/007BC63E-0290-4819-9CB7-F0B0E1B886EF.jpg","11:00:09")</f>
      </c>
      <c r="U1955" s="20">
        <f>HYPERLINK("https://vnm.spiral.com.vn//uploaded/20210513/32BCF624-D4F3-4A60-BFC6-4BDF9D1F034E.jpg","11:46:39")</f>
      </c>
      <c r="V1955" s="18">
        <v>0.03229166666666667</v>
      </c>
      <c r="W1955" s="15" t="s">
        <v>10657</v>
      </c>
      <c r="X1955" s="15" t="s">
        <v>10658</v>
      </c>
      <c r="Y1955" s="15" t="s">
        <v>35</v>
      </c>
      <c r="Z1955" s="19">
        <v>0</v>
      </c>
      <c r="AA1955" s="15">
        <v>0</v>
      </c>
      <c r="AB1955" s="15" t="s">
        <v>35</v>
      </c>
    </row>
    <row r="1956">
      <c r="A1956" s="15">
        <v>1952</v>
      </c>
      <c r="B1956" s="15" t="s">
        <v>61</v>
      </c>
      <c r="C1956" s="15" t="s">
        <v>303</v>
      </c>
      <c r="D1956" s="15" t="s">
        <v>135</v>
      </c>
      <c r="E1956" s="15" t="s">
        <v>116</v>
      </c>
      <c r="F1956" s="15" t="s">
        <v>35</v>
      </c>
      <c r="G1956" s="15" t="s">
        <v>74</v>
      </c>
      <c r="H1956" s="15" t="s">
        <v>2060</v>
      </c>
      <c r="I1956" s="15" t="s">
        <v>2061</v>
      </c>
      <c r="J1956" s="15" t="s">
        <v>2062</v>
      </c>
      <c r="K1956" s="15" t="s">
        <v>152</v>
      </c>
      <c r="L1956" s="15" t="s">
        <v>153</v>
      </c>
      <c r="M1956" s="15" t="s">
        <v>232</v>
      </c>
      <c r="N1956" s="15" t="s">
        <v>233</v>
      </c>
      <c r="O1956" s="15" t="s">
        <v>98</v>
      </c>
      <c r="P1956" s="15" t="s">
        <v>503</v>
      </c>
      <c r="Q1956" s="15" t="s">
        <v>504</v>
      </c>
      <c r="R1956" s="16">
        <v>44329</v>
      </c>
      <c r="S1956" s="17" t="s">
        <v>70</v>
      </c>
      <c r="T1956" s="20">
        <f>HYPERLINK("https://vnm.spiral.com.vn//uploaded/20210513/ffb67757-4948-41de-bc99-d78e052d792b.JPEG","10:23:24")</f>
      </c>
      <c r="U1956" s="20">
        <f>HYPERLINK("https://vnm.spiral.com.vn//uploaded/20210513/3920ec5c-6e6a-44a8-822c-641bb0d6e021.JPEG","11:46:36")</f>
      </c>
      <c r="V1956" s="18">
        <v>0.057777777777777775</v>
      </c>
      <c r="W1956" s="15" t="s">
        <v>10659</v>
      </c>
      <c r="X1956" s="15" t="s">
        <v>10660</v>
      </c>
      <c r="Y1956" s="15" t="s">
        <v>35</v>
      </c>
      <c r="Z1956" s="19">
        <v>0</v>
      </c>
      <c r="AA1956" s="15">
        <v>0</v>
      </c>
      <c r="AB1956" s="15" t="s">
        <v>35</v>
      </c>
    </row>
    <row r="1957">
      <c r="A1957" s="15">
        <v>1953</v>
      </c>
      <c r="B1957" s="15" t="s">
        <v>343</v>
      </c>
      <c r="C1957" s="15" t="s">
        <v>344</v>
      </c>
      <c r="D1957" s="15" t="s">
        <v>35</v>
      </c>
      <c r="E1957" s="15" t="s">
        <v>35</v>
      </c>
      <c r="F1957" s="15" t="s">
        <v>7087</v>
      </c>
      <c r="G1957" s="15" t="s">
        <v>36</v>
      </c>
      <c r="H1957" s="15" t="s">
        <v>10661</v>
      </c>
      <c r="I1957" s="15" t="s">
        <v>10662</v>
      </c>
      <c r="J1957" s="15" t="s">
        <v>10663</v>
      </c>
      <c r="K1957" s="15" t="s">
        <v>40</v>
      </c>
      <c r="L1957" s="15" t="s">
        <v>41</v>
      </c>
      <c r="M1957" s="15" t="s">
        <v>595</v>
      </c>
      <c r="N1957" s="15" t="s">
        <v>596</v>
      </c>
      <c r="O1957" s="15" t="s">
        <v>44</v>
      </c>
      <c r="P1957" s="15" t="s">
        <v>7091</v>
      </c>
      <c r="Q1957" s="15" t="s">
        <v>7092</v>
      </c>
      <c r="R1957" s="16">
        <v>44329</v>
      </c>
      <c r="S1957" s="17" t="s">
        <v>317</v>
      </c>
      <c r="T1957" s="20">
        <f>HYPERLINK("https://vnm.spiral.com.vn//uploaded/20210513/7497f559-e8b5-44b0-9624-aa93193ee3ed.JPEG","07:49:38")</f>
      </c>
      <c r="U1957" s="20">
        <f>HYPERLINK("https://vnm.spiral.com.vn//uploaded/20210513/29f53911-2e48-41b9-b7db-28841b4dc400.JPEG","11:46:34")</f>
      </c>
      <c r="V1957" s="18">
        <v>0.16453703703703704</v>
      </c>
      <c r="W1957" s="15" t="s">
        <v>10664</v>
      </c>
      <c r="X1957" s="15" t="s">
        <v>10665</v>
      </c>
      <c r="Y1957" s="15" t="s">
        <v>35</v>
      </c>
      <c r="Z1957" s="19">
        <v>0</v>
      </c>
      <c r="AA1957" s="15">
        <v>0</v>
      </c>
      <c r="AB1957" s="15" t="s">
        <v>35</v>
      </c>
    </row>
    <row r="1958">
      <c r="A1958" s="15">
        <v>1954</v>
      </c>
      <c r="B1958" s="15" t="s">
        <v>61</v>
      </c>
      <c r="C1958" s="15" t="s">
        <v>442</v>
      </c>
      <c r="D1958" s="15" t="s">
        <v>35</v>
      </c>
      <c r="E1958" s="15" t="s">
        <v>35</v>
      </c>
      <c r="F1958" s="15" t="s">
        <v>35</v>
      </c>
      <c r="G1958" s="15" t="s">
        <v>36</v>
      </c>
      <c r="H1958" s="15" t="s">
        <v>10666</v>
      </c>
      <c r="I1958" s="15" t="s">
        <v>10667</v>
      </c>
      <c r="J1958" s="15" t="s">
        <v>10668</v>
      </c>
      <c r="K1958" s="15" t="s">
        <v>40</v>
      </c>
      <c r="L1958" s="15" t="s">
        <v>41</v>
      </c>
      <c r="M1958" s="15" t="s">
        <v>205</v>
      </c>
      <c r="N1958" s="15" t="s">
        <v>206</v>
      </c>
      <c r="O1958" s="15" t="s">
        <v>44</v>
      </c>
      <c r="P1958" s="15" t="s">
        <v>10669</v>
      </c>
      <c r="Q1958" s="15" t="s">
        <v>10670</v>
      </c>
      <c r="R1958" s="16">
        <v>44329</v>
      </c>
      <c r="S1958" s="17" t="s">
        <v>9803</v>
      </c>
      <c r="T1958" s="20">
        <f>HYPERLINK("https://vnm.spiral.com.vn//uploaded/20210513/589b0f48-6233-48eb-a5da-059d91025457.JPEG","11:46:12")</f>
      </c>
      <c r="U1958" s="18"/>
      <c r="V1958" s="18" t="s">
        <v>35</v>
      </c>
      <c r="W1958" s="15" t="s">
        <v>10671</v>
      </c>
      <c r="X1958" s="15" t="s">
        <v>35</v>
      </c>
      <c r="Y1958" s="15" t="s">
        <v>35</v>
      </c>
      <c r="Z1958" s="19">
        <v>0</v>
      </c>
      <c r="AA1958" s="15">
        <v>0</v>
      </c>
      <c r="AB1958" s="15" t="s">
        <v>35</v>
      </c>
    </row>
    <row r="1959">
      <c r="A1959" s="15">
        <v>1955</v>
      </c>
      <c r="B1959" s="15" t="s">
        <v>343</v>
      </c>
      <c r="C1959" s="15" t="s">
        <v>344</v>
      </c>
      <c r="D1959" s="15" t="s">
        <v>536</v>
      </c>
      <c r="E1959" s="15" t="s">
        <v>116</v>
      </c>
      <c r="F1959" s="15" t="s">
        <v>35</v>
      </c>
      <c r="G1959" s="15" t="s">
        <v>74</v>
      </c>
      <c r="H1959" s="15" t="s">
        <v>10672</v>
      </c>
      <c r="I1959" s="15" t="s">
        <v>10673</v>
      </c>
      <c r="J1959" s="15" t="s">
        <v>10674</v>
      </c>
      <c r="K1959" s="15" t="s">
        <v>997</v>
      </c>
      <c r="L1959" s="15" t="s">
        <v>998</v>
      </c>
      <c r="M1959" s="15" t="s">
        <v>1325</v>
      </c>
      <c r="N1959" s="15" t="s">
        <v>1326</v>
      </c>
      <c r="O1959" s="15" t="s">
        <v>82</v>
      </c>
      <c r="P1959" s="15" t="s">
        <v>2576</v>
      </c>
      <c r="Q1959" s="15" t="s">
        <v>2577</v>
      </c>
      <c r="R1959" s="16">
        <v>44329</v>
      </c>
      <c r="S1959" s="17" t="s">
        <v>70</v>
      </c>
      <c r="T1959" s="20">
        <f>HYPERLINK("https://vnm.spiral.com.vn//uploaded/20210513/631629a5-d3a3-4718-a45a-60ea3c65b675.JPEG","11:09:57")</f>
      </c>
      <c r="U1959" s="20">
        <f>HYPERLINK("https://vnm.spiral.com.vn//uploaded/20210513/50de535a-1727-4594-b137-c790e6c9089f.JPEG","11:46:08")</f>
      </c>
      <c r="V1959" s="18">
        <v>0.025127314814814814</v>
      </c>
      <c r="W1959" s="15" t="s">
        <v>10675</v>
      </c>
      <c r="X1959" s="15" t="s">
        <v>10676</v>
      </c>
      <c r="Y1959" s="15" t="s">
        <v>35</v>
      </c>
      <c r="Z1959" s="19">
        <v>0</v>
      </c>
      <c r="AA1959" s="15">
        <v>0</v>
      </c>
      <c r="AB1959" s="15" t="s">
        <v>35</v>
      </c>
    </row>
    <row r="1960">
      <c r="A1960" s="15">
        <v>1956</v>
      </c>
      <c r="B1960" s="15" t="s">
        <v>61</v>
      </c>
      <c r="C1960" s="15" t="s">
        <v>303</v>
      </c>
      <c r="D1960" s="15" t="s">
        <v>432</v>
      </c>
      <c r="E1960" s="15" t="s">
        <v>116</v>
      </c>
      <c r="F1960" s="15" t="s">
        <v>35</v>
      </c>
      <c r="G1960" s="15" t="s">
        <v>74</v>
      </c>
      <c r="H1960" s="15" t="s">
        <v>10677</v>
      </c>
      <c r="I1960" s="15" t="s">
        <v>10678</v>
      </c>
      <c r="J1960" s="15" t="s">
        <v>10679</v>
      </c>
      <c r="K1960" s="15" t="s">
        <v>309</v>
      </c>
      <c r="L1960" s="15" t="s">
        <v>310</v>
      </c>
      <c r="M1960" s="15" t="s">
        <v>311</v>
      </c>
      <c r="N1960" s="15" t="s">
        <v>312</v>
      </c>
      <c r="O1960" s="15" t="s">
        <v>82</v>
      </c>
      <c r="P1960" s="15" t="s">
        <v>7223</v>
      </c>
      <c r="Q1960" s="15" t="s">
        <v>7224</v>
      </c>
      <c r="R1960" s="16">
        <v>44329</v>
      </c>
      <c r="S1960" s="17" t="s">
        <v>70</v>
      </c>
      <c r="T1960" s="20">
        <f>HYPERLINK("https://vnm.spiral.com.vn//uploaded/20210513/EF81BAAA-170B-4B96-A568-3C9FC117A0F8.jpg","10:59:54")</f>
      </c>
      <c r="U1960" s="20">
        <f>HYPERLINK("https://vnm.spiral.com.vn//uploaded/20210513/77055A59-7250-4717-AFC5-C66B9CDA163F.jpg","11:45:55")</f>
      </c>
      <c r="V1960" s="18">
        <v>0.031956018518518516</v>
      </c>
      <c r="W1960" s="15" t="s">
        <v>10680</v>
      </c>
      <c r="X1960" s="15" t="s">
        <v>10681</v>
      </c>
      <c r="Y1960" s="15" t="s">
        <v>35</v>
      </c>
      <c r="Z1960" s="19">
        <v>0</v>
      </c>
      <c r="AA1960" s="15">
        <v>0</v>
      </c>
      <c r="AB1960" s="15" t="s">
        <v>35</v>
      </c>
    </row>
    <row r="1961">
      <c r="A1961" s="15">
        <v>1957</v>
      </c>
      <c r="B1961" s="15" t="s">
        <v>103</v>
      </c>
      <c r="C1961" s="15" t="s">
        <v>186</v>
      </c>
      <c r="D1961" s="15" t="s">
        <v>135</v>
      </c>
      <c r="E1961" s="15" t="s">
        <v>116</v>
      </c>
      <c r="F1961" s="15" t="s">
        <v>35</v>
      </c>
      <c r="G1961" s="15" t="s">
        <v>74</v>
      </c>
      <c r="H1961" s="15" t="s">
        <v>10682</v>
      </c>
      <c r="I1961" s="15" t="s">
        <v>10683</v>
      </c>
      <c r="J1961" s="15" t="s">
        <v>10684</v>
      </c>
      <c r="K1961" s="15" t="s">
        <v>436</v>
      </c>
      <c r="L1961" s="15" t="s">
        <v>437</v>
      </c>
      <c r="M1961" s="15" t="s">
        <v>438</v>
      </c>
      <c r="N1961" s="15" t="s">
        <v>439</v>
      </c>
      <c r="O1961" s="15" t="s">
        <v>82</v>
      </c>
      <c r="P1961" s="15" t="s">
        <v>1125</v>
      </c>
      <c r="Q1961" s="15" t="s">
        <v>1126</v>
      </c>
      <c r="R1961" s="16">
        <v>44329</v>
      </c>
      <c r="S1961" s="17" t="s">
        <v>70</v>
      </c>
      <c r="T1961" s="20">
        <f>HYPERLINK("https://vnm.spiral.com.vn//uploaded/20210513/75D5E8F6-CCA0-4CB7-B4D6-BD3739C7B5AF.jpg","10:24:12")</f>
      </c>
      <c r="U1961" s="20">
        <f>HYPERLINK("https://vnm.spiral.com.vn//uploaded/20210513/9BFDC7FC-73DB-4693-B24F-595882BA6368.jpg","11:45:50")</f>
      </c>
      <c r="V1961" s="18">
        <v>0.05668981481481482</v>
      </c>
      <c r="W1961" s="15" t="s">
        <v>10685</v>
      </c>
      <c r="X1961" s="15" t="s">
        <v>10686</v>
      </c>
      <c r="Y1961" s="15" t="s">
        <v>35</v>
      </c>
      <c r="Z1961" s="19">
        <v>0</v>
      </c>
      <c r="AA1961" s="15">
        <v>0</v>
      </c>
      <c r="AB1961" s="15" t="s">
        <v>35</v>
      </c>
    </row>
    <row r="1962">
      <c r="A1962" s="15">
        <v>1958</v>
      </c>
      <c r="B1962" s="15" t="s">
        <v>103</v>
      </c>
      <c r="C1962" s="15" t="s">
        <v>104</v>
      </c>
      <c r="D1962" s="15" t="s">
        <v>35</v>
      </c>
      <c r="E1962" s="15" t="s">
        <v>35</v>
      </c>
      <c r="F1962" s="15" t="s">
        <v>35</v>
      </c>
      <c r="G1962" s="15" t="s">
        <v>36</v>
      </c>
      <c r="H1962" s="15" t="s">
        <v>5687</v>
      </c>
      <c r="I1962" s="15" t="s">
        <v>5688</v>
      </c>
      <c r="J1962" s="15" t="s">
        <v>5689</v>
      </c>
      <c r="K1962" s="15" t="s">
        <v>40</v>
      </c>
      <c r="L1962" s="15" t="s">
        <v>41</v>
      </c>
      <c r="M1962" s="15" t="s">
        <v>108</v>
      </c>
      <c r="N1962" s="15" t="s">
        <v>109</v>
      </c>
      <c r="O1962" s="15" t="s">
        <v>44</v>
      </c>
      <c r="P1962" s="15" t="s">
        <v>5690</v>
      </c>
      <c r="Q1962" s="15" t="s">
        <v>5691</v>
      </c>
      <c r="R1962" s="16">
        <v>44329</v>
      </c>
      <c r="S1962" s="17" t="s">
        <v>10687</v>
      </c>
      <c r="T1962" s="20">
        <f>HYPERLINK("https://vnm.spiral.com.vn//uploaded/20210513/6d05ea2a-0cdc-4d95-b855-749b724fa14f.JPEG","07:06:54")</f>
      </c>
      <c r="U1962" s="20">
        <f>HYPERLINK("https://vnm.spiral.com.vn//uploaded/20210513/17960fbc-ea21-4477-9f3e-5fe3745ee098.JPEG","11:45:45")</f>
      </c>
      <c r="V1962" s="18">
        <v>0.19364583333333332</v>
      </c>
      <c r="W1962" s="15" t="s">
        <v>10688</v>
      </c>
      <c r="X1962" s="15" t="s">
        <v>10689</v>
      </c>
      <c r="Y1962" s="15" t="s">
        <v>35</v>
      </c>
      <c r="Z1962" s="19">
        <v>0</v>
      </c>
      <c r="AA1962" s="15">
        <v>0</v>
      </c>
      <c r="AB1962" s="15" t="s">
        <v>35</v>
      </c>
    </row>
    <row r="1963">
      <c r="A1963" s="15">
        <v>1959</v>
      </c>
      <c r="B1963" s="15" t="s">
        <v>49</v>
      </c>
      <c r="C1963" s="15" t="s">
        <v>1389</v>
      </c>
      <c r="D1963" s="15" t="s">
        <v>35</v>
      </c>
      <c r="E1963" s="15" t="s">
        <v>35</v>
      </c>
      <c r="F1963" s="15" t="s">
        <v>4452</v>
      </c>
      <c r="G1963" s="15" t="s">
        <v>36</v>
      </c>
      <c r="H1963" s="15" t="s">
        <v>7458</v>
      </c>
      <c r="I1963" s="15" t="s">
        <v>7459</v>
      </c>
      <c r="J1963" s="15" t="s">
        <v>4455</v>
      </c>
      <c r="K1963" s="15" t="s">
        <v>40</v>
      </c>
      <c r="L1963" s="15" t="s">
        <v>41</v>
      </c>
      <c r="M1963" s="15" t="s">
        <v>55</v>
      </c>
      <c r="N1963" s="15" t="s">
        <v>56</v>
      </c>
      <c r="O1963" s="15" t="s">
        <v>44</v>
      </c>
      <c r="P1963" s="15" t="s">
        <v>7460</v>
      </c>
      <c r="Q1963" s="15" t="s">
        <v>7461</v>
      </c>
      <c r="R1963" s="16">
        <v>44329</v>
      </c>
      <c r="S1963" s="17" t="s">
        <v>8968</v>
      </c>
      <c r="T1963" s="20">
        <f>HYPERLINK("https://vnm.spiral.com.vn//uploaded/20210513/5c388594-4956-4d59-a302-2d26cfbeb237.JPEG","07:07:54")</f>
      </c>
      <c r="U1963" s="20">
        <f>HYPERLINK("https://vnm.spiral.com.vn//uploaded/20210513/a2b9e4b1-4a6f-4257-8083-c8af4a295833.JPEG","11:45:39")</f>
      </c>
      <c r="V1963" s="18">
        <v>0.19288194444444445</v>
      </c>
      <c r="W1963" s="15" t="s">
        <v>10690</v>
      </c>
      <c r="X1963" s="15" t="s">
        <v>10691</v>
      </c>
      <c r="Y1963" s="15" t="s">
        <v>35</v>
      </c>
      <c r="Z1963" s="19">
        <v>0</v>
      </c>
      <c r="AA1963" s="15">
        <v>0</v>
      </c>
      <c r="AB1963" s="15" t="s">
        <v>35</v>
      </c>
    </row>
    <row r="1964">
      <c r="A1964" s="15">
        <v>1960</v>
      </c>
      <c r="B1964" s="15" t="s">
        <v>87</v>
      </c>
      <c r="C1964" s="15" t="s">
        <v>88</v>
      </c>
      <c r="D1964" s="15" t="s">
        <v>432</v>
      </c>
      <c r="E1964" s="15" t="s">
        <v>116</v>
      </c>
      <c r="F1964" s="15" t="s">
        <v>35</v>
      </c>
      <c r="G1964" s="15" t="s">
        <v>74</v>
      </c>
      <c r="H1964" s="15" t="s">
        <v>10692</v>
      </c>
      <c r="I1964" s="15" t="s">
        <v>10693</v>
      </c>
      <c r="J1964" s="15" t="s">
        <v>10694</v>
      </c>
      <c r="K1964" s="15" t="s">
        <v>625</v>
      </c>
      <c r="L1964" s="15" t="s">
        <v>626</v>
      </c>
      <c r="M1964" s="15" t="s">
        <v>627</v>
      </c>
      <c r="N1964" s="15" t="s">
        <v>628</v>
      </c>
      <c r="O1964" s="15" t="s">
        <v>82</v>
      </c>
      <c r="P1964" s="15" t="s">
        <v>2569</v>
      </c>
      <c r="Q1964" s="15" t="s">
        <v>2570</v>
      </c>
      <c r="R1964" s="16">
        <v>44329</v>
      </c>
      <c r="S1964" s="17" t="s">
        <v>70</v>
      </c>
      <c r="T1964" s="20">
        <f>HYPERLINK("https://vnm.spiral.com.vn//uploaded/20210513/ED8BBFE1-97ED-4A65-97DA-851DAAE61E24.jpg","11:18:54")</f>
      </c>
      <c r="U1964" s="20">
        <f>HYPERLINK("https://vnm.spiral.com.vn//uploaded/20210513/0639C550-6A49-4BC9-BB47-8022E2BC13B4.jpg","11:45:38")</f>
      </c>
      <c r="V1964" s="18">
        <v>0.018564814814814815</v>
      </c>
      <c r="W1964" s="15" t="s">
        <v>10695</v>
      </c>
      <c r="X1964" s="15" t="s">
        <v>10696</v>
      </c>
      <c r="Y1964" s="15" t="s">
        <v>35</v>
      </c>
      <c r="Z1964" s="19">
        <v>0</v>
      </c>
      <c r="AA1964" s="15">
        <v>0</v>
      </c>
      <c r="AB1964" s="15" t="s">
        <v>35</v>
      </c>
    </row>
    <row r="1965">
      <c r="A1965" s="15">
        <v>1961</v>
      </c>
      <c r="B1965" s="15" t="s">
        <v>246</v>
      </c>
      <c r="C1965" s="15" t="s">
        <v>259</v>
      </c>
      <c r="D1965" s="15" t="s">
        <v>35</v>
      </c>
      <c r="E1965" s="15" t="s">
        <v>35</v>
      </c>
      <c r="F1965" s="15" t="s">
        <v>35</v>
      </c>
      <c r="G1965" s="15" t="s">
        <v>35</v>
      </c>
      <c r="H1965" s="15" t="s">
        <v>4774</v>
      </c>
      <c r="I1965" s="15" t="s">
        <v>4775</v>
      </c>
      <c r="J1965" s="15" t="s">
        <v>4776</v>
      </c>
      <c r="K1965" s="15" t="s">
        <v>40</v>
      </c>
      <c r="L1965" s="15" t="s">
        <v>41</v>
      </c>
      <c r="M1965" s="15" t="s">
        <v>252</v>
      </c>
      <c r="N1965" s="15" t="s">
        <v>253</v>
      </c>
      <c r="O1965" s="15" t="s">
        <v>44</v>
      </c>
      <c r="P1965" s="15" t="s">
        <v>4777</v>
      </c>
      <c r="Q1965" s="15" t="s">
        <v>4778</v>
      </c>
      <c r="R1965" s="16">
        <v>44329</v>
      </c>
      <c r="S1965" s="17" t="s">
        <v>317</v>
      </c>
      <c r="T1965" s="20">
        <f>HYPERLINK("https://vnm.spiral.com.vn//uploaded/20210513/f6a55d17-4098-4890-a7cd-ac9ed55999b8.JPEG","08:05:58")</f>
      </c>
      <c r="U1965" s="20">
        <f>HYPERLINK("https://vnm.spiral.com.vn//uploaded/20210513/a50447de-0a10-41f8-8a6f-f1e6e958c80d.JPEG","11:44:56")</f>
      </c>
      <c r="V1965" s="18">
        <v>0.1520601851851852</v>
      </c>
      <c r="W1965" s="15" t="s">
        <v>10697</v>
      </c>
      <c r="X1965" s="15" t="s">
        <v>10698</v>
      </c>
      <c r="Y1965" s="15" t="s">
        <v>35</v>
      </c>
      <c r="Z1965" s="19">
        <v>0</v>
      </c>
      <c r="AA1965" s="15">
        <v>0</v>
      </c>
      <c r="AB1965" s="15" t="s">
        <v>35</v>
      </c>
    </row>
    <row r="1966">
      <c r="A1966" s="15">
        <v>1962</v>
      </c>
      <c r="B1966" s="15" t="s">
        <v>87</v>
      </c>
      <c r="C1966" s="15" t="s">
        <v>88</v>
      </c>
      <c r="D1966" s="15" t="s">
        <v>35</v>
      </c>
      <c r="E1966" s="15" t="s">
        <v>35</v>
      </c>
      <c r="F1966" s="15" t="s">
        <v>2721</v>
      </c>
      <c r="G1966" s="15" t="s">
        <v>36</v>
      </c>
      <c r="H1966" s="15" t="s">
        <v>6079</v>
      </c>
      <c r="I1966" s="15" t="s">
        <v>6080</v>
      </c>
      <c r="J1966" s="15" t="s">
        <v>6081</v>
      </c>
      <c r="K1966" s="15" t="s">
        <v>40</v>
      </c>
      <c r="L1966" s="15" t="s">
        <v>41</v>
      </c>
      <c r="M1966" s="15" t="s">
        <v>1195</v>
      </c>
      <c r="N1966" s="15" t="s">
        <v>1196</v>
      </c>
      <c r="O1966" s="15" t="s">
        <v>44</v>
      </c>
      <c r="P1966" s="15" t="s">
        <v>6082</v>
      </c>
      <c r="Q1966" s="15" t="s">
        <v>6083</v>
      </c>
      <c r="R1966" s="16">
        <v>44329</v>
      </c>
      <c r="S1966" s="17" t="s">
        <v>317</v>
      </c>
      <c r="T1966" s="20">
        <f>HYPERLINK("https://vnm.spiral.com.vn//uploaded/20210513/f40f85e0-3d05-437c-9c3e-ec7f8cd026ec.JPEG","07:04:42")</f>
      </c>
      <c r="U1966" s="20">
        <f>HYPERLINK("https://vnm.spiral.com.vn//uploaded/20210513/658e53c3-cd4c-489c-a494-1fbf64fcc6a2.JPEG","11:44:55")</f>
      </c>
      <c r="V1966" s="18">
        <v>0.1945949074074074</v>
      </c>
      <c r="W1966" s="15" t="s">
        <v>10699</v>
      </c>
      <c r="X1966" s="15" t="s">
        <v>10700</v>
      </c>
      <c r="Y1966" s="15" t="s">
        <v>35</v>
      </c>
      <c r="Z1966" s="19">
        <v>0</v>
      </c>
      <c r="AA1966" s="15">
        <v>0</v>
      </c>
      <c r="AB1966" s="15" t="s">
        <v>35</v>
      </c>
    </row>
    <row r="1967">
      <c r="A1967" s="15">
        <v>1963</v>
      </c>
      <c r="B1967" s="15" t="s">
        <v>49</v>
      </c>
      <c r="C1967" s="15" t="s">
        <v>468</v>
      </c>
      <c r="D1967" s="15" t="s">
        <v>35</v>
      </c>
      <c r="E1967" s="15" t="s">
        <v>35</v>
      </c>
      <c r="F1967" s="15" t="s">
        <v>2857</v>
      </c>
      <c r="G1967" s="15" t="s">
        <v>36</v>
      </c>
      <c r="H1967" s="15" t="s">
        <v>10701</v>
      </c>
      <c r="I1967" s="15" t="s">
        <v>10702</v>
      </c>
      <c r="J1967" s="15" t="s">
        <v>10703</v>
      </c>
      <c r="K1967" s="15" t="s">
        <v>40</v>
      </c>
      <c r="L1967" s="15" t="s">
        <v>41</v>
      </c>
      <c r="M1967" s="15" t="s">
        <v>55</v>
      </c>
      <c r="N1967" s="15" t="s">
        <v>56</v>
      </c>
      <c r="O1967" s="15" t="s">
        <v>44</v>
      </c>
      <c r="P1967" s="15" t="s">
        <v>10704</v>
      </c>
      <c r="Q1967" s="15" t="s">
        <v>6259</v>
      </c>
      <c r="R1967" s="16">
        <v>44329</v>
      </c>
      <c r="S1967" s="17" t="s">
        <v>6144</v>
      </c>
      <c r="T1967" s="20">
        <f>HYPERLINK("https://vnm.spiral.com.vn//uploaded/20210513/c6591c0a-6767-4ba2-a357-93a1115d1e2b.JPEG","11:44:47")</f>
      </c>
      <c r="U1967" s="18"/>
      <c r="V1967" s="18" t="s">
        <v>35</v>
      </c>
      <c r="W1967" s="15" t="s">
        <v>10705</v>
      </c>
      <c r="X1967" s="15" t="s">
        <v>35</v>
      </c>
      <c r="Y1967" s="15" t="s">
        <v>35</v>
      </c>
      <c r="Z1967" s="19">
        <v>0</v>
      </c>
      <c r="AA1967" s="15">
        <v>0</v>
      </c>
      <c r="AB1967" s="15" t="s">
        <v>35</v>
      </c>
    </row>
    <row r="1968">
      <c r="A1968" s="15">
        <v>1964</v>
      </c>
      <c r="B1968" s="15" t="s">
        <v>87</v>
      </c>
      <c r="C1968" s="15" t="s">
        <v>88</v>
      </c>
      <c r="D1968" s="15" t="s">
        <v>432</v>
      </c>
      <c r="E1968" s="15" t="s">
        <v>116</v>
      </c>
      <c r="F1968" s="15" t="s">
        <v>35</v>
      </c>
      <c r="G1968" s="15" t="s">
        <v>74</v>
      </c>
      <c r="H1968" s="15" t="s">
        <v>10692</v>
      </c>
      <c r="I1968" s="15" t="s">
        <v>10693</v>
      </c>
      <c r="J1968" s="15" t="s">
        <v>10694</v>
      </c>
      <c r="K1968" s="15" t="s">
        <v>94</v>
      </c>
      <c r="L1968" s="15" t="s">
        <v>95</v>
      </c>
      <c r="M1968" s="15" t="s">
        <v>625</v>
      </c>
      <c r="N1968" s="15" t="s">
        <v>626</v>
      </c>
      <c r="O1968" s="15" t="s">
        <v>98</v>
      </c>
      <c r="P1968" s="15" t="s">
        <v>627</v>
      </c>
      <c r="Q1968" s="15" t="s">
        <v>628</v>
      </c>
      <c r="R1968" s="16">
        <v>44329</v>
      </c>
      <c r="S1968" s="17" t="s">
        <v>70</v>
      </c>
      <c r="T1968" s="20">
        <f>HYPERLINK("https://vnm.spiral.com.vn//uploaded/20210513/250d1a5e-bb12-4378-a356-0c79d6f69d0d.JPEG","11:19:08")</f>
      </c>
      <c r="U1968" s="20">
        <f>HYPERLINK("https://vnm.spiral.com.vn//uploaded/20210513/309726a7-ddeb-425e-9052-5c46d934697e.JPEG","11:44:29")</f>
      </c>
      <c r="V1968" s="18">
        <v>0.017604166666666667</v>
      </c>
      <c r="W1968" s="15" t="s">
        <v>10706</v>
      </c>
      <c r="X1968" s="15" t="s">
        <v>10707</v>
      </c>
      <c r="Y1968" s="15" t="s">
        <v>35</v>
      </c>
      <c r="Z1968" s="19">
        <v>0</v>
      </c>
      <c r="AA1968" s="15">
        <v>0</v>
      </c>
      <c r="AB1968" s="15" t="s">
        <v>35</v>
      </c>
    </row>
    <row r="1969">
      <c r="A1969" s="15">
        <v>1965</v>
      </c>
      <c r="B1969" s="15" t="s">
        <v>61</v>
      </c>
      <c r="C1969" s="15" t="s">
        <v>904</v>
      </c>
      <c r="D1969" s="15" t="s">
        <v>135</v>
      </c>
      <c r="E1969" s="15" t="s">
        <v>116</v>
      </c>
      <c r="F1969" s="15" t="s">
        <v>35</v>
      </c>
      <c r="G1969" s="15" t="s">
        <v>74</v>
      </c>
      <c r="H1969" s="15" t="s">
        <v>10708</v>
      </c>
      <c r="I1969" s="15" t="s">
        <v>10709</v>
      </c>
      <c r="J1969" s="15" t="s">
        <v>10710</v>
      </c>
      <c r="K1969" s="15" t="s">
        <v>1586</v>
      </c>
      <c r="L1969" s="15" t="s">
        <v>1587</v>
      </c>
      <c r="M1969" s="15" t="s">
        <v>1588</v>
      </c>
      <c r="N1969" s="15" t="s">
        <v>1589</v>
      </c>
      <c r="O1969" s="15" t="s">
        <v>82</v>
      </c>
      <c r="P1969" s="15" t="s">
        <v>3609</v>
      </c>
      <c r="Q1969" s="15" t="s">
        <v>3610</v>
      </c>
      <c r="R1969" s="16">
        <v>44329</v>
      </c>
      <c r="S1969" s="17" t="s">
        <v>70</v>
      </c>
      <c r="T1969" s="20">
        <f>HYPERLINK("https://vnm.spiral.com.vn//uploaded/20210513/2F5FD8A9-84A3-4E68-BB9D-06D4B8D3F95E.jpg","11:03:02")</f>
      </c>
      <c r="U1969" s="20">
        <f>HYPERLINK("https://vnm.spiral.com.vn//uploaded/20210513/CF97652C-31A0-4C70-B60B-AF3481AA1197.jpg","11:44:18")</f>
      </c>
      <c r="V1969" s="18">
        <v>0.028657407407407406</v>
      </c>
      <c r="W1969" s="15" t="s">
        <v>10711</v>
      </c>
      <c r="X1969" s="15" t="s">
        <v>10712</v>
      </c>
      <c r="Y1969" s="15" t="s">
        <v>35</v>
      </c>
      <c r="Z1969" s="19">
        <v>0</v>
      </c>
      <c r="AA1969" s="15">
        <v>0</v>
      </c>
      <c r="AB1969" s="15" t="s">
        <v>35</v>
      </c>
    </row>
    <row r="1970">
      <c r="A1970" s="15">
        <v>1966</v>
      </c>
      <c r="B1970" s="15" t="s">
        <v>343</v>
      </c>
      <c r="C1970" s="15" t="s">
        <v>344</v>
      </c>
      <c r="D1970" s="15" t="s">
        <v>2601</v>
      </c>
      <c r="E1970" s="15" t="s">
        <v>35</v>
      </c>
      <c r="F1970" s="15" t="s">
        <v>35</v>
      </c>
      <c r="G1970" s="15" t="s">
        <v>74</v>
      </c>
      <c r="H1970" s="15" t="s">
        <v>10713</v>
      </c>
      <c r="I1970" s="15" t="s">
        <v>10714</v>
      </c>
      <c r="J1970" s="15" t="s">
        <v>10715</v>
      </c>
      <c r="K1970" s="15" t="s">
        <v>584</v>
      </c>
      <c r="L1970" s="15" t="s">
        <v>585</v>
      </c>
      <c r="M1970" s="15" t="s">
        <v>586</v>
      </c>
      <c r="N1970" s="15" t="s">
        <v>587</v>
      </c>
      <c r="O1970" s="15" t="s">
        <v>82</v>
      </c>
      <c r="P1970" s="15" t="s">
        <v>2312</v>
      </c>
      <c r="Q1970" s="15" t="s">
        <v>2313</v>
      </c>
      <c r="R1970" s="16">
        <v>44329</v>
      </c>
      <c r="S1970" s="17" t="s">
        <v>70</v>
      </c>
      <c r="T1970" s="20">
        <f>HYPERLINK("https://vnm.spiral.com.vn//uploaded/20210513/5161056f-a6bd-482c-b815-8b22ace853f5.JPEG","11:22:47")</f>
      </c>
      <c r="U1970" s="20">
        <f>HYPERLINK("https://vnm.spiral.com.vn//uploaded/20210513/9cbbfac0-096a-4467-970a-b23e1356e024.JPEG","11:44:13")</f>
      </c>
      <c r="V1970" s="18">
        <v>0.014884259259259259</v>
      </c>
      <c r="W1970" s="15" t="s">
        <v>10716</v>
      </c>
      <c r="X1970" s="15" t="s">
        <v>10717</v>
      </c>
      <c r="Y1970" s="15" t="s">
        <v>35</v>
      </c>
      <c r="Z1970" s="19">
        <v>0</v>
      </c>
      <c r="AA1970" s="15">
        <v>0</v>
      </c>
      <c r="AB1970" s="15" t="s">
        <v>35</v>
      </c>
    </row>
    <row r="1971">
      <c r="A1971" s="15">
        <v>1967</v>
      </c>
      <c r="B1971" s="15" t="s">
        <v>343</v>
      </c>
      <c r="C1971" s="15" t="s">
        <v>344</v>
      </c>
      <c r="D1971" s="15" t="s">
        <v>35</v>
      </c>
      <c r="E1971" s="15" t="s">
        <v>35</v>
      </c>
      <c r="F1971" s="15" t="s">
        <v>35</v>
      </c>
      <c r="G1971" s="15" t="s">
        <v>36</v>
      </c>
      <c r="H1971" s="15" t="s">
        <v>10718</v>
      </c>
      <c r="I1971" s="15" t="s">
        <v>10719</v>
      </c>
      <c r="J1971" s="15" t="s">
        <v>10720</v>
      </c>
      <c r="K1971" s="15" t="s">
        <v>40</v>
      </c>
      <c r="L1971" s="15" t="s">
        <v>41</v>
      </c>
      <c r="M1971" s="15" t="s">
        <v>595</v>
      </c>
      <c r="N1971" s="15" t="s">
        <v>596</v>
      </c>
      <c r="O1971" s="15" t="s">
        <v>44</v>
      </c>
      <c r="P1971" s="15" t="s">
        <v>6119</v>
      </c>
      <c r="Q1971" s="15" t="s">
        <v>6120</v>
      </c>
      <c r="R1971" s="16">
        <v>44329</v>
      </c>
      <c r="S1971" s="17" t="s">
        <v>317</v>
      </c>
      <c r="T1971" s="20">
        <f>HYPERLINK("https://vnm.spiral.com.vn//uploaded/20210513/16760dfc-42d0-4232-a4e7-e35b5446446b.JPEG","07:42:55")</f>
      </c>
      <c r="U1971" s="20">
        <f>HYPERLINK("https://vnm.spiral.com.vn//uploaded/20210513/1585ce5c-4783-4ef2-b5e8-8384df6098a7.JPEG","11:43:59")</f>
      </c>
      <c r="V1971" s="18">
        <v>0.1674074074074074</v>
      </c>
      <c r="W1971" s="15" t="s">
        <v>10721</v>
      </c>
      <c r="X1971" s="15" t="s">
        <v>10722</v>
      </c>
      <c r="Y1971" s="15" t="s">
        <v>35</v>
      </c>
      <c r="Z1971" s="19">
        <v>0</v>
      </c>
      <c r="AA1971" s="15">
        <v>0</v>
      </c>
      <c r="AB1971" s="15" t="s">
        <v>35</v>
      </c>
    </row>
    <row r="1972">
      <c r="A1972" s="15">
        <v>1968</v>
      </c>
      <c r="B1972" s="15" t="s">
        <v>343</v>
      </c>
      <c r="C1972" s="15" t="s">
        <v>344</v>
      </c>
      <c r="D1972" s="15" t="s">
        <v>35</v>
      </c>
      <c r="E1972" s="15" t="s">
        <v>35</v>
      </c>
      <c r="F1972" s="15" t="s">
        <v>35</v>
      </c>
      <c r="G1972" s="15" t="s">
        <v>36</v>
      </c>
      <c r="H1972" s="15" t="s">
        <v>7747</v>
      </c>
      <c r="I1972" s="15" t="s">
        <v>7748</v>
      </c>
      <c r="J1972" s="15" t="s">
        <v>7749</v>
      </c>
      <c r="K1972" s="15" t="s">
        <v>40</v>
      </c>
      <c r="L1972" s="15" t="s">
        <v>41</v>
      </c>
      <c r="M1972" s="15" t="s">
        <v>595</v>
      </c>
      <c r="N1972" s="15" t="s">
        <v>596</v>
      </c>
      <c r="O1972" s="15" t="s">
        <v>44</v>
      </c>
      <c r="P1972" s="15" t="s">
        <v>7750</v>
      </c>
      <c r="Q1972" s="15" t="s">
        <v>7751</v>
      </c>
      <c r="R1972" s="16">
        <v>44329</v>
      </c>
      <c r="S1972" s="17" t="s">
        <v>8968</v>
      </c>
      <c r="T1972" s="20">
        <f>HYPERLINK("https://vnm.spiral.com.vn//uploaded/20210513/C97AAE50-7B27-4CEF-ACB6-F70A7CD525F9.jpg","07:00:51")</f>
      </c>
      <c r="U1972" s="20">
        <f>HYPERLINK("https://vnm.spiral.com.vn//uploaded/20210513/AE7A1FBD-C2B8-44DD-B790-43118340762F.jpg","11:43:55")</f>
      </c>
      <c r="V1972" s="18">
        <v>0.19657407407407407</v>
      </c>
      <c r="W1972" s="15" t="s">
        <v>10723</v>
      </c>
      <c r="X1972" s="15" t="s">
        <v>10724</v>
      </c>
      <c r="Y1972" s="15" t="s">
        <v>35</v>
      </c>
      <c r="Z1972" s="19">
        <v>0</v>
      </c>
      <c r="AA1972" s="15">
        <v>0</v>
      </c>
      <c r="AB1972" s="15" t="s">
        <v>35</v>
      </c>
    </row>
    <row r="1973">
      <c r="A1973" s="15">
        <v>1969</v>
      </c>
      <c r="B1973" s="15" t="s">
        <v>33</v>
      </c>
      <c r="C1973" s="15" t="s">
        <v>8154</v>
      </c>
      <c r="D1973" s="15" t="s">
        <v>35</v>
      </c>
      <c r="E1973" s="15" t="s">
        <v>35</v>
      </c>
      <c r="F1973" s="15" t="s">
        <v>8155</v>
      </c>
      <c r="G1973" s="15" t="s">
        <v>36</v>
      </c>
      <c r="H1973" s="15" t="s">
        <v>10725</v>
      </c>
      <c r="I1973" s="15" t="s">
        <v>10726</v>
      </c>
      <c r="J1973" s="15" t="s">
        <v>10727</v>
      </c>
      <c r="K1973" s="15" t="s">
        <v>40</v>
      </c>
      <c r="L1973" s="15" t="s">
        <v>41</v>
      </c>
      <c r="M1973" s="15" t="s">
        <v>42</v>
      </c>
      <c r="N1973" s="15" t="s">
        <v>43</v>
      </c>
      <c r="O1973" s="15" t="s">
        <v>44</v>
      </c>
      <c r="P1973" s="15" t="s">
        <v>10728</v>
      </c>
      <c r="Q1973" s="15" t="s">
        <v>10729</v>
      </c>
      <c r="R1973" s="16">
        <v>44329</v>
      </c>
      <c r="S1973" s="17" t="s">
        <v>569</v>
      </c>
      <c r="T1973" s="20">
        <f>HYPERLINK("https://vnm.spiral.com.vn//uploaded/20210513/B4BC51F7-6C4C-4466-983E-5755CEA881DF.jpg","11:43:42")</f>
      </c>
      <c r="U1973" s="18"/>
      <c r="V1973" s="18" t="s">
        <v>35</v>
      </c>
      <c r="W1973" s="15" t="s">
        <v>10730</v>
      </c>
      <c r="X1973" s="15" t="s">
        <v>35</v>
      </c>
      <c r="Y1973" s="15" t="s">
        <v>35</v>
      </c>
      <c r="Z1973" s="19">
        <v>0</v>
      </c>
      <c r="AA1973" s="15">
        <v>0</v>
      </c>
      <c r="AB1973" s="15" t="s">
        <v>35</v>
      </c>
    </row>
    <row r="1974">
      <c r="A1974" s="15">
        <v>1970</v>
      </c>
      <c r="B1974" s="15" t="s">
        <v>61</v>
      </c>
      <c r="C1974" s="15" t="s">
        <v>904</v>
      </c>
      <c r="D1974" s="15" t="s">
        <v>357</v>
      </c>
      <c r="E1974" s="15" t="s">
        <v>90</v>
      </c>
      <c r="F1974" s="15" t="s">
        <v>35</v>
      </c>
      <c r="G1974" s="15" t="s">
        <v>74</v>
      </c>
      <c r="H1974" s="15" t="s">
        <v>1583</v>
      </c>
      <c r="I1974" s="15" t="s">
        <v>1584</v>
      </c>
      <c r="J1974" s="15" t="s">
        <v>1585</v>
      </c>
      <c r="K1974" s="15" t="s">
        <v>1586</v>
      </c>
      <c r="L1974" s="15" t="s">
        <v>1587</v>
      </c>
      <c r="M1974" s="15" t="s">
        <v>1588</v>
      </c>
      <c r="N1974" s="15" t="s">
        <v>1589</v>
      </c>
      <c r="O1974" s="15" t="s">
        <v>156</v>
      </c>
      <c r="P1974" s="15" t="s">
        <v>10731</v>
      </c>
      <c r="Q1974" s="15" t="s">
        <v>10732</v>
      </c>
      <c r="R1974" s="16">
        <v>44329</v>
      </c>
      <c r="S1974" s="17" t="s">
        <v>9455</v>
      </c>
      <c r="T1974" s="20">
        <f>HYPERLINK("https://vnm.spiral.com.vn//uploaded/20210513/71a36673-031d-485b-b159-0835b0585df7.JPEG","11:43:22")</f>
      </c>
      <c r="U1974" s="18"/>
      <c r="V1974" s="18" t="s">
        <v>35</v>
      </c>
      <c r="W1974" s="15" t="s">
        <v>10733</v>
      </c>
      <c r="X1974" s="15" t="s">
        <v>35</v>
      </c>
      <c r="Y1974" s="15" t="s">
        <v>35</v>
      </c>
      <c r="Z1974" s="19">
        <v>0</v>
      </c>
      <c r="AA1974" s="15">
        <v>0</v>
      </c>
      <c r="AB1974" s="15" t="s">
        <v>35</v>
      </c>
    </row>
    <row r="1975">
      <c r="A1975" s="15">
        <v>1971</v>
      </c>
      <c r="B1975" s="15" t="s">
        <v>49</v>
      </c>
      <c r="C1975" s="15" t="s">
        <v>1715</v>
      </c>
      <c r="D1975" s="15" t="s">
        <v>35</v>
      </c>
      <c r="E1975" s="15" t="s">
        <v>35</v>
      </c>
      <c r="F1975" s="15" t="s">
        <v>8313</v>
      </c>
      <c r="G1975" s="15" t="s">
        <v>36</v>
      </c>
      <c r="H1975" s="15" t="s">
        <v>8314</v>
      </c>
      <c r="I1975" s="15" t="s">
        <v>8315</v>
      </c>
      <c r="J1975" s="15" t="s">
        <v>8316</v>
      </c>
      <c r="K1975" s="15" t="s">
        <v>40</v>
      </c>
      <c r="L1975" s="15" t="s">
        <v>41</v>
      </c>
      <c r="M1975" s="15" t="s">
        <v>55</v>
      </c>
      <c r="N1975" s="15" t="s">
        <v>56</v>
      </c>
      <c r="O1975" s="15" t="s">
        <v>44</v>
      </c>
      <c r="P1975" s="15" t="s">
        <v>8317</v>
      </c>
      <c r="Q1975" s="15" t="s">
        <v>8318</v>
      </c>
      <c r="R1975" s="16">
        <v>44329</v>
      </c>
      <c r="S1975" s="17" t="s">
        <v>7866</v>
      </c>
      <c r="T1975" s="20">
        <f>HYPERLINK("https://vnm.spiral.com.vn//uploaded/20210513/4A560B96-380B-453C-B1DC-B89EFDA2C47F.jpg","07:40:07")</f>
      </c>
      <c r="U1975" s="20">
        <f>HYPERLINK("https://vnm.spiral.com.vn//uploaded/20210513/5C7EAAD4-5B8F-4993-9A7D-E90613B6931A.jpg","11:43:16")</f>
      </c>
      <c r="V1975" s="18">
        <v>0.16885416666666667</v>
      </c>
      <c r="W1975" s="15" t="s">
        <v>10734</v>
      </c>
      <c r="X1975" s="15" t="s">
        <v>10735</v>
      </c>
      <c r="Y1975" s="15" t="s">
        <v>35</v>
      </c>
      <c r="Z1975" s="19">
        <v>0</v>
      </c>
      <c r="AA1975" s="15">
        <v>0</v>
      </c>
      <c r="AB1975" s="15" t="s">
        <v>35</v>
      </c>
    </row>
    <row r="1976">
      <c r="A1976" s="15">
        <v>1972</v>
      </c>
      <c r="B1976" s="15" t="s">
        <v>103</v>
      </c>
      <c r="C1976" s="15" t="s">
        <v>186</v>
      </c>
      <c r="D1976" s="15" t="s">
        <v>35</v>
      </c>
      <c r="E1976" s="15" t="s">
        <v>35</v>
      </c>
      <c r="F1976" s="15" t="s">
        <v>5018</v>
      </c>
      <c r="G1976" s="15" t="s">
        <v>36</v>
      </c>
      <c r="H1976" s="15" t="s">
        <v>5019</v>
      </c>
      <c r="I1976" s="15" t="s">
        <v>5020</v>
      </c>
      <c r="J1976" s="15" t="s">
        <v>5021</v>
      </c>
      <c r="K1976" s="15" t="s">
        <v>40</v>
      </c>
      <c r="L1976" s="15" t="s">
        <v>41</v>
      </c>
      <c r="M1976" s="15" t="s">
        <v>565</v>
      </c>
      <c r="N1976" s="15" t="s">
        <v>566</v>
      </c>
      <c r="O1976" s="15" t="s">
        <v>44</v>
      </c>
      <c r="P1976" s="15" t="s">
        <v>5022</v>
      </c>
      <c r="Q1976" s="15" t="s">
        <v>5023</v>
      </c>
      <c r="R1976" s="16">
        <v>44329</v>
      </c>
      <c r="S1976" s="17" t="s">
        <v>3018</v>
      </c>
      <c r="T1976" s="20">
        <f>HYPERLINK("https://vnm.spiral.com.vn//uploaded/20210513/ae631972-bbad-457c-96ce-b96b77496832.JPEG","08:00:43")</f>
      </c>
      <c r="U1976" s="20">
        <f>HYPERLINK("https://vnm.spiral.com.vn//uploaded/20210513/f432878d-ea0f-47e5-979a-225f06faec59.JPEG","11:43:12")</f>
      </c>
      <c r="V1976" s="18">
        <v>0.15450231481481483</v>
      </c>
      <c r="W1976" s="15" t="s">
        <v>10736</v>
      </c>
      <c r="X1976" s="15" t="s">
        <v>10737</v>
      </c>
      <c r="Y1976" s="15" t="s">
        <v>35</v>
      </c>
      <c r="Z1976" s="19">
        <v>0</v>
      </c>
      <c r="AA1976" s="15">
        <v>0</v>
      </c>
      <c r="AB1976" s="15" t="s">
        <v>35</v>
      </c>
    </row>
    <row r="1977">
      <c r="A1977" s="15">
        <v>1973</v>
      </c>
      <c r="B1977" s="15" t="s">
        <v>61</v>
      </c>
      <c r="C1977" s="15" t="s">
        <v>1106</v>
      </c>
      <c r="D1977" s="15" t="s">
        <v>35</v>
      </c>
      <c r="E1977" s="15" t="s">
        <v>35</v>
      </c>
      <c r="F1977" s="15" t="s">
        <v>35</v>
      </c>
      <c r="G1977" s="15" t="s">
        <v>36</v>
      </c>
      <c r="H1977" s="15" t="s">
        <v>10738</v>
      </c>
      <c r="I1977" s="15" t="s">
        <v>10739</v>
      </c>
      <c r="J1977" s="15" t="s">
        <v>10740</v>
      </c>
      <c r="K1977" s="15" t="s">
        <v>40</v>
      </c>
      <c r="L1977" s="15" t="s">
        <v>41</v>
      </c>
      <c r="M1977" s="15" t="s">
        <v>66</v>
      </c>
      <c r="N1977" s="15" t="s">
        <v>67</v>
      </c>
      <c r="O1977" s="15" t="s">
        <v>44</v>
      </c>
      <c r="P1977" s="15" t="s">
        <v>10741</v>
      </c>
      <c r="Q1977" s="15" t="s">
        <v>10742</v>
      </c>
      <c r="R1977" s="16">
        <v>44329</v>
      </c>
      <c r="S1977" s="17" t="s">
        <v>10052</v>
      </c>
      <c r="T1977" s="20">
        <f>HYPERLINK("https://vnm.spiral.com.vn//uploaded/20210513/2ca4b753-0d8e-4a06-b065-88cf0f13be48.JPEG","11:43:03")</f>
      </c>
      <c r="U1977" s="18"/>
      <c r="V1977" s="18" t="s">
        <v>35</v>
      </c>
      <c r="W1977" s="15" t="s">
        <v>10743</v>
      </c>
      <c r="X1977" s="15" t="s">
        <v>35</v>
      </c>
      <c r="Y1977" s="15" t="s">
        <v>35</v>
      </c>
      <c r="Z1977" s="19">
        <v>0</v>
      </c>
      <c r="AA1977" s="15">
        <v>0</v>
      </c>
      <c r="AB1977" s="15" t="s">
        <v>35</v>
      </c>
    </row>
    <row r="1978">
      <c r="A1978" s="15">
        <v>1974</v>
      </c>
      <c r="B1978" s="15" t="s">
        <v>343</v>
      </c>
      <c r="C1978" s="15" t="s">
        <v>344</v>
      </c>
      <c r="D1978" s="15" t="s">
        <v>432</v>
      </c>
      <c r="E1978" s="15" t="s">
        <v>116</v>
      </c>
      <c r="F1978" s="15" t="s">
        <v>35</v>
      </c>
      <c r="G1978" s="15" t="s">
        <v>74</v>
      </c>
      <c r="H1978" s="15" t="s">
        <v>10744</v>
      </c>
      <c r="I1978" s="15" t="s">
        <v>10745</v>
      </c>
      <c r="J1978" s="15" t="s">
        <v>10746</v>
      </c>
      <c r="K1978" s="15" t="s">
        <v>512</v>
      </c>
      <c r="L1978" s="15" t="s">
        <v>513</v>
      </c>
      <c r="M1978" s="15" t="s">
        <v>514</v>
      </c>
      <c r="N1978" s="15" t="s">
        <v>515</v>
      </c>
      <c r="O1978" s="15" t="s">
        <v>82</v>
      </c>
      <c r="P1978" s="15" t="s">
        <v>1633</v>
      </c>
      <c r="Q1978" s="15" t="s">
        <v>1634</v>
      </c>
      <c r="R1978" s="16">
        <v>44329</v>
      </c>
      <c r="S1978" s="17" t="s">
        <v>70</v>
      </c>
      <c r="T1978" s="20">
        <f>HYPERLINK("https://vnm.spiral.com.vn//uploaded/20210513/ba3f492e-0154-46a3-a7c5-16a02cda200b.JPEG","11:07:50")</f>
      </c>
      <c r="U1978" s="20">
        <f>HYPERLINK("https://vnm.spiral.com.vn//uploaded/20210513/3bbafc16-319a-4139-bf93-162f669974cc.JPEG","11:43:02")</f>
      </c>
      <c r="V1978" s="18">
        <v>0.024444444444444446</v>
      </c>
      <c r="W1978" s="15" t="s">
        <v>10747</v>
      </c>
      <c r="X1978" s="15" t="s">
        <v>10748</v>
      </c>
      <c r="Y1978" s="15" t="s">
        <v>35</v>
      </c>
      <c r="Z1978" s="19">
        <v>0</v>
      </c>
      <c r="AA1978" s="15">
        <v>0</v>
      </c>
      <c r="AB1978" s="15" t="s">
        <v>35</v>
      </c>
    </row>
    <row r="1979">
      <c r="A1979" s="15">
        <v>1975</v>
      </c>
      <c r="B1979" s="15" t="s">
        <v>87</v>
      </c>
      <c r="C1979" s="15" t="s">
        <v>88</v>
      </c>
      <c r="D1979" s="15" t="s">
        <v>115</v>
      </c>
      <c r="E1979" s="15" t="s">
        <v>116</v>
      </c>
      <c r="F1979" s="15" t="s">
        <v>35</v>
      </c>
      <c r="G1979" s="15" t="s">
        <v>74</v>
      </c>
      <c r="H1979" s="15" t="s">
        <v>10749</v>
      </c>
      <c r="I1979" s="15" t="s">
        <v>10750</v>
      </c>
      <c r="J1979" s="15" t="s">
        <v>10751</v>
      </c>
      <c r="K1979" s="15" t="s">
        <v>120</v>
      </c>
      <c r="L1979" s="15" t="s">
        <v>121</v>
      </c>
      <c r="M1979" s="15" t="s">
        <v>122</v>
      </c>
      <c r="N1979" s="15" t="s">
        <v>123</v>
      </c>
      <c r="O1979" s="15" t="s">
        <v>82</v>
      </c>
      <c r="P1979" s="15" t="s">
        <v>7564</v>
      </c>
      <c r="Q1979" s="15" t="s">
        <v>7565</v>
      </c>
      <c r="R1979" s="16">
        <v>44329</v>
      </c>
      <c r="S1979" s="17" t="s">
        <v>70</v>
      </c>
      <c r="T1979" s="20">
        <f>HYPERLINK("https://vnm.spiral.com.vn//uploaded/20210513/3F3C0512-57DF-4FD3-BFE4-E2C110C11D23.jpg","11:03:34")</f>
      </c>
      <c r="U1979" s="20">
        <f>HYPERLINK("https://vnm.spiral.com.vn//uploaded/20210513/403C7804-2361-4EC1-86A5-A8504398E359.jpg","11:42:53")</f>
      </c>
      <c r="V1979" s="18">
        <v>0.02730324074074074</v>
      </c>
      <c r="W1979" s="15" t="s">
        <v>9606</v>
      </c>
      <c r="X1979" s="15" t="s">
        <v>10752</v>
      </c>
      <c r="Y1979" s="15" t="s">
        <v>35</v>
      </c>
      <c r="Z1979" s="19">
        <v>0</v>
      </c>
      <c r="AA1979" s="15">
        <v>0</v>
      </c>
      <c r="AB1979" s="15" t="s">
        <v>35</v>
      </c>
    </row>
    <row r="1980">
      <c r="A1980" s="15">
        <v>1976</v>
      </c>
      <c r="B1980" s="15" t="s">
        <v>103</v>
      </c>
      <c r="C1980" s="15" t="s">
        <v>186</v>
      </c>
      <c r="D1980" s="15" t="s">
        <v>35</v>
      </c>
      <c r="E1980" s="15" t="s">
        <v>35</v>
      </c>
      <c r="F1980" s="15" t="s">
        <v>35</v>
      </c>
      <c r="G1980" s="15" t="s">
        <v>36</v>
      </c>
      <c r="H1980" s="15" t="s">
        <v>8663</v>
      </c>
      <c r="I1980" s="15" t="s">
        <v>8664</v>
      </c>
      <c r="J1980" s="15" t="s">
        <v>8665</v>
      </c>
      <c r="K1980" s="15" t="s">
        <v>40</v>
      </c>
      <c r="L1980" s="15" t="s">
        <v>41</v>
      </c>
      <c r="M1980" s="15" t="s">
        <v>565</v>
      </c>
      <c r="N1980" s="15" t="s">
        <v>566</v>
      </c>
      <c r="O1980" s="15" t="s">
        <v>44</v>
      </c>
      <c r="P1980" s="15" t="s">
        <v>8666</v>
      </c>
      <c r="Q1980" s="15" t="s">
        <v>8667</v>
      </c>
      <c r="R1980" s="16">
        <v>44329</v>
      </c>
      <c r="S1980" s="17" t="s">
        <v>3018</v>
      </c>
      <c r="T1980" s="20">
        <f>HYPERLINK("https://vnm.spiral.com.vn//uploaded/20210513/66cc0ce7-a6cb-4b10-accb-6291df2406a1.JPEG","07:26:10")</f>
      </c>
      <c r="U1980" s="20">
        <f>HYPERLINK("https://vnm.spiral.com.vn//uploaded/20210513/803d27da-64ed-4565-959b-447cb41e69d3.JPEG","11:42:38")</f>
      </c>
      <c r="V1980" s="18">
        <v>0.17810185185185184</v>
      </c>
      <c r="W1980" s="15" t="s">
        <v>10753</v>
      </c>
      <c r="X1980" s="15" t="s">
        <v>10754</v>
      </c>
      <c r="Y1980" s="15" t="s">
        <v>35</v>
      </c>
      <c r="Z1980" s="19">
        <v>0</v>
      </c>
      <c r="AA1980" s="15">
        <v>0</v>
      </c>
      <c r="AB1980" s="15" t="s">
        <v>35</v>
      </c>
    </row>
    <row r="1981">
      <c r="A1981" s="15">
        <v>1977</v>
      </c>
      <c r="B1981" s="15" t="s">
        <v>33</v>
      </c>
      <c r="C1981" s="15" t="s">
        <v>8154</v>
      </c>
      <c r="D1981" s="15" t="s">
        <v>35</v>
      </c>
      <c r="E1981" s="15" t="s">
        <v>35</v>
      </c>
      <c r="F1981" s="15" t="s">
        <v>8155</v>
      </c>
      <c r="G1981" s="15" t="s">
        <v>36</v>
      </c>
      <c r="H1981" s="15" t="s">
        <v>10725</v>
      </c>
      <c r="I1981" s="15" t="s">
        <v>10726</v>
      </c>
      <c r="J1981" s="15" t="s">
        <v>10727</v>
      </c>
      <c r="K1981" s="15" t="s">
        <v>40</v>
      </c>
      <c r="L1981" s="15" t="s">
        <v>41</v>
      </c>
      <c r="M1981" s="15" t="s">
        <v>42</v>
      </c>
      <c r="N1981" s="15" t="s">
        <v>43</v>
      </c>
      <c r="O1981" s="15" t="s">
        <v>44</v>
      </c>
      <c r="P1981" s="15" t="s">
        <v>10728</v>
      </c>
      <c r="Q1981" s="15" t="s">
        <v>10729</v>
      </c>
      <c r="R1981" s="16">
        <v>44329</v>
      </c>
      <c r="S1981" s="17" t="s">
        <v>7866</v>
      </c>
      <c r="T1981" s="20">
        <f>HYPERLINK("https://vnm.spiral.com.vn//uploaded/20210513/1C82F2AD-96B1-4723-A1A9-0AED23B96C3D.jpg","07:34:23")</f>
      </c>
      <c r="U1981" s="20">
        <f>HYPERLINK("https://vnm.spiral.com.vn//uploaded/20210513/87E0B78B-8941-4C54-96CE-952E2364F214.jpg","11:42:22")</f>
      </c>
      <c r="V1981" s="18">
        <v>0.17221064814814815</v>
      </c>
      <c r="W1981" s="15" t="s">
        <v>10755</v>
      </c>
      <c r="X1981" s="15" t="s">
        <v>10730</v>
      </c>
      <c r="Y1981" s="15" t="s">
        <v>35</v>
      </c>
      <c r="Z1981" s="19">
        <v>0</v>
      </c>
      <c r="AA1981" s="15">
        <v>0</v>
      </c>
      <c r="AB1981" s="15" t="s">
        <v>35</v>
      </c>
    </row>
    <row r="1982">
      <c r="A1982" s="15">
        <v>1978</v>
      </c>
      <c r="B1982" s="15" t="s">
        <v>343</v>
      </c>
      <c r="C1982" s="15" t="s">
        <v>344</v>
      </c>
      <c r="D1982" s="15" t="s">
        <v>536</v>
      </c>
      <c r="E1982" s="15" t="s">
        <v>116</v>
      </c>
      <c r="F1982" s="15" t="s">
        <v>35</v>
      </c>
      <c r="G1982" s="15" t="s">
        <v>74</v>
      </c>
      <c r="H1982" s="15" t="s">
        <v>10756</v>
      </c>
      <c r="I1982" s="15" t="s">
        <v>10757</v>
      </c>
      <c r="J1982" s="15" t="s">
        <v>10758</v>
      </c>
      <c r="K1982" s="15" t="s">
        <v>997</v>
      </c>
      <c r="L1982" s="15" t="s">
        <v>998</v>
      </c>
      <c r="M1982" s="15" t="s">
        <v>1325</v>
      </c>
      <c r="N1982" s="15" t="s">
        <v>1326</v>
      </c>
      <c r="O1982" s="15" t="s">
        <v>82</v>
      </c>
      <c r="P1982" s="15" t="s">
        <v>2663</v>
      </c>
      <c r="Q1982" s="15" t="s">
        <v>2664</v>
      </c>
      <c r="R1982" s="16">
        <v>44329</v>
      </c>
      <c r="S1982" s="17" t="s">
        <v>70</v>
      </c>
      <c r="T1982" s="20">
        <f>HYPERLINK("https://vnm.spiral.com.vn//uploaded/20210513/BA4D33F8-8255-40EA-8D7F-A3142D274A10.jpg","07:57:04")</f>
      </c>
      <c r="U1982" s="20">
        <f>HYPERLINK("https://vnm.spiral.com.vn//uploaded/20210513/5B7E6A22-B31A-4CED-B0BF-74C22B74E519.jpg","11:42:20")</f>
      </c>
      <c r="V1982" s="18">
        <v>0.15643518518518518</v>
      </c>
      <c r="W1982" s="15" t="s">
        <v>10759</v>
      </c>
      <c r="X1982" s="15" t="s">
        <v>10760</v>
      </c>
      <c r="Y1982" s="15" t="s">
        <v>35</v>
      </c>
      <c r="Z1982" s="19">
        <v>0</v>
      </c>
      <c r="AA1982" s="15">
        <v>0</v>
      </c>
      <c r="AB1982" s="15" t="s">
        <v>35</v>
      </c>
    </row>
    <row r="1983">
      <c r="A1983" s="15">
        <v>1979</v>
      </c>
      <c r="B1983" s="15" t="s">
        <v>343</v>
      </c>
      <c r="C1983" s="15" t="s">
        <v>344</v>
      </c>
      <c r="D1983" s="15" t="s">
        <v>35</v>
      </c>
      <c r="E1983" s="15" t="s">
        <v>35</v>
      </c>
      <c r="F1983" s="15" t="s">
        <v>35</v>
      </c>
      <c r="G1983" s="15" t="s">
        <v>36</v>
      </c>
      <c r="H1983" s="15" t="s">
        <v>10761</v>
      </c>
      <c r="I1983" s="15" t="s">
        <v>668</v>
      </c>
      <c r="J1983" s="15" t="s">
        <v>10762</v>
      </c>
      <c r="K1983" s="15" t="s">
        <v>40</v>
      </c>
      <c r="L1983" s="15" t="s">
        <v>41</v>
      </c>
      <c r="M1983" s="15" t="s">
        <v>409</v>
      </c>
      <c r="N1983" s="15" t="s">
        <v>410</v>
      </c>
      <c r="O1983" s="15" t="s">
        <v>44</v>
      </c>
      <c r="P1983" s="15" t="s">
        <v>7704</v>
      </c>
      <c r="Q1983" s="15" t="s">
        <v>7705</v>
      </c>
      <c r="R1983" s="16">
        <v>44329</v>
      </c>
      <c r="S1983" s="17" t="s">
        <v>7866</v>
      </c>
      <c r="T1983" s="20">
        <f>HYPERLINK("https://vnm.spiral.com.vn//uploaded/20210513/1a4a1bf6-d9ef-4c5e-956d-b2bb8a04db92.JPEG","07:28:36")</f>
      </c>
      <c r="U1983" s="20">
        <f>HYPERLINK("https://vnm.spiral.com.vn//uploaded/20210513/85eb3d01-9ec5-4abb-bfe5-10f8fede42a4.JPEG","11:42:20")</f>
      </c>
      <c r="V1983" s="18">
        <v>0.1762037037037037</v>
      </c>
      <c r="W1983" s="15" t="s">
        <v>10763</v>
      </c>
      <c r="X1983" s="15" t="s">
        <v>10764</v>
      </c>
      <c r="Y1983" s="15" t="s">
        <v>35</v>
      </c>
      <c r="Z1983" s="19">
        <v>0</v>
      </c>
      <c r="AA1983" s="15">
        <v>0</v>
      </c>
      <c r="AB1983" s="15" t="s">
        <v>35</v>
      </c>
    </row>
    <row r="1984">
      <c r="A1984" s="15">
        <v>1980</v>
      </c>
      <c r="B1984" s="15" t="s">
        <v>246</v>
      </c>
      <c r="C1984" s="15" t="s">
        <v>259</v>
      </c>
      <c r="D1984" s="15" t="s">
        <v>35</v>
      </c>
      <c r="E1984" s="15" t="s">
        <v>35</v>
      </c>
      <c r="F1984" s="15" t="s">
        <v>4355</v>
      </c>
      <c r="G1984" s="15" t="s">
        <v>36</v>
      </c>
      <c r="H1984" s="15" t="s">
        <v>4806</v>
      </c>
      <c r="I1984" s="15" t="s">
        <v>4807</v>
      </c>
      <c r="J1984" s="15" t="s">
        <v>4808</v>
      </c>
      <c r="K1984" s="15" t="s">
        <v>40</v>
      </c>
      <c r="L1984" s="15" t="s">
        <v>41</v>
      </c>
      <c r="M1984" s="15" t="s">
        <v>252</v>
      </c>
      <c r="N1984" s="15" t="s">
        <v>253</v>
      </c>
      <c r="O1984" s="15" t="s">
        <v>44</v>
      </c>
      <c r="P1984" s="15" t="s">
        <v>4809</v>
      </c>
      <c r="Q1984" s="15" t="s">
        <v>4810</v>
      </c>
      <c r="R1984" s="16">
        <v>44329</v>
      </c>
      <c r="S1984" s="17" t="s">
        <v>3018</v>
      </c>
      <c r="T1984" s="20">
        <f>HYPERLINK("https://vnm.spiral.com.vn//uploaded/20210513/3e40cab8-e433-4b87-bc02-5dda00a4bf7c.JPEG","07:54:58")</f>
      </c>
      <c r="U1984" s="20">
        <f>HYPERLINK("https://vnm.spiral.com.vn//uploaded/20210513/018179d7-5cdd-45c9-89bc-4e8eabce34fb.JPEG","11:42:17")</f>
      </c>
      <c r="V1984" s="18">
        <v>0.1578587962962963</v>
      </c>
      <c r="W1984" s="15" t="s">
        <v>10765</v>
      </c>
      <c r="X1984" s="15" t="s">
        <v>10766</v>
      </c>
      <c r="Y1984" s="15" t="s">
        <v>35</v>
      </c>
      <c r="Z1984" s="19">
        <v>0</v>
      </c>
      <c r="AA1984" s="15">
        <v>0</v>
      </c>
      <c r="AB1984" s="15" t="s">
        <v>35</v>
      </c>
    </row>
    <row r="1985">
      <c r="A1985" s="15">
        <v>1981</v>
      </c>
      <c r="B1985" s="15" t="s">
        <v>61</v>
      </c>
      <c r="C1985" s="15" t="s">
        <v>303</v>
      </c>
      <c r="D1985" s="15" t="s">
        <v>35</v>
      </c>
      <c r="E1985" s="15" t="s">
        <v>35</v>
      </c>
      <c r="F1985" s="15" t="s">
        <v>35</v>
      </c>
      <c r="G1985" s="15" t="s">
        <v>36</v>
      </c>
      <c r="H1985" s="15" t="s">
        <v>5001</v>
      </c>
      <c r="I1985" s="15" t="s">
        <v>5002</v>
      </c>
      <c r="J1985" s="15" t="s">
        <v>5003</v>
      </c>
      <c r="K1985" s="15" t="s">
        <v>40</v>
      </c>
      <c r="L1985" s="15" t="s">
        <v>41</v>
      </c>
      <c r="M1985" s="15" t="s">
        <v>205</v>
      </c>
      <c r="N1985" s="15" t="s">
        <v>206</v>
      </c>
      <c r="O1985" s="15" t="s">
        <v>44</v>
      </c>
      <c r="P1985" s="15" t="s">
        <v>5004</v>
      </c>
      <c r="Q1985" s="15" t="s">
        <v>5005</v>
      </c>
      <c r="R1985" s="16">
        <v>44329</v>
      </c>
      <c r="S1985" s="17" t="s">
        <v>7866</v>
      </c>
      <c r="T1985" s="20">
        <f>HYPERLINK("https://vnm.spiral.com.vn//uploaded/20210513/3FD39C56-189C-4015-A4F9-9C0F862ADEE1.jpg","07:28:25")</f>
      </c>
      <c r="U1985" s="20">
        <f>HYPERLINK("https://vnm.spiral.com.vn//uploaded/20210513/505CC5CA-B3BE-4DBE-97FD-915104CF411D.jpg","11:42:16")</f>
      </c>
      <c r="V1985" s="18">
        <v>0.17628472222222222</v>
      </c>
      <c r="W1985" s="15" t="s">
        <v>10767</v>
      </c>
      <c r="X1985" s="15" t="s">
        <v>10768</v>
      </c>
      <c r="Y1985" s="15" t="s">
        <v>35</v>
      </c>
      <c r="Z1985" s="19">
        <v>0</v>
      </c>
      <c r="AA1985" s="15">
        <v>0</v>
      </c>
      <c r="AB1985" s="15" t="s">
        <v>35</v>
      </c>
    </row>
    <row r="1986">
      <c r="A1986" s="15">
        <v>1982</v>
      </c>
      <c r="B1986" s="15" t="s">
        <v>103</v>
      </c>
      <c r="C1986" s="15" t="s">
        <v>186</v>
      </c>
      <c r="D1986" s="15" t="s">
        <v>35</v>
      </c>
      <c r="E1986" s="15" t="s">
        <v>35</v>
      </c>
      <c r="F1986" s="15" t="s">
        <v>35</v>
      </c>
      <c r="G1986" s="15" t="s">
        <v>36</v>
      </c>
      <c r="H1986" s="15" t="s">
        <v>7843</v>
      </c>
      <c r="I1986" s="15" t="s">
        <v>7844</v>
      </c>
      <c r="J1986" s="15" t="s">
        <v>7845</v>
      </c>
      <c r="K1986" s="15" t="s">
        <v>40</v>
      </c>
      <c r="L1986" s="15" t="s">
        <v>41</v>
      </c>
      <c r="M1986" s="15" t="s">
        <v>565</v>
      </c>
      <c r="N1986" s="15" t="s">
        <v>566</v>
      </c>
      <c r="O1986" s="15" t="s">
        <v>44</v>
      </c>
      <c r="P1986" s="15" t="s">
        <v>7846</v>
      </c>
      <c r="Q1986" s="15" t="s">
        <v>7847</v>
      </c>
      <c r="R1986" s="16">
        <v>44329</v>
      </c>
      <c r="S1986" s="17" t="s">
        <v>317</v>
      </c>
      <c r="T1986" s="20">
        <f>HYPERLINK("https://vnm.spiral.com.vn//uploaded/20210513/4B5CDFF5-B822-4942-9B11-5119139F3956.jpg","07:39:09")</f>
      </c>
      <c r="U1986" s="20">
        <f>HYPERLINK("https://vnm.spiral.com.vn//uploaded/20210513/2AB1DA44-A54F-45E0-B026-B8FC05CAE4EF.jpg","11:42:05")</f>
      </c>
      <c r="V1986" s="18">
        <v>0.16870370370370372</v>
      </c>
      <c r="W1986" s="15" t="s">
        <v>10769</v>
      </c>
      <c r="X1986" s="15" t="s">
        <v>10770</v>
      </c>
      <c r="Y1986" s="15" t="s">
        <v>35</v>
      </c>
      <c r="Z1986" s="19">
        <v>0</v>
      </c>
      <c r="AA1986" s="15">
        <v>0</v>
      </c>
      <c r="AB1986" s="15" t="s">
        <v>35</v>
      </c>
    </row>
    <row r="1987">
      <c r="A1987" s="15">
        <v>1983</v>
      </c>
      <c r="B1987" s="15" t="s">
        <v>61</v>
      </c>
      <c r="C1987" s="15" t="s">
        <v>904</v>
      </c>
      <c r="D1987" s="15" t="s">
        <v>35</v>
      </c>
      <c r="E1987" s="15" t="s">
        <v>35</v>
      </c>
      <c r="F1987" s="15" t="s">
        <v>1062</v>
      </c>
      <c r="G1987" s="15" t="s">
        <v>36</v>
      </c>
      <c r="H1987" s="15" t="s">
        <v>10771</v>
      </c>
      <c r="I1987" s="15" t="s">
        <v>10772</v>
      </c>
      <c r="J1987" s="15" t="s">
        <v>10773</v>
      </c>
      <c r="K1987" s="15" t="s">
        <v>40</v>
      </c>
      <c r="L1987" s="15" t="s">
        <v>41</v>
      </c>
      <c r="M1987" s="15" t="s">
        <v>66</v>
      </c>
      <c r="N1987" s="15" t="s">
        <v>67</v>
      </c>
      <c r="O1987" s="15" t="s">
        <v>44</v>
      </c>
      <c r="P1987" s="15" t="s">
        <v>10774</v>
      </c>
      <c r="Q1987" s="15" t="s">
        <v>10775</v>
      </c>
      <c r="R1987" s="16">
        <v>44329</v>
      </c>
      <c r="S1987" s="17" t="s">
        <v>1696</v>
      </c>
      <c r="T1987" s="20">
        <f>HYPERLINK("https://vnm.spiral.com.vn//uploaded/20210513/971D034C-C5E4-45BF-888A-B1E9D8DBF4D8.jpg","11:41:59")</f>
      </c>
      <c r="U1987" s="18"/>
      <c r="V1987" s="18" t="s">
        <v>35</v>
      </c>
      <c r="W1987" s="15" t="s">
        <v>10776</v>
      </c>
      <c r="X1987" s="15" t="s">
        <v>35</v>
      </c>
      <c r="Y1987" s="15" t="s">
        <v>35</v>
      </c>
      <c r="Z1987" s="19">
        <v>0</v>
      </c>
      <c r="AA1987" s="15">
        <v>0</v>
      </c>
      <c r="AB1987" s="15" t="s">
        <v>35</v>
      </c>
    </row>
    <row r="1988">
      <c r="A1988" s="15">
        <v>1984</v>
      </c>
      <c r="B1988" s="15" t="s">
        <v>343</v>
      </c>
      <c r="C1988" s="15" t="s">
        <v>2135</v>
      </c>
      <c r="D1988" s="15" t="s">
        <v>35</v>
      </c>
      <c r="E1988" s="15" t="s">
        <v>35</v>
      </c>
      <c r="F1988" s="15" t="s">
        <v>35</v>
      </c>
      <c r="G1988" s="15" t="s">
        <v>36</v>
      </c>
      <c r="H1988" s="15" t="s">
        <v>7981</v>
      </c>
      <c r="I1988" s="15" t="s">
        <v>7982</v>
      </c>
      <c r="J1988" s="15" t="s">
        <v>7983</v>
      </c>
      <c r="K1988" s="15" t="s">
        <v>40</v>
      </c>
      <c r="L1988" s="15" t="s">
        <v>41</v>
      </c>
      <c r="M1988" s="15" t="s">
        <v>409</v>
      </c>
      <c r="N1988" s="15" t="s">
        <v>410</v>
      </c>
      <c r="O1988" s="15" t="s">
        <v>44</v>
      </c>
      <c r="P1988" s="15" t="s">
        <v>7984</v>
      </c>
      <c r="Q1988" s="15" t="s">
        <v>6445</v>
      </c>
      <c r="R1988" s="16">
        <v>44329</v>
      </c>
      <c r="S1988" s="17" t="s">
        <v>7866</v>
      </c>
      <c r="T1988" s="20">
        <f>HYPERLINK("https://vnm.spiral.com.vn//uploaded/20210513/250305E9-D2B9-4291-BB71-F30D8989511D.jpg","07:40:48")</f>
      </c>
      <c r="U1988" s="20">
        <f>HYPERLINK("https://vnm.spiral.com.vn//uploaded/20210513/D9F48291-6BBC-4907-9F49-1F6ECFDB9D34.jpg","11:41:52")</f>
      </c>
      <c r="V1988" s="18">
        <v>0.1674074074074074</v>
      </c>
      <c r="W1988" s="15" t="s">
        <v>10777</v>
      </c>
      <c r="X1988" s="15" t="s">
        <v>10778</v>
      </c>
      <c r="Y1988" s="15" t="s">
        <v>35</v>
      </c>
      <c r="Z1988" s="19">
        <v>0</v>
      </c>
      <c r="AA1988" s="15">
        <v>0</v>
      </c>
      <c r="AB1988" s="15" t="s">
        <v>35</v>
      </c>
    </row>
    <row r="1989">
      <c r="A1989" s="15">
        <v>1985</v>
      </c>
      <c r="B1989" s="15" t="s">
        <v>343</v>
      </c>
      <c r="C1989" s="15" t="s">
        <v>344</v>
      </c>
      <c r="D1989" s="15" t="s">
        <v>35</v>
      </c>
      <c r="E1989" s="15" t="s">
        <v>35</v>
      </c>
      <c r="F1989" s="15" t="s">
        <v>35</v>
      </c>
      <c r="G1989" s="15" t="s">
        <v>74</v>
      </c>
      <c r="H1989" s="15" t="s">
        <v>10779</v>
      </c>
      <c r="I1989" s="15" t="s">
        <v>10780</v>
      </c>
      <c r="J1989" s="15" t="s">
        <v>10781</v>
      </c>
      <c r="K1989" s="15" t="s">
        <v>584</v>
      </c>
      <c r="L1989" s="15" t="s">
        <v>585</v>
      </c>
      <c r="M1989" s="15" t="s">
        <v>827</v>
      </c>
      <c r="N1989" s="15" t="s">
        <v>828</v>
      </c>
      <c r="O1989" s="15" t="s">
        <v>82</v>
      </c>
      <c r="P1989" s="15" t="s">
        <v>7778</v>
      </c>
      <c r="Q1989" s="15" t="s">
        <v>7779</v>
      </c>
      <c r="R1989" s="16">
        <v>44329</v>
      </c>
      <c r="S1989" s="17" t="s">
        <v>70</v>
      </c>
      <c r="T1989" s="20">
        <f>HYPERLINK("https://vnm.spiral.com.vn//uploaded/20210513/2ee0bdf3-01b2-4165-b507-cd176f45e6a4.JPEG","11:26:28")</f>
      </c>
      <c r="U1989" s="20">
        <f>HYPERLINK("https://vnm.spiral.com.vn//uploaded/20210513/4c5077fe-b5f4-417a-868f-d2317434bd26.JPEG","11:41:50")</f>
      </c>
      <c r="V1989" s="18">
        <v>0.010671296296296297</v>
      </c>
      <c r="W1989" s="15" t="s">
        <v>10782</v>
      </c>
      <c r="X1989" s="15" t="s">
        <v>10782</v>
      </c>
      <c r="Y1989" s="15" t="s">
        <v>35</v>
      </c>
      <c r="Z1989" s="19">
        <v>0</v>
      </c>
      <c r="AA1989" s="15">
        <v>0</v>
      </c>
      <c r="AB1989" s="15" t="s">
        <v>35</v>
      </c>
    </row>
    <row r="1990">
      <c r="A1990" s="15">
        <v>1986</v>
      </c>
      <c r="B1990" s="15" t="s">
        <v>87</v>
      </c>
      <c r="C1990" s="15" t="s">
        <v>88</v>
      </c>
      <c r="D1990" s="15" t="s">
        <v>135</v>
      </c>
      <c r="E1990" s="15" t="s">
        <v>116</v>
      </c>
      <c r="F1990" s="15" t="s">
        <v>35</v>
      </c>
      <c r="G1990" s="15" t="s">
        <v>74</v>
      </c>
      <c r="H1990" s="15" t="s">
        <v>10783</v>
      </c>
      <c r="I1990" s="15" t="s">
        <v>10784</v>
      </c>
      <c r="J1990" s="15" t="s">
        <v>10785</v>
      </c>
      <c r="K1990" s="15" t="s">
        <v>390</v>
      </c>
      <c r="L1990" s="15" t="s">
        <v>391</v>
      </c>
      <c r="M1990" s="15" t="s">
        <v>392</v>
      </c>
      <c r="N1990" s="15" t="s">
        <v>393</v>
      </c>
      <c r="O1990" s="15" t="s">
        <v>82</v>
      </c>
      <c r="P1990" s="15" t="s">
        <v>1415</v>
      </c>
      <c r="Q1990" s="15" t="s">
        <v>1416</v>
      </c>
      <c r="R1990" s="16">
        <v>44329</v>
      </c>
      <c r="S1990" s="17" t="s">
        <v>70</v>
      </c>
      <c r="T1990" s="20">
        <f>HYPERLINK("https://vnm.spiral.com.vn//uploaded/20210513/b953352d-1a6e-46ab-9de5-f5ef820802fc.jpg","10:31:30")</f>
      </c>
      <c r="U1990" s="20">
        <f>HYPERLINK("https://vnm.spiral.com.vn//uploaded/20210513/b4b66f24-34bd-4ec1-a128-ae68c55750bd.jpg","11:41:10")</f>
      </c>
      <c r="V1990" s="18">
        <v>0.04837962962962963</v>
      </c>
      <c r="W1990" s="15" t="s">
        <v>10786</v>
      </c>
      <c r="X1990" s="15" t="s">
        <v>10787</v>
      </c>
      <c r="Y1990" s="15" t="s">
        <v>35</v>
      </c>
      <c r="Z1990" s="19">
        <v>0</v>
      </c>
      <c r="AA1990" s="15">
        <v>0</v>
      </c>
      <c r="AB1990" s="15" t="s">
        <v>35</v>
      </c>
    </row>
    <row r="1991">
      <c r="A1991" s="15">
        <v>1987</v>
      </c>
      <c r="B1991" s="15" t="s">
        <v>343</v>
      </c>
      <c r="C1991" s="15" t="s">
        <v>344</v>
      </c>
      <c r="D1991" s="15" t="s">
        <v>432</v>
      </c>
      <c r="E1991" s="15" t="s">
        <v>116</v>
      </c>
      <c r="F1991" s="15" t="s">
        <v>35</v>
      </c>
      <c r="G1991" s="15" t="s">
        <v>74</v>
      </c>
      <c r="H1991" s="15" t="s">
        <v>10788</v>
      </c>
      <c r="I1991" s="15" t="s">
        <v>10789</v>
      </c>
      <c r="J1991" s="15" t="s">
        <v>10790</v>
      </c>
      <c r="K1991" s="15" t="s">
        <v>512</v>
      </c>
      <c r="L1991" s="15" t="s">
        <v>513</v>
      </c>
      <c r="M1991" s="15" t="s">
        <v>514</v>
      </c>
      <c r="N1991" s="15" t="s">
        <v>515</v>
      </c>
      <c r="O1991" s="15" t="s">
        <v>82</v>
      </c>
      <c r="P1991" s="15" t="s">
        <v>1371</v>
      </c>
      <c r="Q1991" s="15" t="s">
        <v>1372</v>
      </c>
      <c r="R1991" s="16">
        <v>44329</v>
      </c>
      <c r="S1991" s="17" t="s">
        <v>70</v>
      </c>
      <c r="T1991" s="20">
        <f>HYPERLINK("https://vnm.spiral.com.vn//uploaded/20210513/cad6ffb5-31b7-4ad1-9e4a-d4a3163225ec.JPEG","09:32:00")</f>
      </c>
      <c r="U1991" s="20">
        <f>HYPERLINK("https://vnm.spiral.com.vn//uploaded/20210513/bc7338c5-e6ea-4fce-b178-4eb4ac8fd3b2.JPEG","11:41:07")</f>
      </c>
      <c r="V1991" s="18">
        <v>0.08966435185185186</v>
      </c>
      <c r="W1991" s="15" t="s">
        <v>10791</v>
      </c>
      <c r="X1991" s="15" t="s">
        <v>10792</v>
      </c>
      <c r="Y1991" s="15" t="s">
        <v>35</v>
      </c>
      <c r="Z1991" s="19">
        <v>0</v>
      </c>
      <c r="AA1991" s="15">
        <v>0</v>
      </c>
      <c r="AB1991" s="15" t="s">
        <v>35</v>
      </c>
    </row>
    <row r="1992">
      <c r="A1992" s="15">
        <v>1988</v>
      </c>
      <c r="B1992" s="15" t="s">
        <v>61</v>
      </c>
      <c r="C1992" s="15" t="s">
        <v>201</v>
      </c>
      <c r="D1992" s="15" t="s">
        <v>35</v>
      </c>
      <c r="E1992" s="15" t="s">
        <v>35</v>
      </c>
      <c r="F1992" s="15" t="s">
        <v>35</v>
      </c>
      <c r="G1992" s="15" t="s">
        <v>36</v>
      </c>
      <c r="H1992" s="15" t="s">
        <v>10793</v>
      </c>
      <c r="I1992" s="15" t="s">
        <v>10794</v>
      </c>
      <c r="J1992" s="15" t="s">
        <v>10795</v>
      </c>
      <c r="K1992" s="15" t="s">
        <v>40</v>
      </c>
      <c r="L1992" s="15" t="s">
        <v>41</v>
      </c>
      <c r="M1992" s="15" t="s">
        <v>205</v>
      </c>
      <c r="N1992" s="15" t="s">
        <v>206</v>
      </c>
      <c r="O1992" s="15" t="s">
        <v>44</v>
      </c>
      <c r="P1992" s="15" t="s">
        <v>8182</v>
      </c>
      <c r="Q1992" s="15" t="s">
        <v>8183</v>
      </c>
      <c r="R1992" s="16">
        <v>44329</v>
      </c>
      <c r="S1992" s="17" t="s">
        <v>7866</v>
      </c>
      <c r="T1992" s="20">
        <f>HYPERLINK("https://vnm.spiral.com.vn//uploaded/20210513/e1901ef8-4771-43f3-9e0b-b1066509f212.JPEG","07:28:40")</f>
      </c>
      <c r="U1992" s="20">
        <f>HYPERLINK("https://vnm.spiral.com.vn//uploaded/20210513/fcd25135-9e43-469c-a18b-472705c52401.JPEG","11:41:00")</f>
      </c>
      <c r="V1992" s="18">
        <v>0.1752314814814815</v>
      </c>
      <c r="W1992" s="15" t="s">
        <v>10796</v>
      </c>
      <c r="X1992" s="15" t="s">
        <v>10797</v>
      </c>
      <c r="Y1992" s="15" t="s">
        <v>35</v>
      </c>
      <c r="Z1992" s="19">
        <v>0</v>
      </c>
      <c r="AA1992" s="15">
        <v>0</v>
      </c>
      <c r="AB1992" s="15" t="s">
        <v>35</v>
      </c>
    </row>
    <row r="1993">
      <c r="A1993" s="15">
        <v>1989</v>
      </c>
      <c r="B1993" s="15" t="s">
        <v>87</v>
      </c>
      <c r="C1993" s="15" t="s">
        <v>88</v>
      </c>
      <c r="D1993" s="15" t="s">
        <v>432</v>
      </c>
      <c r="E1993" s="15" t="s">
        <v>116</v>
      </c>
      <c r="F1993" s="15" t="s">
        <v>35</v>
      </c>
      <c r="G1993" s="15" t="s">
        <v>74</v>
      </c>
      <c r="H1993" s="15" t="s">
        <v>10798</v>
      </c>
      <c r="I1993" s="15" t="s">
        <v>10799</v>
      </c>
      <c r="J1993" s="15" t="s">
        <v>10800</v>
      </c>
      <c r="K1993" s="15" t="s">
        <v>625</v>
      </c>
      <c r="L1993" s="15" t="s">
        <v>626</v>
      </c>
      <c r="M1993" s="15" t="s">
        <v>627</v>
      </c>
      <c r="N1993" s="15" t="s">
        <v>628</v>
      </c>
      <c r="O1993" s="15" t="s">
        <v>82</v>
      </c>
      <c r="P1993" s="15" t="s">
        <v>1804</v>
      </c>
      <c r="Q1993" s="15" t="s">
        <v>1805</v>
      </c>
      <c r="R1993" s="16">
        <v>44329</v>
      </c>
      <c r="S1993" s="17" t="s">
        <v>70</v>
      </c>
      <c r="T1993" s="20">
        <f>HYPERLINK("https://vnm.spiral.com.vn//uploaded/20210513/ebdb3a0d-a46d-4039-bb46-a6d2523d7a0c.JPEG","11:10:14")</f>
      </c>
      <c r="U1993" s="20">
        <f>HYPERLINK("https://vnm.spiral.com.vn//uploaded/20210513/a27122c0-3325-40ad-9d9a-27776abd6951.JPEG","11:40:50")</f>
      </c>
      <c r="V1993" s="18">
        <v>0.02125</v>
      </c>
      <c r="W1993" s="15" t="s">
        <v>10801</v>
      </c>
      <c r="X1993" s="15" t="s">
        <v>10802</v>
      </c>
      <c r="Y1993" s="15" t="s">
        <v>35</v>
      </c>
      <c r="Z1993" s="19">
        <v>0</v>
      </c>
      <c r="AA1993" s="15">
        <v>0</v>
      </c>
      <c r="AB1993" s="15" t="s">
        <v>35</v>
      </c>
    </row>
    <row r="1994">
      <c r="A1994" s="15">
        <v>1990</v>
      </c>
      <c r="B1994" s="15" t="s">
        <v>246</v>
      </c>
      <c r="C1994" s="15" t="s">
        <v>864</v>
      </c>
      <c r="D1994" s="15" t="s">
        <v>35</v>
      </c>
      <c r="E1994" s="15" t="s">
        <v>35</v>
      </c>
      <c r="F1994" s="15" t="s">
        <v>1676</v>
      </c>
      <c r="G1994" s="15" t="s">
        <v>36</v>
      </c>
      <c r="H1994" s="15" t="s">
        <v>5989</v>
      </c>
      <c r="I1994" s="15" t="s">
        <v>5990</v>
      </c>
      <c r="J1994" s="15" t="s">
        <v>5991</v>
      </c>
      <c r="K1994" s="15" t="s">
        <v>40</v>
      </c>
      <c r="L1994" s="15" t="s">
        <v>41</v>
      </c>
      <c r="M1994" s="15" t="s">
        <v>252</v>
      </c>
      <c r="N1994" s="15" t="s">
        <v>253</v>
      </c>
      <c r="O1994" s="15" t="s">
        <v>44</v>
      </c>
      <c r="P1994" s="15" t="s">
        <v>5992</v>
      </c>
      <c r="Q1994" s="15" t="s">
        <v>4704</v>
      </c>
      <c r="R1994" s="16">
        <v>44329</v>
      </c>
      <c r="S1994" s="17" t="s">
        <v>10803</v>
      </c>
      <c r="T1994" s="20">
        <f>HYPERLINK("https://vnm.spiral.com.vn//uploaded/20210513/7901add8-8ada-4e9a-ae4d-ba5afe850929.JPEG","08:24:59")</f>
      </c>
      <c r="U1994" s="20">
        <f>HYPERLINK("https://vnm.spiral.com.vn//uploaded/20210513/a73605ed-a88b-40b2-bf7a-9804ee714947.JPEG","11:40:35")</f>
      </c>
      <c r="V1994" s="18">
        <v>0.13583333333333333</v>
      </c>
      <c r="W1994" s="15" t="s">
        <v>10804</v>
      </c>
      <c r="X1994" s="15" t="s">
        <v>10805</v>
      </c>
      <c r="Y1994" s="15" t="s">
        <v>35</v>
      </c>
      <c r="Z1994" s="19">
        <v>0</v>
      </c>
      <c r="AA1994" s="15">
        <v>0</v>
      </c>
      <c r="AB1994" s="15" t="s">
        <v>35</v>
      </c>
    </row>
    <row r="1995">
      <c r="A1995" s="15">
        <v>1991</v>
      </c>
      <c r="B1995" s="15" t="s">
        <v>246</v>
      </c>
      <c r="C1995" s="15" t="s">
        <v>259</v>
      </c>
      <c r="D1995" s="15" t="s">
        <v>432</v>
      </c>
      <c r="E1995" s="15" t="s">
        <v>116</v>
      </c>
      <c r="F1995" s="15" t="s">
        <v>35</v>
      </c>
      <c r="G1995" s="15" t="s">
        <v>74</v>
      </c>
      <c r="H1995" s="15" t="s">
        <v>10806</v>
      </c>
      <c r="I1995" s="15" t="s">
        <v>10807</v>
      </c>
      <c r="J1995" s="15" t="s">
        <v>10808</v>
      </c>
      <c r="K1995" s="15" t="s">
        <v>166</v>
      </c>
      <c r="L1995" s="15" t="s">
        <v>167</v>
      </c>
      <c r="M1995" s="15" t="s">
        <v>263</v>
      </c>
      <c r="N1995" s="15" t="s">
        <v>264</v>
      </c>
      <c r="O1995" s="15" t="s">
        <v>82</v>
      </c>
      <c r="P1995" s="15" t="s">
        <v>2514</v>
      </c>
      <c r="Q1995" s="15" t="s">
        <v>2515</v>
      </c>
      <c r="R1995" s="16">
        <v>44329</v>
      </c>
      <c r="S1995" s="17" t="s">
        <v>70</v>
      </c>
      <c r="T1995" s="20">
        <f>HYPERLINK("https://vnm.spiral.com.vn//uploaded/20210513/5419990e-dfec-41a7-9868-121767e807e3.JPEG","10:29:04")</f>
      </c>
      <c r="U1995" s="20">
        <f>HYPERLINK("https://vnm.spiral.com.vn//uploaded/20210513/1ee12304-3aa8-44c9-88e0-2204bfdaf2e8.JPEG","11:40:23")</f>
      </c>
      <c r="V1995" s="18">
        <v>0.049525462962962966</v>
      </c>
      <c r="W1995" s="15" t="s">
        <v>10809</v>
      </c>
      <c r="X1995" s="15" t="s">
        <v>10810</v>
      </c>
      <c r="Y1995" s="15" t="s">
        <v>35</v>
      </c>
      <c r="Z1995" s="19">
        <v>0</v>
      </c>
      <c r="AA1995" s="15">
        <v>0</v>
      </c>
      <c r="AB1995" s="15" t="s">
        <v>35</v>
      </c>
    </row>
    <row r="1996">
      <c r="A1996" s="15">
        <v>1992</v>
      </c>
      <c r="B1996" s="15" t="s">
        <v>343</v>
      </c>
      <c r="C1996" s="15" t="s">
        <v>344</v>
      </c>
      <c r="D1996" s="15" t="s">
        <v>823</v>
      </c>
      <c r="E1996" s="15" t="s">
        <v>116</v>
      </c>
      <c r="F1996" s="15" t="s">
        <v>35</v>
      </c>
      <c r="G1996" s="15" t="s">
        <v>74</v>
      </c>
      <c r="H1996" s="15" t="s">
        <v>10811</v>
      </c>
      <c r="I1996" s="15" t="s">
        <v>10812</v>
      </c>
      <c r="J1996" s="15" t="s">
        <v>3925</v>
      </c>
      <c r="K1996" s="15" t="s">
        <v>540</v>
      </c>
      <c r="L1996" s="15" t="s">
        <v>541</v>
      </c>
      <c r="M1996" s="15" t="s">
        <v>584</v>
      </c>
      <c r="N1996" s="15" t="s">
        <v>585</v>
      </c>
      <c r="O1996" s="15" t="s">
        <v>98</v>
      </c>
      <c r="P1996" s="15" t="s">
        <v>827</v>
      </c>
      <c r="Q1996" s="15" t="s">
        <v>828</v>
      </c>
      <c r="R1996" s="16">
        <v>44329</v>
      </c>
      <c r="S1996" s="17" t="s">
        <v>70</v>
      </c>
      <c r="T1996" s="20">
        <f>HYPERLINK("https://vnm.spiral.com.vn//uploaded/20210513/B56E4034-325A-42F9-A041-DBD237E9C71C.jpg","11:06:20")</f>
      </c>
      <c r="U1996" s="20">
        <f>HYPERLINK("https://vnm.spiral.com.vn//uploaded/20210513/3C2F0EFF-3B9A-4DC9-9925-1C577B9AC663.jpg","11:40:05")</f>
      </c>
      <c r="V1996" s="18">
        <v>0.0234375</v>
      </c>
      <c r="W1996" s="15" t="s">
        <v>10813</v>
      </c>
      <c r="X1996" s="15" t="s">
        <v>10814</v>
      </c>
      <c r="Y1996" s="15" t="s">
        <v>35</v>
      </c>
      <c r="Z1996" s="19">
        <v>0</v>
      </c>
      <c r="AA1996" s="15">
        <v>0</v>
      </c>
      <c r="AB1996" s="15" t="s">
        <v>35</v>
      </c>
    </row>
    <row r="1997">
      <c r="A1997" s="15">
        <v>1993</v>
      </c>
      <c r="B1997" s="15" t="s">
        <v>87</v>
      </c>
      <c r="C1997" s="15" t="s">
        <v>88</v>
      </c>
      <c r="D1997" s="15" t="s">
        <v>35</v>
      </c>
      <c r="E1997" s="15" t="s">
        <v>35</v>
      </c>
      <c r="F1997" s="15" t="s">
        <v>35</v>
      </c>
      <c r="G1997" s="15" t="s">
        <v>74</v>
      </c>
      <c r="H1997" s="15" t="s">
        <v>10815</v>
      </c>
      <c r="I1997" s="15" t="s">
        <v>10816</v>
      </c>
      <c r="J1997" s="15" t="s">
        <v>10817</v>
      </c>
      <c r="K1997" s="15" t="s">
        <v>888</v>
      </c>
      <c r="L1997" s="15" t="s">
        <v>889</v>
      </c>
      <c r="M1997" s="15" t="s">
        <v>924</v>
      </c>
      <c r="N1997" s="15" t="s">
        <v>925</v>
      </c>
      <c r="O1997" s="15" t="s">
        <v>82</v>
      </c>
      <c r="P1997" s="15" t="s">
        <v>1893</v>
      </c>
      <c r="Q1997" s="15" t="s">
        <v>1894</v>
      </c>
      <c r="R1997" s="16">
        <v>44329</v>
      </c>
      <c r="S1997" s="17" t="s">
        <v>70</v>
      </c>
      <c r="T1997" s="20">
        <f>HYPERLINK("https://vnm.spiral.com.vn//uploaded/20210513/0B7661CA-9AAF-4833-8507-5487FA6DE1ED.jpg","11:25:03")</f>
      </c>
      <c r="U1997" s="20">
        <f>HYPERLINK("https://vnm.spiral.com.vn//uploaded/20210513/7442E6E8-FF1E-43BE-B70E-9ACA5756C387.jpg","11:40:05")</f>
      </c>
      <c r="V1997" s="18">
        <v>0.010439814814814815</v>
      </c>
      <c r="W1997" s="15" t="s">
        <v>10818</v>
      </c>
      <c r="X1997" s="15" t="s">
        <v>10819</v>
      </c>
      <c r="Y1997" s="15" t="s">
        <v>35</v>
      </c>
      <c r="Z1997" s="19">
        <v>0</v>
      </c>
      <c r="AA1997" s="15">
        <v>0</v>
      </c>
      <c r="AB1997" s="15" t="s">
        <v>35</v>
      </c>
    </row>
    <row r="1998">
      <c r="A1998" s="15">
        <v>1994</v>
      </c>
      <c r="B1998" s="15" t="s">
        <v>343</v>
      </c>
      <c r="C1998" s="15" t="s">
        <v>344</v>
      </c>
      <c r="D1998" s="15" t="s">
        <v>1644</v>
      </c>
      <c r="E1998" s="15" t="s">
        <v>35</v>
      </c>
      <c r="F1998" s="15" t="s">
        <v>35</v>
      </c>
      <c r="G1998" s="15" t="s">
        <v>74</v>
      </c>
      <c r="H1998" s="15" t="s">
        <v>10820</v>
      </c>
      <c r="I1998" s="15" t="s">
        <v>10821</v>
      </c>
      <c r="J1998" s="15" t="s">
        <v>10822</v>
      </c>
      <c r="K1998" s="15" t="s">
        <v>584</v>
      </c>
      <c r="L1998" s="15" t="s">
        <v>585</v>
      </c>
      <c r="M1998" s="15" t="s">
        <v>827</v>
      </c>
      <c r="N1998" s="15" t="s">
        <v>828</v>
      </c>
      <c r="O1998" s="15" t="s">
        <v>82</v>
      </c>
      <c r="P1998" s="15" t="s">
        <v>2471</v>
      </c>
      <c r="Q1998" s="15" t="s">
        <v>2472</v>
      </c>
      <c r="R1998" s="16">
        <v>44329</v>
      </c>
      <c r="S1998" s="17" t="s">
        <v>70</v>
      </c>
      <c r="T1998" s="20">
        <f>HYPERLINK("https://vnm.spiral.com.vn//uploaded/20210513/E7023FD8-10DD-469B-A741-18392E54BA0D.jpg","11:24:16")</f>
      </c>
      <c r="U1998" s="20">
        <f>HYPERLINK("https://vnm.spiral.com.vn//uploaded/20210513/BEB24F3E-A4D9-4F63-960F-C45C527BF9E2.jpg","11:39:48")</f>
      </c>
      <c r="V1998" s="18">
        <v>0.010787037037037038</v>
      </c>
      <c r="W1998" s="15" t="s">
        <v>10823</v>
      </c>
      <c r="X1998" s="15" t="s">
        <v>3926</v>
      </c>
      <c r="Y1998" s="15" t="s">
        <v>35</v>
      </c>
      <c r="Z1998" s="19">
        <v>0</v>
      </c>
      <c r="AA1998" s="15">
        <v>0</v>
      </c>
      <c r="AB1998" s="15" t="s">
        <v>35</v>
      </c>
    </row>
    <row r="1999">
      <c r="A1999" s="15">
        <v>1995</v>
      </c>
      <c r="B1999" s="15" t="s">
        <v>246</v>
      </c>
      <c r="C1999" s="15" t="s">
        <v>2005</v>
      </c>
      <c r="D1999" s="15" t="s">
        <v>89</v>
      </c>
      <c r="E1999" s="15" t="s">
        <v>90</v>
      </c>
      <c r="F1999" s="15" t="s">
        <v>35</v>
      </c>
      <c r="G1999" s="15" t="s">
        <v>74</v>
      </c>
      <c r="H1999" s="15" t="s">
        <v>2934</v>
      </c>
      <c r="I1999" s="15" t="s">
        <v>2935</v>
      </c>
      <c r="J1999" s="15" t="s">
        <v>2936</v>
      </c>
      <c r="K1999" s="15" t="s">
        <v>263</v>
      </c>
      <c r="L1999" s="15" t="s">
        <v>264</v>
      </c>
      <c r="M1999" s="15" t="s">
        <v>2009</v>
      </c>
      <c r="N1999" s="15" t="s">
        <v>2010</v>
      </c>
      <c r="O1999" s="15" t="s">
        <v>156</v>
      </c>
      <c r="P1999" s="15" t="s">
        <v>10824</v>
      </c>
      <c r="Q1999" s="15" t="s">
        <v>7233</v>
      </c>
      <c r="R1999" s="16">
        <v>44329</v>
      </c>
      <c r="S1999" s="17" t="s">
        <v>5058</v>
      </c>
      <c r="T1999" s="20">
        <f>HYPERLINK("https://vnm.spiral.com.vn//uploaded/20210513/38c19bf6-158e-45ba-88dd-03cc4ad6193a.JPEG","11:39:41")</f>
      </c>
      <c r="U1999" s="18"/>
      <c r="V1999" s="18" t="s">
        <v>35</v>
      </c>
      <c r="W1999" s="15" t="s">
        <v>10825</v>
      </c>
      <c r="X1999" s="15" t="s">
        <v>35</v>
      </c>
      <c r="Y1999" s="15" t="s">
        <v>35</v>
      </c>
      <c r="Z1999" s="19">
        <v>0</v>
      </c>
      <c r="AA1999" s="15">
        <v>0</v>
      </c>
      <c r="AB1999" s="15" t="s">
        <v>35</v>
      </c>
    </row>
    <row r="2000">
      <c r="A2000" s="15">
        <v>1996</v>
      </c>
      <c r="B2000" s="15" t="s">
        <v>61</v>
      </c>
      <c r="C2000" s="15" t="s">
        <v>62</v>
      </c>
      <c r="D2000" s="15" t="s">
        <v>35</v>
      </c>
      <c r="E2000" s="15" t="s">
        <v>35</v>
      </c>
      <c r="F2000" s="15" t="s">
        <v>3325</v>
      </c>
      <c r="G2000" s="15" t="s">
        <v>36</v>
      </c>
      <c r="H2000" s="15" t="s">
        <v>6430</v>
      </c>
      <c r="I2000" s="15" t="s">
        <v>6431</v>
      </c>
      <c r="J2000" s="15" t="s">
        <v>6432</v>
      </c>
      <c r="K2000" s="15" t="s">
        <v>40</v>
      </c>
      <c r="L2000" s="15" t="s">
        <v>41</v>
      </c>
      <c r="M2000" s="15" t="s">
        <v>66</v>
      </c>
      <c r="N2000" s="15" t="s">
        <v>67</v>
      </c>
      <c r="O2000" s="15" t="s">
        <v>44</v>
      </c>
      <c r="P2000" s="15" t="s">
        <v>6433</v>
      </c>
      <c r="Q2000" s="15" t="s">
        <v>6434</v>
      </c>
      <c r="R2000" s="16">
        <v>44329</v>
      </c>
      <c r="S2000" s="17" t="s">
        <v>7866</v>
      </c>
      <c r="T2000" s="20">
        <f>HYPERLINK("https://vnm.spiral.com.vn//uploaded/20210513/0043AFB5-CEF4-40A2-A4D8-9BA3A18923C8.jpg","07:43:33")</f>
      </c>
      <c r="U2000" s="20">
        <f>HYPERLINK("https://vnm.spiral.com.vn//uploaded/20210513/B203D9F4-1C20-4CAE-B89B-20CF1DA90F28.jpg","11:39:33")</f>
      </c>
      <c r="V2000" s="18">
        <v>0.1638888888888889</v>
      </c>
      <c r="W2000" s="15" t="s">
        <v>10826</v>
      </c>
      <c r="X2000" s="15" t="s">
        <v>10827</v>
      </c>
      <c r="Y2000" s="15" t="s">
        <v>35</v>
      </c>
      <c r="Z2000" s="19">
        <v>0</v>
      </c>
      <c r="AA2000" s="15">
        <v>0</v>
      </c>
      <c r="AB2000" s="15" t="s">
        <v>35</v>
      </c>
    </row>
    <row r="2001">
      <c r="A2001" s="15">
        <v>1997</v>
      </c>
      <c r="B2001" s="15" t="s">
        <v>343</v>
      </c>
      <c r="C2001" s="15" t="s">
        <v>7476</v>
      </c>
      <c r="D2001" s="15" t="s">
        <v>35</v>
      </c>
      <c r="E2001" s="15" t="s">
        <v>35</v>
      </c>
      <c r="F2001" s="15" t="s">
        <v>35</v>
      </c>
      <c r="G2001" s="15" t="s">
        <v>36</v>
      </c>
      <c r="H2001" s="15" t="s">
        <v>7611</v>
      </c>
      <c r="I2001" s="15" t="s">
        <v>7612</v>
      </c>
      <c r="J2001" s="15" t="s">
        <v>7613</v>
      </c>
      <c r="K2001" s="15" t="s">
        <v>40</v>
      </c>
      <c r="L2001" s="15" t="s">
        <v>41</v>
      </c>
      <c r="M2001" s="15" t="s">
        <v>409</v>
      </c>
      <c r="N2001" s="15" t="s">
        <v>410</v>
      </c>
      <c r="O2001" s="15" t="s">
        <v>44</v>
      </c>
      <c r="P2001" s="15" t="s">
        <v>7614</v>
      </c>
      <c r="Q2001" s="15" t="s">
        <v>7615</v>
      </c>
      <c r="R2001" s="16">
        <v>44329</v>
      </c>
      <c r="S2001" s="17" t="s">
        <v>7866</v>
      </c>
      <c r="T2001" s="20">
        <f>HYPERLINK("https://vnm.spiral.com.vn//uploaded/20210513/24e96686-ff84-4b39-8711-e86cbbe0f044.JPEG","07:33:01")</f>
      </c>
      <c r="U2001" s="20">
        <f>HYPERLINK("https://vnm.spiral.com.vn//uploaded/20210513/4b8537e1-4a6b-4e38-a7ac-b3aa28941c2a.JPEG","11:39:24")</f>
      </c>
      <c r="V2001" s="18">
        <v>0.17109953703703704</v>
      </c>
      <c r="W2001" s="15" t="s">
        <v>10828</v>
      </c>
      <c r="X2001" s="15" t="s">
        <v>10829</v>
      </c>
      <c r="Y2001" s="15" t="s">
        <v>35</v>
      </c>
      <c r="Z2001" s="19">
        <v>0</v>
      </c>
      <c r="AA2001" s="15">
        <v>0</v>
      </c>
      <c r="AB2001" s="15" t="s">
        <v>35</v>
      </c>
    </row>
    <row r="2002">
      <c r="A2002" s="15">
        <v>1998</v>
      </c>
      <c r="B2002" s="15" t="s">
        <v>103</v>
      </c>
      <c r="C2002" s="15" t="s">
        <v>1078</v>
      </c>
      <c r="D2002" s="15" t="s">
        <v>35</v>
      </c>
      <c r="E2002" s="15" t="s">
        <v>35</v>
      </c>
      <c r="F2002" s="15" t="s">
        <v>35</v>
      </c>
      <c r="G2002" s="15" t="s">
        <v>35</v>
      </c>
      <c r="H2002" s="15" t="s">
        <v>6151</v>
      </c>
      <c r="I2002" s="15" t="s">
        <v>6152</v>
      </c>
      <c r="J2002" s="15" t="s">
        <v>6153</v>
      </c>
      <c r="K2002" s="15" t="s">
        <v>40</v>
      </c>
      <c r="L2002" s="15" t="s">
        <v>41</v>
      </c>
      <c r="M2002" s="15" t="s">
        <v>565</v>
      </c>
      <c r="N2002" s="15" t="s">
        <v>566</v>
      </c>
      <c r="O2002" s="15" t="s">
        <v>44</v>
      </c>
      <c r="P2002" s="15" t="s">
        <v>6154</v>
      </c>
      <c r="Q2002" s="15" t="s">
        <v>6155</v>
      </c>
      <c r="R2002" s="16">
        <v>44329</v>
      </c>
      <c r="S2002" s="17" t="s">
        <v>7866</v>
      </c>
      <c r="T2002" s="20">
        <f>HYPERLINK("https://vnm.spiral.com.vn//uploaded/20210513/778D384C-0521-47CB-B792-91C2508A1107.jpg","08:03:16")</f>
      </c>
      <c r="U2002" s="20">
        <f>HYPERLINK("https://vnm.spiral.com.vn//uploaded/20210513/73BAEACD-4053-4078-97D4-BFCDDEE4D4C5.jpg","11:39:11")</f>
      </c>
      <c r="V2002" s="18">
        <v>0.14994212962962963</v>
      </c>
      <c r="W2002" s="15" t="s">
        <v>10830</v>
      </c>
      <c r="X2002" s="15" t="s">
        <v>10831</v>
      </c>
      <c r="Y2002" s="15" t="s">
        <v>35</v>
      </c>
      <c r="Z2002" s="19">
        <v>0</v>
      </c>
      <c r="AA2002" s="15">
        <v>0</v>
      </c>
      <c r="AB2002" s="15" t="s">
        <v>35</v>
      </c>
    </row>
    <row r="2003">
      <c r="A2003" s="15">
        <v>1999</v>
      </c>
      <c r="B2003" s="15" t="s">
        <v>103</v>
      </c>
      <c r="C2003" s="15" t="s">
        <v>186</v>
      </c>
      <c r="D2003" s="15" t="s">
        <v>35</v>
      </c>
      <c r="E2003" s="15" t="s">
        <v>35</v>
      </c>
      <c r="F2003" s="15" t="s">
        <v>35</v>
      </c>
      <c r="G2003" s="15" t="s">
        <v>36</v>
      </c>
      <c r="H2003" s="15" t="s">
        <v>6401</v>
      </c>
      <c r="I2003" s="15" t="s">
        <v>6402</v>
      </c>
      <c r="J2003" s="15" t="s">
        <v>6403</v>
      </c>
      <c r="K2003" s="15" t="s">
        <v>40</v>
      </c>
      <c r="L2003" s="15" t="s">
        <v>41</v>
      </c>
      <c r="M2003" s="15" t="s">
        <v>565</v>
      </c>
      <c r="N2003" s="15" t="s">
        <v>566</v>
      </c>
      <c r="O2003" s="15" t="s">
        <v>44</v>
      </c>
      <c r="P2003" s="15" t="s">
        <v>6404</v>
      </c>
      <c r="Q2003" s="15" t="s">
        <v>6405</v>
      </c>
      <c r="R2003" s="16">
        <v>44329</v>
      </c>
      <c r="S2003" s="17" t="s">
        <v>7866</v>
      </c>
      <c r="T2003" s="20">
        <f>HYPERLINK("https://vnm.spiral.com.vn//uploaded/20210513/B6BF2077-9E0C-4ECB-A773-B01FD0F33F9F.jpg","07:06:28")</f>
      </c>
      <c r="U2003" s="20">
        <f>HYPERLINK("https://vnm.spiral.com.vn//uploaded/20210513/1D8E36D3-1782-452C-91BA-6C7A453ACA61.jpg","11:39:04")</f>
      </c>
      <c r="V2003" s="18">
        <v>0.18930555555555556</v>
      </c>
      <c r="W2003" s="15" t="s">
        <v>10832</v>
      </c>
      <c r="X2003" s="15" t="s">
        <v>10833</v>
      </c>
      <c r="Y2003" s="15" t="s">
        <v>35</v>
      </c>
      <c r="Z2003" s="19">
        <v>0</v>
      </c>
      <c r="AA2003" s="15">
        <v>0</v>
      </c>
      <c r="AB2003" s="15" t="s">
        <v>35</v>
      </c>
    </row>
    <row r="2004">
      <c r="A2004" s="15">
        <v>2000</v>
      </c>
      <c r="B2004" s="15" t="s">
        <v>33</v>
      </c>
      <c r="C2004" s="15" t="s">
        <v>492</v>
      </c>
      <c r="D2004" s="15" t="s">
        <v>35</v>
      </c>
      <c r="E2004" s="15" t="s">
        <v>35</v>
      </c>
      <c r="F2004" s="15" t="s">
        <v>35</v>
      </c>
      <c r="G2004" s="15" t="s">
        <v>36</v>
      </c>
      <c r="H2004" s="15" t="s">
        <v>7753</v>
      </c>
      <c r="I2004" s="15" t="s">
        <v>7754</v>
      </c>
      <c r="J2004" s="15" t="s">
        <v>7755</v>
      </c>
      <c r="K2004" s="15" t="s">
        <v>40</v>
      </c>
      <c r="L2004" s="15" t="s">
        <v>41</v>
      </c>
      <c r="M2004" s="15" t="s">
        <v>42</v>
      </c>
      <c r="N2004" s="15" t="s">
        <v>43</v>
      </c>
      <c r="O2004" s="15" t="s">
        <v>44</v>
      </c>
      <c r="P2004" s="15" t="s">
        <v>7756</v>
      </c>
      <c r="Q2004" s="15" t="s">
        <v>7757</v>
      </c>
      <c r="R2004" s="16">
        <v>44329</v>
      </c>
      <c r="S2004" s="17" t="s">
        <v>7866</v>
      </c>
      <c r="T2004" s="20">
        <f>HYPERLINK("https://vnm.spiral.com.vn//uploaded/20210513/96D9826D-64E0-440C-8502-AEDE0D59FFED.jpg","07:33:01")</f>
      </c>
      <c r="U2004" s="20">
        <f>HYPERLINK("https://vnm.spiral.com.vn//uploaded/20210513/C1C70EBD-150B-4184-88E1-F40C2D60D746.jpg","11:38:55")</f>
      </c>
      <c r="V2004" s="18">
        <v>0.17076388888888888</v>
      </c>
      <c r="W2004" s="15" t="s">
        <v>10834</v>
      </c>
      <c r="X2004" s="15" t="s">
        <v>10835</v>
      </c>
      <c r="Y2004" s="15" t="s">
        <v>35</v>
      </c>
      <c r="Z2004" s="19">
        <v>0</v>
      </c>
      <c r="AA2004" s="15">
        <v>0</v>
      </c>
      <c r="AB2004" s="15" t="s">
        <v>35</v>
      </c>
    </row>
    <row r="2005">
      <c r="A2005" s="15">
        <v>2001</v>
      </c>
      <c r="B2005" s="15" t="s">
        <v>87</v>
      </c>
      <c r="C2005" s="15" t="s">
        <v>88</v>
      </c>
      <c r="D2005" s="15" t="s">
        <v>35</v>
      </c>
      <c r="E2005" s="15" t="s">
        <v>35</v>
      </c>
      <c r="F2005" s="15" t="s">
        <v>1191</v>
      </c>
      <c r="G2005" s="15" t="s">
        <v>36</v>
      </c>
      <c r="H2005" s="15" t="s">
        <v>6388</v>
      </c>
      <c r="I2005" s="15" t="s">
        <v>6389</v>
      </c>
      <c r="J2005" s="15" t="s">
        <v>6390</v>
      </c>
      <c r="K2005" s="15" t="s">
        <v>40</v>
      </c>
      <c r="L2005" s="15" t="s">
        <v>41</v>
      </c>
      <c r="M2005" s="15" t="s">
        <v>1195</v>
      </c>
      <c r="N2005" s="15" t="s">
        <v>1196</v>
      </c>
      <c r="O2005" s="15" t="s">
        <v>44</v>
      </c>
      <c r="P2005" s="15" t="s">
        <v>6391</v>
      </c>
      <c r="Q2005" s="15" t="s">
        <v>6392</v>
      </c>
      <c r="R2005" s="16">
        <v>44329</v>
      </c>
      <c r="S2005" s="17" t="s">
        <v>317</v>
      </c>
      <c r="T2005" s="20">
        <f>HYPERLINK("https://vnm.spiral.com.vn//uploaded/20210513/c6f42e9a-5fb3-447b-853a-8a96df2afda1.JPEG","07:36:32")</f>
      </c>
      <c r="U2005" s="20">
        <f>HYPERLINK("https://vnm.spiral.com.vn//uploaded/20210513/512e8a92-4b2f-48b8-91f6-e08dc9c4b3cd.JPEG","11:38:40")</f>
      </c>
      <c r="V2005" s="18">
        <v>0.16814814814814816</v>
      </c>
      <c r="W2005" s="15" t="s">
        <v>10836</v>
      </c>
      <c r="X2005" s="15" t="s">
        <v>10837</v>
      </c>
      <c r="Y2005" s="15" t="s">
        <v>35</v>
      </c>
      <c r="Z2005" s="19">
        <v>0</v>
      </c>
      <c r="AA2005" s="15">
        <v>0</v>
      </c>
      <c r="AB2005" s="15" t="s">
        <v>35</v>
      </c>
    </row>
    <row r="2006">
      <c r="A2006" s="15">
        <v>2002</v>
      </c>
      <c r="B2006" s="15" t="s">
        <v>246</v>
      </c>
      <c r="C2006" s="15" t="s">
        <v>259</v>
      </c>
      <c r="D2006" s="15" t="s">
        <v>304</v>
      </c>
      <c r="E2006" s="15" t="s">
        <v>305</v>
      </c>
      <c r="F2006" s="15" t="s">
        <v>35</v>
      </c>
      <c r="G2006" s="15" t="s">
        <v>74</v>
      </c>
      <c r="H2006" s="15" t="s">
        <v>10838</v>
      </c>
      <c r="I2006" s="15" t="s">
        <v>10839</v>
      </c>
      <c r="J2006" s="15" t="s">
        <v>10840</v>
      </c>
      <c r="K2006" s="15" t="s">
        <v>166</v>
      </c>
      <c r="L2006" s="15" t="s">
        <v>167</v>
      </c>
      <c r="M2006" s="15" t="s">
        <v>263</v>
      </c>
      <c r="N2006" s="15" t="s">
        <v>264</v>
      </c>
      <c r="O2006" s="15" t="s">
        <v>98</v>
      </c>
      <c r="P2006" s="15" t="s">
        <v>339</v>
      </c>
      <c r="Q2006" s="15" t="s">
        <v>340</v>
      </c>
      <c r="R2006" s="16">
        <v>44329</v>
      </c>
      <c r="S2006" s="17" t="s">
        <v>35</v>
      </c>
      <c r="T2006" s="20">
        <f>HYPERLINK("https://vnm.spiral.com.vn//uploaded/20210513/55ae173a-3a74-4f57-85e5-5961bbaacabf.JPEG","07:42:22")</f>
      </c>
      <c r="U2006" s="20">
        <f>HYPERLINK("https://vnm.spiral.com.vn//uploaded/20210513/75d7ac6d-65cb-48d5-99b0-598083b934ea.JPEG","11:38:40")</f>
      </c>
      <c r="V2006" s="18">
        <v>0.16409722222222223</v>
      </c>
      <c r="W2006" s="15" t="s">
        <v>10841</v>
      </c>
      <c r="X2006" s="15" t="s">
        <v>10842</v>
      </c>
      <c r="Y2006" s="15" t="s">
        <v>35</v>
      </c>
      <c r="Z2006" s="19">
        <v>0</v>
      </c>
      <c r="AA2006" s="15">
        <v>0</v>
      </c>
      <c r="AB2006" s="15" t="s">
        <v>35</v>
      </c>
    </row>
    <row r="2007">
      <c r="A2007" s="15">
        <v>2003</v>
      </c>
      <c r="B2007" s="15" t="s">
        <v>246</v>
      </c>
      <c r="C2007" s="15" t="s">
        <v>259</v>
      </c>
      <c r="D2007" s="15" t="s">
        <v>89</v>
      </c>
      <c r="E2007" s="15" t="s">
        <v>90</v>
      </c>
      <c r="F2007" s="15" t="s">
        <v>35</v>
      </c>
      <c r="G2007" s="15" t="s">
        <v>74</v>
      </c>
      <c r="H2007" s="15" t="s">
        <v>336</v>
      </c>
      <c r="I2007" s="15" t="s">
        <v>337</v>
      </c>
      <c r="J2007" s="15" t="s">
        <v>338</v>
      </c>
      <c r="K2007" s="15" t="s">
        <v>263</v>
      </c>
      <c r="L2007" s="15" t="s">
        <v>264</v>
      </c>
      <c r="M2007" s="15" t="s">
        <v>339</v>
      </c>
      <c r="N2007" s="15" t="s">
        <v>340</v>
      </c>
      <c r="O2007" s="15" t="s">
        <v>156</v>
      </c>
      <c r="P2007" s="15" t="s">
        <v>341</v>
      </c>
      <c r="Q2007" s="15" t="s">
        <v>283</v>
      </c>
      <c r="R2007" s="16">
        <v>44329</v>
      </c>
      <c r="S2007" s="17" t="s">
        <v>7866</v>
      </c>
      <c r="T2007" s="20">
        <f>HYPERLINK("https://vnm.spiral.com.vn//uploaded/20210513/1BEFF5A0-0B77-4584-9B9C-B36C37C18C0F.jpg","07:24:25")</f>
      </c>
      <c r="U2007" s="20">
        <f>HYPERLINK("https://vnm.spiral.com.vn//uploaded/20210513/1F11BC45-EDD7-427A-8133-3AC75D8277A4.jpg","11:38:38")</f>
      </c>
      <c r="V2007" s="18">
        <v>0.17653935185185185</v>
      </c>
      <c r="W2007" s="15" t="s">
        <v>10843</v>
      </c>
      <c r="X2007" s="15" t="s">
        <v>10844</v>
      </c>
      <c r="Y2007" s="15" t="s">
        <v>35</v>
      </c>
      <c r="Z2007" s="19">
        <v>0</v>
      </c>
      <c r="AA2007" s="15">
        <v>0</v>
      </c>
      <c r="AB2007" s="15" t="s">
        <v>35</v>
      </c>
    </row>
    <row r="2008">
      <c r="A2008" s="15">
        <v>2004</v>
      </c>
      <c r="B2008" s="15" t="s">
        <v>343</v>
      </c>
      <c r="C2008" s="15" t="s">
        <v>2069</v>
      </c>
      <c r="D2008" s="15" t="s">
        <v>35</v>
      </c>
      <c r="E2008" s="15" t="s">
        <v>35</v>
      </c>
      <c r="F2008" s="15" t="s">
        <v>35</v>
      </c>
      <c r="G2008" s="15" t="s">
        <v>36</v>
      </c>
      <c r="H2008" s="15" t="s">
        <v>8038</v>
      </c>
      <c r="I2008" s="15" t="s">
        <v>8039</v>
      </c>
      <c r="J2008" s="15" t="s">
        <v>8040</v>
      </c>
      <c r="K2008" s="15" t="s">
        <v>40</v>
      </c>
      <c r="L2008" s="15" t="s">
        <v>41</v>
      </c>
      <c r="M2008" s="15" t="s">
        <v>595</v>
      </c>
      <c r="N2008" s="15" t="s">
        <v>596</v>
      </c>
      <c r="O2008" s="15" t="s">
        <v>44</v>
      </c>
      <c r="P2008" s="15" t="s">
        <v>8041</v>
      </c>
      <c r="Q2008" s="15" t="s">
        <v>8042</v>
      </c>
      <c r="R2008" s="16">
        <v>44329</v>
      </c>
      <c r="S2008" s="17" t="s">
        <v>7866</v>
      </c>
      <c r="T2008" s="20">
        <f>HYPERLINK("https://vnm.spiral.com.vn//uploaded/20210513/BD0EAD4D-FFED-4BF8-9724-0ACAE3AC6561.jpg","07:02:52")</f>
      </c>
      <c r="U2008" s="20">
        <f>HYPERLINK("https://vnm.spiral.com.vn//uploaded/20210513/220AB9AC-ADA8-40D1-910B-77C83BE4F9CF.jpg","11:38:37")</f>
      </c>
      <c r="V2008" s="18">
        <v>0.19149305555555557</v>
      </c>
      <c r="W2008" s="15" t="s">
        <v>10845</v>
      </c>
      <c r="X2008" s="15" t="s">
        <v>10846</v>
      </c>
      <c r="Y2008" s="15" t="s">
        <v>35</v>
      </c>
      <c r="Z2008" s="19">
        <v>0</v>
      </c>
      <c r="AA2008" s="15">
        <v>0</v>
      </c>
      <c r="AB2008" s="15" t="s">
        <v>35</v>
      </c>
    </row>
    <row r="2009">
      <c r="A2009" s="15">
        <v>2005</v>
      </c>
      <c r="B2009" s="15" t="s">
        <v>33</v>
      </c>
      <c r="C2009" s="15" t="s">
        <v>34</v>
      </c>
      <c r="D2009" s="15" t="s">
        <v>35</v>
      </c>
      <c r="E2009" s="15" t="s">
        <v>35</v>
      </c>
      <c r="F2009" s="15" t="s">
        <v>35</v>
      </c>
      <c r="G2009" s="15" t="s">
        <v>36</v>
      </c>
      <c r="H2009" s="15" t="s">
        <v>7764</v>
      </c>
      <c r="I2009" s="15" t="s">
        <v>7765</v>
      </c>
      <c r="J2009" s="15" t="s">
        <v>7766</v>
      </c>
      <c r="K2009" s="15" t="s">
        <v>40</v>
      </c>
      <c r="L2009" s="15" t="s">
        <v>41</v>
      </c>
      <c r="M2009" s="15" t="s">
        <v>42</v>
      </c>
      <c r="N2009" s="15" t="s">
        <v>43</v>
      </c>
      <c r="O2009" s="15" t="s">
        <v>44</v>
      </c>
      <c r="P2009" s="15" t="s">
        <v>7767</v>
      </c>
      <c r="Q2009" s="15" t="s">
        <v>3498</v>
      </c>
      <c r="R2009" s="16">
        <v>44329</v>
      </c>
      <c r="S2009" s="17" t="s">
        <v>7866</v>
      </c>
      <c r="T2009" s="20">
        <f>HYPERLINK("https://vnm.spiral.com.vn//uploaded/20210513/48fce15c-0db2-4f02-8997-6f97602a428b.JPEG","07:26:35")</f>
      </c>
      <c r="U2009" s="20">
        <f>HYPERLINK("https://vnm.spiral.com.vn//uploaded/20210513/ed5e9913-4ad4-45f0-99fc-ed12cc451918.JPEG","11:38:23")</f>
      </c>
      <c r="V2009" s="18">
        <v>0.1748611111111111</v>
      </c>
      <c r="W2009" s="15" t="s">
        <v>10847</v>
      </c>
      <c r="X2009" s="15" t="s">
        <v>10848</v>
      </c>
      <c r="Y2009" s="15" t="s">
        <v>35</v>
      </c>
      <c r="Z2009" s="19">
        <v>0</v>
      </c>
      <c r="AA2009" s="15">
        <v>0</v>
      </c>
      <c r="AB2009" s="15" t="s">
        <v>35</v>
      </c>
    </row>
    <row r="2010">
      <c r="A2010" s="15">
        <v>2006</v>
      </c>
      <c r="B2010" s="15" t="s">
        <v>343</v>
      </c>
      <c r="C2010" s="15" t="s">
        <v>3117</v>
      </c>
      <c r="D2010" s="15" t="s">
        <v>35</v>
      </c>
      <c r="E2010" s="15" t="s">
        <v>35</v>
      </c>
      <c r="F2010" s="15" t="s">
        <v>35</v>
      </c>
      <c r="G2010" s="15" t="s">
        <v>36</v>
      </c>
      <c r="H2010" s="15" t="s">
        <v>8325</v>
      </c>
      <c r="I2010" s="15" t="s">
        <v>8326</v>
      </c>
      <c r="J2010" s="15" t="s">
        <v>8327</v>
      </c>
      <c r="K2010" s="15" t="s">
        <v>40</v>
      </c>
      <c r="L2010" s="15" t="s">
        <v>41</v>
      </c>
      <c r="M2010" s="15" t="s">
        <v>595</v>
      </c>
      <c r="N2010" s="15" t="s">
        <v>596</v>
      </c>
      <c r="O2010" s="15" t="s">
        <v>44</v>
      </c>
      <c r="P2010" s="15" t="s">
        <v>8328</v>
      </c>
      <c r="Q2010" s="15" t="s">
        <v>8329</v>
      </c>
      <c r="R2010" s="16">
        <v>44329</v>
      </c>
      <c r="S2010" s="17" t="s">
        <v>7866</v>
      </c>
      <c r="T2010" s="20">
        <f>HYPERLINK("https://vnm.spiral.com.vn//uploaded/20210513/646c51f7-5e83-4ae6-a922-d78726def4e3.JPEG","07:31:57")</f>
      </c>
      <c r="U2010" s="20">
        <f>HYPERLINK("https://vnm.spiral.com.vn//uploaded/20210513/aa802b18-068b-4408-b527-385b41e266af.JPEG","11:38:22")</f>
      </c>
      <c r="V2010" s="18">
        <v>0.1711226851851852</v>
      </c>
      <c r="W2010" s="15" t="s">
        <v>10849</v>
      </c>
      <c r="X2010" s="15" t="s">
        <v>10850</v>
      </c>
      <c r="Y2010" s="15" t="s">
        <v>35</v>
      </c>
      <c r="Z2010" s="19">
        <v>0</v>
      </c>
      <c r="AA2010" s="15">
        <v>0</v>
      </c>
      <c r="AB2010" s="15" t="s">
        <v>35</v>
      </c>
    </row>
    <row r="2011">
      <c r="A2011" s="15">
        <v>2007</v>
      </c>
      <c r="B2011" s="15" t="s">
        <v>246</v>
      </c>
      <c r="C2011" s="15" t="s">
        <v>864</v>
      </c>
      <c r="D2011" s="15" t="s">
        <v>89</v>
      </c>
      <c r="E2011" s="15" t="s">
        <v>90</v>
      </c>
      <c r="F2011" s="15" t="s">
        <v>35</v>
      </c>
      <c r="G2011" s="15" t="s">
        <v>74</v>
      </c>
      <c r="H2011" s="15" t="s">
        <v>10851</v>
      </c>
      <c r="I2011" s="15" t="s">
        <v>10852</v>
      </c>
      <c r="J2011" s="15" t="s">
        <v>10853</v>
      </c>
      <c r="K2011" s="15" t="s">
        <v>166</v>
      </c>
      <c r="L2011" s="15" t="s">
        <v>167</v>
      </c>
      <c r="M2011" s="15" t="s">
        <v>263</v>
      </c>
      <c r="N2011" s="15" t="s">
        <v>264</v>
      </c>
      <c r="O2011" s="15" t="s">
        <v>98</v>
      </c>
      <c r="P2011" s="15" t="s">
        <v>868</v>
      </c>
      <c r="Q2011" s="15" t="s">
        <v>869</v>
      </c>
      <c r="R2011" s="16">
        <v>44329</v>
      </c>
      <c r="S2011" s="17" t="s">
        <v>70</v>
      </c>
      <c r="T2011" s="20">
        <f>HYPERLINK("https://vnm.spiral.com.vn//uploaded/20210513/73ae2f7a-4a4f-4f27-ba23-bc72a01fddc6.JPEG","08:05:26")</f>
      </c>
      <c r="U2011" s="20">
        <f>HYPERLINK("https://vnm.spiral.com.vn//uploaded/20210513/ecab5acb-588a-43b4-b1e7-cc6b0190692b.JPEG","11:38:20")</f>
      </c>
      <c r="V2011" s="18">
        <v>0.1478472222222222</v>
      </c>
      <c r="W2011" s="15" t="s">
        <v>10854</v>
      </c>
      <c r="X2011" s="15" t="s">
        <v>10855</v>
      </c>
      <c r="Y2011" s="15" t="s">
        <v>35</v>
      </c>
      <c r="Z2011" s="19">
        <v>0</v>
      </c>
      <c r="AA2011" s="15">
        <v>0</v>
      </c>
      <c r="AB2011" s="15" t="s">
        <v>35</v>
      </c>
    </row>
    <row r="2012">
      <c r="A2012" s="15">
        <v>2008</v>
      </c>
      <c r="B2012" s="15" t="s">
        <v>246</v>
      </c>
      <c r="C2012" s="15" t="s">
        <v>2845</v>
      </c>
      <c r="D2012" s="15" t="s">
        <v>89</v>
      </c>
      <c r="E2012" s="15" t="s">
        <v>90</v>
      </c>
      <c r="F2012" s="15" t="s">
        <v>35</v>
      </c>
      <c r="G2012" s="15" t="s">
        <v>74</v>
      </c>
      <c r="H2012" s="15" t="s">
        <v>2846</v>
      </c>
      <c r="I2012" s="15" t="s">
        <v>2847</v>
      </c>
      <c r="J2012" s="15" t="s">
        <v>2848</v>
      </c>
      <c r="K2012" s="15" t="s">
        <v>263</v>
      </c>
      <c r="L2012" s="15" t="s">
        <v>264</v>
      </c>
      <c r="M2012" s="15" t="s">
        <v>2009</v>
      </c>
      <c r="N2012" s="15" t="s">
        <v>2010</v>
      </c>
      <c r="O2012" s="15" t="s">
        <v>156</v>
      </c>
      <c r="P2012" s="15" t="s">
        <v>8929</v>
      </c>
      <c r="Q2012" s="15" t="s">
        <v>8930</v>
      </c>
      <c r="R2012" s="16">
        <v>44329</v>
      </c>
      <c r="S2012" s="17" t="s">
        <v>7866</v>
      </c>
      <c r="T2012" s="20">
        <f>HYPERLINK("https://vnm.spiral.com.vn//uploaded/20210513/54537820-9E96-49BB-A905-F5D48B89B8AD.jpg","07:21:54")</f>
      </c>
      <c r="U2012" s="20">
        <f>HYPERLINK("https://vnm.spiral.com.vn//uploaded/20210513/F74148E1-9C73-49CE-8A34-6D33C18C198F.jpg","11:37:37")</f>
      </c>
      <c r="V2012" s="18">
        <v>0.1775810185185185</v>
      </c>
      <c r="W2012" s="15" t="s">
        <v>10856</v>
      </c>
      <c r="X2012" s="15" t="s">
        <v>10857</v>
      </c>
      <c r="Y2012" s="15" t="s">
        <v>35</v>
      </c>
      <c r="Z2012" s="19">
        <v>0</v>
      </c>
      <c r="AA2012" s="15">
        <v>0</v>
      </c>
      <c r="AB2012" s="15" t="s">
        <v>35</v>
      </c>
    </row>
    <row r="2013">
      <c r="A2013" s="15">
        <v>2009</v>
      </c>
      <c r="B2013" s="15" t="s">
        <v>103</v>
      </c>
      <c r="C2013" s="15" t="s">
        <v>104</v>
      </c>
      <c r="D2013" s="15" t="s">
        <v>35</v>
      </c>
      <c r="E2013" s="15" t="s">
        <v>35</v>
      </c>
      <c r="F2013" s="15" t="s">
        <v>4157</v>
      </c>
      <c r="G2013" s="15" t="s">
        <v>36</v>
      </c>
      <c r="H2013" s="15" t="s">
        <v>4158</v>
      </c>
      <c r="I2013" s="15" t="s">
        <v>4159</v>
      </c>
      <c r="J2013" s="15" t="s">
        <v>4160</v>
      </c>
      <c r="K2013" s="15" t="s">
        <v>40</v>
      </c>
      <c r="L2013" s="15" t="s">
        <v>41</v>
      </c>
      <c r="M2013" s="15" t="s">
        <v>108</v>
      </c>
      <c r="N2013" s="15" t="s">
        <v>109</v>
      </c>
      <c r="O2013" s="15" t="s">
        <v>44</v>
      </c>
      <c r="P2013" s="15" t="s">
        <v>4161</v>
      </c>
      <c r="Q2013" s="15" t="s">
        <v>4162</v>
      </c>
      <c r="R2013" s="16">
        <v>44329</v>
      </c>
      <c r="S2013" s="17" t="s">
        <v>7866</v>
      </c>
      <c r="T2013" s="20">
        <f>HYPERLINK("https://vnm.spiral.com.vn//uploaded/20210513/6f0cdb94-ee01-4f8e-acf9-12e9894626de.JPEG","07:39:40")</f>
      </c>
      <c r="U2013" s="20">
        <f>HYPERLINK("https://vnm.spiral.com.vn//uploaded/20210513/102cd7a6-90c3-495a-b861-1bf2e9d5e26f.JPEG","11:37:29")</f>
      </c>
      <c r="V2013" s="18">
        <v>0.16515046296296296</v>
      </c>
      <c r="W2013" s="15" t="s">
        <v>10858</v>
      </c>
      <c r="X2013" s="15" t="s">
        <v>10859</v>
      </c>
      <c r="Y2013" s="15" t="s">
        <v>35</v>
      </c>
      <c r="Z2013" s="19">
        <v>0</v>
      </c>
      <c r="AA2013" s="15">
        <v>0</v>
      </c>
      <c r="AB2013" s="15" t="s">
        <v>35</v>
      </c>
    </row>
    <row r="2014">
      <c r="A2014" s="15">
        <v>2010</v>
      </c>
      <c r="B2014" s="15" t="s">
        <v>87</v>
      </c>
      <c r="C2014" s="15" t="s">
        <v>88</v>
      </c>
      <c r="D2014" s="15" t="s">
        <v>35</v>
      </c>
      <c r="E2014" s="15" t="s">
        <v>35</v>
      </c>
      <c r="F2014" s="15" t="s">
        <v>35</v>
      </c>
      <c r="G2014" s="15" t="s">
        <v>74</v>
      </c>
      <c r="H2014" s="15" t="s">
        <v>10860</v>
      </c>
      <c r="I2014" s="15" t="s">
        <v>10861</v>
      </c>
      <c r="J2014" s="15" t="s">
        <v>10862</v>
      </c>
      <c r="K2014" s="15" t="s">
        <v>190</v>
      </c>
      <c r="L2014" s="15" t="s">
        <v>191</v>
      </c>
      <c r="M2014" s="15" t="s">
        <v>888</v>
      </c>
      <c r="N2014" s="15" t="s">
        <v>889</v>
      </c>
      <c r="O2014" s="15" t="s">
        <v>98</v>
      </c>
      <c r="P2014" s="15" t="s">
        <v>890</v>
      </c>
      <c r="Q2014" s="15" t="s">
        <v>891</v>
      </c>
      <c r="R2014" s="16">
        <v>44329</v>
      </c>
      <c r="S2014" s="17" t="s">
        <v>35</v>
      </c>
      <c r="T2014" s="20">
        <f>HYPERLINK("https://vnm.spiral.com.vn//uploaded/20210513/1C93A7F7-0F0D-485A-93B9-B50842716A57.jpg","11:19:54")</f>
      </c>
      <c r="U2014" s="20">
        <f>HYPERLINK("https://vnm.spiral.com.vn//uploaded/20210513/601681FC-3229-46DE-9D04-10F6D950CE67.jpg","11:37:23")</f>
      </c>
      <c r="V2014" s="18">
        <v>0.012141203703703704</v>
      </c>
      <c r="W2014" s="15" t="s">
        <v>10863</v>
      </c>
      <c r="X2014" s="15" t="s">
        <v>10864</v>
      </c>
      <c r="Y2014" s="15" t="s">
        <v>35</v>
      </c>
      <c r="Z2014" s="19">
        <v>0</v>
      </c>
      <c r="AA2014" s="15">
        <v>0</v>
      </c>
      <c r="AB2014" s="15" t="s">
        <v>35</v>
      </c>
    </row>
    <row r="2015">
      <c r="A2015" s="15">
        <v>2011</v>
      </c>
      <c r="B2015" s="15" t="s">
        <v>33</v>
      </c>
      <c r="C2015" s="15" t="s">
        <v>951</v>
      </c>
      <c r="D2015" s="15" t="s">
        <v>35</v>
      </c>
      <c r="E2015" s="15" t="s">
        <v>35</v>
      </c>
      <c r="F2015" s="15" t="s">
        <v>35</v>
      </c>
      <c r="G2015" s="15" t="s">
        <v>36</v>
      </c>
      <c r="H2015" s="15" t="s">
        <v>7707</v>
      </c>
      <c r="I2015" s="15" t="s">
        <v>7708</v>
      </c>
      <c r="J2015" s="15" t="s">
        <v>7709</v>
      </c>
      <c r="K2015" s="15" t="s">
        <v>40</v>
      </c>
      <c r="L2015" s="15" t="s">
        <v>41</v>
      </c>
      <c r="M2015" s="15" t="s">
        <v>42</v>
      </c>
      <c r="N2015" s="15" t="s">
        <v>43</v>
      </c>
      <c r="O2015" s="15" t="s">
        <v>44</v>
      </c>
      <c r="P2015" s="15" t="s">
        <v>7710</v>
      </c>
      <c r="Q2015" s="15" t="s">
        <v>7711</v>
      </c>
      <c r="R2015" s="16">
        <v>44329</v>
      </c>
      <c r="S2015" s="17" t="s">
        <v>7866</v>
      </c>
      <c r="T2015" s="20">
        <f>HYPERLINK("https://vnm.spiral.com.vn//uploaded/20210513/0f7d633c-ecb3-4c94-be24-6529d1a82087.JPEG","07:26:38")</f>
      </c>
      <c r="U2015" s="20">
        <f>HYPERLINK("https://vnm.spiral.com.vn//uploaded/20210513/74e6d23f-1c80-4b43-9d0a-153a5ad0693f.JPEG","11:37:18")</f>
      </c>
      <c r="V2015" s="18">
        <v>0.17407407407407408</v>
      </c>
      <c r="W2015" s="15" t="s">
        <v>10865</v>
      </c>
      <c r="X2015" s="15" t="s">
        <v>10866</v>
      </c>
      <c r="Y2015" s="15" t="s">
        <v>35</v>
      </c>
      <c r="Z2015" s="19">
        <v>0</v>
      </c>
      <c r="AA2015" s="15">
        <v>0</v>
      </c>
      <c r="AB2015" s="15" t="s">
        <v>35</v>
      </c>
    </row>
    <row r="2016">
      <c r="A2016" s="15">
        <v>2012</v>
      </c>
      <c r="B2016" s="15" t="s">
        <v>87</v>
      </c>
      <c r="C2016" s="15" t="s">
        <v>88</v>
      </c>
      <c r="D2016" s="15" t="s">
        <v>357</v>
      </c>
      <c r="E2016" s="15" t="s">
        <v>90</v>
      </c>
      <c r="F2016" s="15" t="s">
        <v>35</v>
      </c>
      <c r="G2016" s="15" t="s">
        <v>74</v>
      </c>
      <c r="H2016" s="15" t="s">
        <v>10867</v>
      </c>
      <c r="I2016" s="15" t="s">
        <v>10868</v>
      </c>
      <c r="J2016" s="15" t="s">
        <v>10869</v>
      </c>
      <c r="K2016" s="15" t="s">
        <v>1570</v>
      </c>
      <c r="L2016" s="15" t="s">
        <v>1571</v>
      </c>
      <c r="M2016" s="15" t="s">
        <v>1572</v>
      </c>
      <c r="N2016" s="15" t="s">
        <v>1573</v>
      </c>
      <c r="O2016" s="15" t="s">
        <v>82</v>
      </c>
      <c r="P2016" s="15" t="s">
        <v>1579</v>
      </c>
      <c r="Q2016" s="15" t="s">
        <v>1580</v>
      </c>
      <c r="R2016" s="16">
        <v>44329</v>
      </c>
      <c r="S2016" s="17" t="s">
        <v>70</v>
      </c>
      <c r="T2016" s="20">
        <f>HYPERLINK("https://vnm.spiral.com.vn//uploaded/20210513/D26F518D-3880-4850-8737-D8DEB0D77041.jpg","10:49:11")</f>
      </c>
      <c r="U2016" s="20">
        <f>HYPERLINK("https://vnm.spiral.com.vn//uploaded/20210513/A991BA77-AC93-4C18-B3CD-A204EF1B6004.jpg","11:37:15")</f>
      </c>
      <c r="V2016" s="18">
        <v>0.03337962962962963</v>
      </c>
      <c r="W2016" s="15" t="s">
        <v>10870</v>
      </c>
      <c r="X2016" s="15" t="s">
        <v>10871</v>
      </c>
      <c r="Y2016" s="15" t="s">
        <v>35</v>
      </c>
      <c r="Z2016" s="19">
        <v>0</v>
      </c>
      <c r="AA2016" s="15">
        <v>0</v>
      </c>
      <c r="AB2016" s="15" t="s">
        <v>35</v>
      </c>
    </row>
    <row r="2017">
      <c r="A2017" s="15">
        <v>2013</v>
      </c>
      <c r="B2017" s="15" t="s">
        <v>87</v>
      </c>
      <c r="C2017" s="15" t="s">
        <v>88</v>
      </c>
      <c r="D2017" s="15" t="s">
        <v>35</v>
      </c>
      <c r="E2017" s="15" t="s">
        <v>35</v>
      </c>
      <c r="F2017" s="15" t="s">
        <v>35</v>
      </c>
      <c r="G2017" s="15" t="s">
        <v>74</v>
      </c>
      <c r="H2017" s="15" t="s">
        <v>10872</v>
      </c>
      <c r="I2017" s="15" t="s">
        <v>10873</v>
      </c>
      <c r="J2017" s="15" t="s">
        <v>10874</v>
      </c>
      <c r="K2017" s="15" t="s">
        <v>888</v>
      </c>
      <c r="L2017" s="15" t="s">
        <v>889</v>
      </c>
      <c r="M2017" s="15" t="s">
        <v>924</v>
      </c>
      <c r="N2017" s="15" t="s">
        <v>925</v>
      </c>
      <c r="O2017" s="15" t="s">
        <v>82</v>
      </c>
      <c r="P2017" s="15" t="s">
        <v>1987</v>
      </c>
      <c r="Q2017" s="15" t="s">
        <v>1988</v>
      </c>
      <c r="R2017" s="16">
        <v>44329</v>
      </c>
      <c r="S2017" s="17" t="s">
        <v>70</v>
      </c>
      <c r="T2017" s="20">
        <f>HYPERLINK("https://vnm.spiral.com.vn//uploaded/20210513/c01ec7e8-57a7-4205-b66d-a5d69c00441a.JPEG","11:19:03")</f>
      </c>
      <c r="U2017" s="20">
        <f>HYPERLINK("https://vnm.spiral.com.vn//uploaded/20210513/7b5ee9bd-6d3c-4ce9-a6d3-23561866406a.JPEG","11:37:06")</f>
      </c>
      <c r="V2017" s="18">
        <v>0.012534722222222221</v>
      </c>
      <c r="W2017" s="15" t="s">
        <v>10875</v>
      </c>
      <c r="X2017" s="15" t="s">
        <v>10876</v>
      </c>
      <c r="Y2017" s="15" t="s">
        <v>35</v>
      </c>
      <c r="Z2017" s="19">
        <v>0</v>
      </c>
      <c r="AA2017" s="15">
        <v>0</v>
      </c>
      <c r="AB2017" s="15" t="s">
        <v>35</v>
      </c>
    </row>
    <row r="2018">
      <c r="A2018" s="15">
        <v>2014</v>
      </c>
      <c r="B2018" s="15" t="s">
        <v>49</v>
      </c>
      <c r="C2018" s="15" t="s">
        <v>1389</v>
      </c>
      <c r="D2018" s="15" t="s">
        <v>35</v>
      </c>
      <c r="E2018" s="15" t="s">
        <v>35</v>
      </c>
      <c r="F2018" s="15" t="s">
        <v>4452</v>
      </c>
      <c r="G2018" s="15" t="s">
        <v>36</v>
      </c>
      <c r="H2018" s="15" t="s">
        <v>8703</v>
      </c>
      <c r="I2018" s="15" t="s">
        <v>8704</v>
      </c>
      <c r="J2018" s="15" t="s">
        <v>8705</v>
      </c>
      <c r="K2018" s="15" t="s">
        <v>40</v>
      </c>
      <c r="L2018" s="15" t="s">
        <v>41</v>
      </c>
      <c r="M2018" s="15" t="s">
        <v>55</v>
      </c>
      <c r="N2018" s="15" t="s">
        <v>56</v>
      </c>
      <c r="O2018" s="15" t="s">
        <v>44</v>
      </c>
      <c r="P2018" s="15" t="s">
        <v>8706</v>
      </c>
      <c r="Q2018" s="15" t="s">
        <v>8707</v>
      </c>
      <c r="R2018" s="16">
        <v>44329</v>
      </c>
      <c r="S2018" s="17" t="s">
        <v>7866</v>
      </c>
      <c r="T2018" s="20">
        <f>HYPERLINK("https://vnm.spiral.com.vn//uploaded/20210513/69c64515-0d44-40be-a67d-5217cdc240a5.JPEG","07:16:59")</f>
      </c>
      <c r="U2018" s="20">
        <f>HYPERLINK("https://vnm.spiral.com.vn//uploaded/20210513/ad0035b5-7db8-4553-8d22-b97d7b1aabb6.JPEG","11:36:58")</f>
      </c>
      <c r="V2018" s="18">
        <v>0.18054398148148149</v>
      </c>
      <c r="W2018" s="15" t="s">
        <v>10877</v>
      </c>
      <c r="X2018" s="15" t="s">
        <v>10878</v>
      </c>
      <c r="Y2018" s="15" t="s">
        <v>35</v>
      </c>
      <c r="Z2018" s="19">
        <v>0</v>
      </c>
      <c r="AA2018" s="15">
        <v>0</v>
      </c>
      <c r="AB2018" s="15" t="s">
        <v>35</v>
      </c>
    </row>
    <row r="2019">
      <c r="A2019" s="15">
        <v>2015</v>
      </c>
      <c r="B2019" s="15" t="s">
        <v>343</v>
      </c>
      <c r="C2019" s="15" t="s">
        <v>2069</v>
      </c>
      <c r="D2019" s="15" t="s">
        <v>35</v>
      </c>
      <c r="E2019" s="15" t="s">
        <v>35</v>
      </c>
      <c r="F2019" s="15" t="s">
        <v>35</v>
      </c>
      <c r="G2019" s="15" t="s">
        <v>36</v>
      </c>
      <c r="H2019" s="15" t="s">
        <v>6717</v>
      </c>
      <c r="I2019" s="15" t="s">
        <v>6718</v>
      </c>
      <c r="J2019" s="15" t="s">
        <v>6719</v>
      </c>
      <c r="K2019" s="15" t="s">
        <v>40</v>
      </c>
      <c r="L2019" s="15" t="s">
        <v>41</v>
      </c>
      <c r="M2019" s="15" t="s">
        <v>595</v>
      </c>
      <c r="N2019" s="15" t="s">
        <v>596</v>
      </c>
      <c r="O2019" s="15" t="s">
        <v>44</v>
      </c>
      <c r="P2019" s="15" t="s">
        <v>6720</v>
      </c>
      <c r="Q2019" s="15" t="s">
        <v>6721</v>
      </c>
      <c r="R2019" s="16">
        <v>44329</v>
      </c>
      <c r="S2019" s="17" t="s">
        <v>7866</v>
      </c>
      <c r="T2019" s="20">
        <f>HYPERLINK("https://vnm.spiral.com.vn//uploaded/20210513/F4F7414C-7780-40B6-9E24-0DB1D9523C23.jpg","07:32:07")</f>
      </c>
      <c r="U2019" s="20">
        <f>HYPERLINK("https://vnm.spiral.com.vn//uploaded/20210513/7A0225FB-1EB6-48B3-9F46-DD513FC58B20.jpg","11:36:53")</f>
      </c>
      <c r="V2019" s="18">
        <v>0.16997685185185185</v>
      </c>
      <c r="W2019" s="15" t="s">
        <v>10879</v>
      </c>
      <c r="X2019" s="15" t="s">
        <v>10880</v>
      </c>
      <c r="Y2019" s="15" t="s">
        <v>35</v>
      </c>
      <c r="Z2019" s="19">
        <v>0</v>
      </c>
      <c r="AA2019" s="15">
        <v>0</v>
      </c>
      <c r="AB2019" s="15" t="s">
        <v>35</v>
      </c>
    </row>
    <row r="2020">
      <c r="A2020" s="15">
        <v>2016</v>
      </c>
      <c r="B2020" s="15" t="s">
        <v>246</v>
      </c>
      <c r="C2020" s="15" t="s">
        <v>5532</v>
      </c>
      <c r="D2020" s="15" t="s">
        <v>35</v>
      </c>
      <c r="E2020" s="15" t="s">
        <v>35</v>
      </c>
      <c r="F2020" s="15" t="s">
        <v>8791</v>
      </c>
      <c r="G2020" s="15" t="s">
        <v>36</v>
      </c>
      <c r="H2020" s="15" t="s">
        <v>8792</v>
      </c>
      <c r="I2020" s="15" t="s">
        <v>8793</v>
      </c>
      <c r="J2020" s="15" t="s">
        <v>8794</v>
      </c>
      <c r="K2020" s="15" t="s">
        <v>40</v>
      </c>
      <c r="L2020" s="15" t="s">
        <v>41</v>
      </c>
      <c r="M2020" s="15" t="s">
        <v>252</v>
      </c>
      <c r="N2020" s="15" t="s">
        <v>253</v>
      </c>
      <c r="O2020" s="15" t="s">
        <v>44</v>
      </c>
      <c r="P2020" s="15" t="s">
        <v>8795</v>
      </c>
      <c r="Q2020" s="15" t="s">
        <v>8796</v>
      </c>
      <c r="R2020" s="16">
        <v>44329</v>
      </c>
      <c r="S2020" s="17" t="s">
        <v>7866</v>
      </c>
      <c r="T2020" s="20">
        <f>HYPERLINK("https://vnm.spiral.com.vn//uploaded/20210513/d86945b3-a29b-484c-ae65-1616e40bfcaf.JPEG","07:33:36")</f>
      </c>
      <c r="U2020" s="20">
        <f>HYPERLINK("https://vnm.spiral.com.vn//uploaded/20210513/50aa192d-a226-4414-b9b5-64386f559c69.JPEG","11:36:40")</f>
      </c>
      <c r="V2020" s="18">
        <v>0.1687962962962963</v>
      </c>
      <c r="W2020" s="15" t="s">
        <v>10881</v>
      </c>
      <c r="X2020" s="15" t="s">
        <v>10882</v>
      </c>
      <c r="Y2020" s="15" t="s">
        <v>35</v>
      </c>
      <c r="Z2020" s="19">
        <v>0</v>
      </c>
      <c r="AA2020" s="15">
        <v>0</v>
      </c>
      <c r="AB2020" s="15" t="s">
        <v>35</v>
      </c>
    </row>
    <row r="2021">
      <c r="A2021" s="15">
        <v>2017</v>
      </c>
      <c r="B2021" s="15" t="s">
        <v>246</v>
      </c>
      <c r="C2021" s="15" t="s">
        <v>782</v>
      </c>
      <c r="D2021" s="15" t="s">
        <v>89</v>
      </c>
      <c r="E2021" s="15" t="s">
        <v>90</v>
      </c>
      <c r="F2021" s="15" t="s">
        <v>35</v>
      </c>
      <c r="G2021" s="15" t="s">
        <v>74</v>
      </c>
      <c r="H2021" s="15" t="s">
        <v>2852</v>
      </c>
      <c r="I2021" s="15" t="s">
        <v>2853</v>
      </c>
      <c r="J2021" s="15" t="s">
        <v>2854</v>
      </c>
      <c r="K2021" s="15" t="s">
        <v>263</v>
      </c>
      <c r="L2021" s="15" t="s">
        <v>264</v>
      </c>
      <c r="M2021" s="15" t="s">
        <v>280</v>
      </c>
      <c r="N2021" s="15" t="s">
        <v>281</v>
      </c>
      <c r="O2021" s="15" t="s">
        <v>156</v>
      </c>
      <c r="P2021" s="15" t="s">
        <v>2855</v>
      </c>
      <c r="Q2021" s="15" t="s">
        <v>283</v>
      </c>
      <c r="R2021" s="16">
        <v>44329</v>
      </c>
      <c r="S2021" s="17" t="s">
        <v>10687</v>
      </c>
      <c r="T2021" s="20">
        <f>HYPERLINK("https://vnm.spiral.com.vn//uploaded/20210513/7e916c48-a4c9-4827-afb2-f4c57a0e3d26.JPEG","06:50:30")</f>
      </c>
      <c r="U2021" s="20">
        <f>HYPERLINK("https://vnm.spiral.com.vn//uploaded/20210513/71eb0247-cc0d-4219-ae59-e0a638d86ce4.JPEG","11:36:38")</f>
      </c>
      <c r="V2021" s="18">
        <v>0.19870370370370372</v>
      </c>
      <c r="W2021" s="15" t="s">
        <v>10883</v>
      </c>
      <c r="X2021" s="15" t="s">
        <v>10884</v>
      </c>
      <c r="Y2021" s="15" t="s">
        <v>35</v>
      </c>
      <c r="Z2021" s="19">
        <v>0</v>
      </c>
      <c r="AA2021" s="15">
        <v>0</v>
      </c>
      <c r="AB2021" s="15" t="s">
        <v>35</v>
      </c>
    </row>
    <row r="2022">
      <c r="A2022" s="15">
        <v>2018</v>
      </c>
      <c r="B2022" s="15" t="s">
        <v>87</v>
      </c>
      <c r="C2022" s="15" t="s">
        <v>88</v>
      </c>
      <c r="D2022" s="15" t="s">
        <v>1910</v>
      </c>
      <c r="E2022" s="15" t="s">
        <v>1910</v>
      </c>
      <c r="F2022" s="15" t="s">
        <v>35</v>
      </c>
      <c r="G2022" s="15" t="s">
        <v>74</v>
      </c>
      <c r="H2022" s="15" t="s">
        <v>10885</v>
      </c>
      <c r="I2022" s="15" t="s">
        <v>10886</v>
      </c>
      <c r="J2022" s="15" t="s">
        <v>10887</v>
      </c>
      <c r="K2022" s="15" t="s">
        <v>888</v>
      </c>
      <c r="L2022" s="15" t="s">
        <v>889</v>
      </c>
      <c r="M2022" s="15" t="s">
        <v>924</v>
      </c>
      <c r="N2022" s="15" t="s">
        <v>925</v>
      </c>
      <c r="O2022" s="15" t="s">
        <v>82</v>
      </c>
      <c r="P2022" s="15" t="s">
        <v>1460</v>
      </c>
      <c r="Q2022" s="15" t="s">
        <v>1461</v>
      </c>
      <c r="R2022" s="16">
        <v>44329</v>
      </c>
      <c r="S2022" s="17" t="s">
        <v>70</v>
      </c>
      <c r="T2022" s="20">
        <f>HYPERLINK("https://vnm.spiral.com.vn//uploaded/20210513/42173CB7-9F99-4912-A063-DCEDCF2BF319.jpg","10:51:11")</f>
      </c>
      <c r="U2022" s="20">
        <f>HYPERLINK("https://vnm.spiral.com.vn//uploaded/20210513/2E3FB57B-65AF-4483-9252-F5D046427928.jpg","11:36:15")</f>
      </c>
      <c r="V2022" s="18">
        <v>0.031296296296296294</v>
      </c>
      <c r="W2022" s="15" t="s">
        <v>10888</v>
      </c>
      <c r="X2022" s="15" t="s">
        <v>10889</v>
      </c>
      <c r="Y2022" s="15" t="s">
        <v>35</v>
      </c>
      <c r="Z2022" s="19">
        <v>0</v>
      </c>
      <c r="AA2022" s="15">
        <v>0</v>
      </c>
      <c r="AB2022" s="15" t="s">
        <v>35</v>
      </c>
    </row>
    <row r="2023">
      <c r="A2023" s="15">
        <v>2019</v>
      </c>
      <c r="B2023" s="15" t="s">
        <v>246</v>
      </c>
      <c r="C2023" s="15" t="s">
        <v>276</v>
      </c>
      <c r="D2023" s="15" t="s">
        <v>35</v>
      </c>
      <c r="E2023" s="15" t="s">
        <v>35</v>
      </c>
      <c r="F2023" s="15" t="s">
        <v>6817</v>
      </c>
      <c r="G2023" s="15" t="s">
        <v>36</v>
      </c>
      <c r="H2023" s="15" t="s">
        <v>6818</v>
      </c>
      <c r="I2023" s="15" t="s">
        <v>6819</v>
      </c>
      <c r="J2023" s="15" t="s">
        <v>6820</v>
      </c>
      <c r="K2023" s="15" t="s">
        <v>40</v>
      </c>
      <c r="L2023" s="15" t="s">
        <v>41</v>
      </c>
      <c r="M2023" s="15" t="s">
        <v>252</v>
      </c>
      <c r="N2023" s="15" t="s">
        <v>253</v>
      </c>
      <c r="O2023" s="15" t="s">
        <v>44</v>
      </c>
      <c r="P2023" s="15" t="s">
        <v>6821</v>
      </c>
      <c r="Q2023" s="15" t="s">
        <v>6822</v>
      </c>
      <c r="R2023" s="16">
        <v>44329</v>
      </c>
      <c r="S2023" s="17" t="s">
        <v>7866</v>
      </c>
      <c r="T2023" s="20">
        <f>HYPERLINK("https://vnm.spiral.com.vn//uploaded/20210513/b2e340e4-09a7-441a-9ef3-272107afee2b.JPEG","07:31:44")</f>
      </c>
      <c r="U2023" s="20">
        <f>HYPERLINK("https://vnm.spiral.com.vn//uploaded/20210513/f41ce922-2d79-470c-8082-dda0532a6252.JPEG","11:36:10")</f>
      </c>
      <c r="V2023" s="18">
        <v>0.16974537037037038</v>
      </c>
      <c r="W2023" s="15" t="s">
        <v>10890</v>
      </c>
      <c r="X2023" s="15" t="s">
        <v>10891</v>
      </c>
      <c r="Y2023" s="15" t="s">
        <v>35</v>
      </c>
      <c r="Z2023" s="19">
        <v>0</v>
      </c>
      <c r="AA2023" s="15">
        <v>0</v>
      </c>
      <c r="AB2023" s="15" t="s">
        <v>35</v>
      </c>
    </row>
    <row r="2024">
      <c r="A2024" s="15">
        <v>2020</v>
      </c>
      <c r="B2024" s="15" t="s">
        <v>49</v>
      </c>
      <c r="C2024" s="15" t="s">
        <v>162</v>
      </c>
      <c r="D2024" s="15" t="s">
        <v>35</v>
      </c>
      <c r="E2024" s="15" t="s">
        <v>35</v>
      </c>
      <c r="F2024" s="15" t="s">
        <v>833</v>
      </c>
      <c r="G2024" s="15" t="s">
        <v>36</v>
      </c>
      <c r="H2024" s="15" t="s">
        <v>2739</v>
      </c>
      <c r="I2024" s="15" t="s">
        <v>2740</v>
      </c>
      <c r="J2024" s="15" t="s">
        <v>2741</v>
      </c>
      <c r="K2024" s="15" t="s">
        <v>40</v>
      </c>
      <c r="L2024" s="15" t="s">
        <v>41</v>
      </c>
      <c r="M2024" s="15" t="s">
        <v>55</v>
      </c>
      <c r="N2024" s="15" t="s">
        <v>56</v>
      </c>
      <c r="O2024" s="15" t="s">
        <v>44</v>
      </c>
      <c r="P2024" s="15" t="s">
        <v>2742</v>
      </c>
      <c r="Q2024" s="15" t="s">
        <v>2743</v>
      </c>
      <c r="R2024" s="16">
        <v>44329</v>
      </c>
      <c r="S2024" s="17" t="s">
        <v>317</v>
      </c>
      <c r="T2024" s="20">
        <f>HYPERLINK("https://vnm.spiral.com.vn//uploaded/20210513/382565a9-8491-459d-90e9-b75508dcef02.JPEG","07:54:25")</f>
      </c>
      <c r="U2024" s="20">
        <f>HYPERLINK("https://vnm.spiral.com.vn//uploaded/20210513/e86732f4-5087-46f0-87bb-c2309c434498.JPEG","11:35:24")</f>
      </c>
      <c r="V2024" s="18">
        <v>0.15346064814814814</v>
      </c>
      <c r="W2024" s="15" t="s">
        <v>10892</v>
      </c>
      <c r="X2024" s="15" t="s">
        <v>10893</v>
      </c>
      <c r="Y2024" s="15" t="s">
        <v>35</v>
      </c>
      <c r="Z2024" s="19">
        <v>0</v>
      </c>
      <c r="AA2024" s="15">
        <v>0</v>
      </c>
      <c r="AB2024" s="15" t="s">
        <v>35</v>
      </c>
    </row>
    <row r="2025">
      <c r="A2025" s="15">
        <v>2021</v>
      </c>
      <c r="B2025" s="15" t="s">
        <v>246</v>
      </c>
      <c r="C2025" s="15" t="s">
        <v>259</v>
      </c>
      <c r="D2025" s="15" t="s">
        <v>148</v>
      </c>
      <c r="E2025" s="15" t="s">
        <v>90</v>
      </c>
      <c r="F2025" s="15" t="s">
        <v>35</v>
      </c>
      <c r="G2025" s="15" t="s">
        <v>74</v>
      </c>
      <c r="H2025" s="15" t="s">
        <v>1507</v>
      </c>
      <c r="I2025" s="15" t="s">
        <v>1508</v>
      </c>
      <c r="J2025" s="15" t="s">
        <v>1509</v>
      </c>
      <c r="K2025" s="15" t="s">
        <v>263</v>
      </c>
      <c r="L2025" s="15" t="s">
        <v>264</v>
      </c>
      <c r="M2025" s="15" t="s">
        <v>1510</v>
      </c>
      <c r="N2025" s="15" t="s">
        <v>1511</v>
      </c>
      <c r="O2025" s="15" t="s">
        <v>156</v>
      </c>
      <c r="P2025" s="15" t="s">
        <v>10894</v>
      </c>
      <c r="Q2025" s="15" t="s">
        <v>283</v>
      </c>
      <c r="R2025" s="16">
        <v>44329</v>
      </c>
      <c r="S2025" s="17" t="s">
        <v>5058</v>
      </c>
      <c r="T2025" s="20">
        <f>HYPERLINK("https://vnm.spiral.com.vn//uploaded/20210513/6E665E8A-4C36-41F0-8492-AFDF0F646773.jpg","11:35:22")</f>
      </c>
      <c r="U2025" s="18"/>
      <c r="V2025" s="18" t="s">
        <v>35</v>
      </c>
      <c r="W2025" s="15" t="s">
        <v>10895</v>
      </c>
      <c r="X2025" s="15" t="s">
        <v>35</v>
      </c>
      <c r="Y2025" s="15" t="s">
        <v>35</v>
      </c>
      <c r="Z2025" s="19">
        <v>0</v>
      </c>
      <c r="AA2025" s="15">
        <v>0</v>
      </c>
      <c r="AB2025" s="15" t="s">
        <v>35</v>
      </c>
    </row>
    <row r="2026">
      <c r="A2026" s="15">
        <v>2022</v>
      </c>
      <c r="B2026" s="15" t="s">
        <v>49</v>
      </c>
      <c r="C2026" s="15" t="s">
        <v>369</v>
      </c>
      <c r="D2026" s="15" t="s">
        <v>135</v>
      </c>
      <c r="E2026" s="15" t="s">
        <v>116</v>
      </c>
      <c r="F2026" s="15" t="s">
        <v>35</v>
      </c>
      <c r="G2026" s="15" t="s">
        <v>74</v>
      </c>
      <c r="H2026" s="15" t="s">
        <v>10896</v>
      </c>
      <c r="I2026" s="15" t="s">
        <v>10897</v>
      </c>
      <c r="J2026" s="15" t="s">
        <v>10898</v>
      </c>
      <c r="K2026" s="15" t="s">
        <v>168</v>
      </c>
      <c r="L2026" s="15" t="s">
        <v>169</v>
      </c>
      <c r="M2026" s="15" t="s">
        <v>383</v>
      </c>
      <c r="N2026" s="15" t="s">
        <v>384</v>
      </c>
      <c r="O2026" s="15" t="s">
        <v>82</v>
      </c>
      <c r="P2026" s="15" t="s">
        <v>1008</v>
      </c>
      <c r="Q2026" s="15" t="s">
        <v>1009</v>
      </c>
      <c r="R2026" s="16">
        <v>44329</v>
      </c>
      <c r="S2026" s="17" t="s">
        <v>70</v>
      </c>
      <c r="T2026" s="20">
        <f>HYPERLINK("https://vnm.spiral.com.vn//uploaded/20210513/4DFA7820-86E8-4CE4-BC58-E7892F9A85BC.jpg","10:32:40")</f>
      </c>
      <c r="U2026" s="20">
        <f>HYPERLINK("https://vnm.spiral.com.vn//uploaded/20210513/679727F0-2AB7-45A3-8497-9C086E28BB24.jpg","11:35:10")</f>
      </c>
      <c r="V2026" s="18">
        <v>0.043402777777777776</v>
      </c>
      <c r="W2026" s="15" t="s">
        <v>10899</v>
      </c>
      <c r="X2026" s="15" t="s">
        <v>10900</v>
      </c>
      <c r="Y2026" s="15" t="s">
        <v>35</v>
      </c>
      <c r="Z2026" s="19">
        <v>0</v>
      </c>
      <c r="AA2026" s="15">
        <v>0</v>
      </c>
      <c r="AB2026" s="15" t="s">
        <v>35</v>
      </c>
    </row>
    <row r="2027">
      <c r="A2027" s="15">
        <v>2023</v>
      </c>
      <c r="B2027" s="15" t="s">
        <v>87</v>
      </c>
      <c r="C2027" s="15" t="s">
        <v>88</v>
      </c>
      <c r="D2027" s="15" t="s">
        <v>35</v>
      </c>
      <c r="E2027" s="15" t="s">
        <v>35</v>
      </c>
      <c r="F2027" s="15" t="s">
        <v>35</v>
      </c>
      <c r="G2027" s="15" t="s">
        <v>74</v>
      </c>
      <c r="H2027" s="15" t="s">
        <v>10901</v>
      </c>
      <c r="I2027" s="15" t="s">
        <v>10902</v>
      </c>
      <c r="J2027" s="15" t="s">
        <v>10903</v>
      </c>
      <c r="K2027" s="15" t="s">
        <v>94</v>
      </c>
      <c r="L2027" s="15" t="s">
        <v>95</v>
      </c>
      <c r="M2027" s="15" t="s">
        <v>390</v>
      </c>
      <c r="N2027" s="15" t="s">
        <v>391</v>
      </c>
      <c r="O2027" s="15" t="s">
        <v>98</v>
      </c>
      <c r="P2027" s="15" t="s">
        <v>392</v>
      </c>
      <c r="Q2027" s="15" t="s">
        <v>393</v>
      </c>
      <c r="R2027" s="16">
        <v>44329</v>
      </c>
      <c r="S2027" s="17" t="s">
        <v>35</v>
      </c>
      <c r="T2027" s="20">
        <f>HYPERLINK("https://vnm.spiral.com.vn//uploaded/20210513/fd95fd98-1a96-44a5-90be-638169427a9a.jpg","11:01:46")</f>
      </c>
      <c r="U2027" s="20">
        <f>HYPERLINK("https://vnm.spiral.com.vn//uploaded/20210513/73c9162a-4cc6-4120-a13a-3f7163c77ad2.jpg","11:35:01")</f>
      </c>
      <c r="V2027" s="18">
        <v>0.02309027777777778</v>
      </c>
      <c r="W2027" s="15" t="s">
        <v>10904</v>
      </c>
      <c r="X2027" s="15" t="s">
        <v>10905</v>
      </c>
      <c r="Y2027" s="15" t="s">
        <v>35</v>
      </c>
      <c r="Z2027" s="19">
        <v>0</v>
      </c>
      <c r="AA2027" s="15">
        <v>0</v>
      </c>
      <c r="AB2027" s="15" t="s">
        <v>35</v>
      </c>
    </row>
    <row r="2028">
      <c r="A2028" s="15">
        <v>2024</v>
      </c>
      <c r="B2028" s="15" t="s">
        <v>103</v>
      </c>
      <c r="C2028" s="15" t="s">
        <v>174</v>
      </c>
      <c r="D2028" s="15" t="s">
        <v>35</v>
      </c>
      <c r="E2028" s="15" t="s">
        <v>35</v>
      </c>
      <c r="F2028" s="15" t="s">
        <v>35</v>
      </c>
      <c r="G2028" s="15" t="s">
        <v>35</v>
      </c>
      <c r="H2028" s="15" t="s">
        <v>8465</v>
      </c>
      <c r="I2028" s="15" t="s">
        <v>8466</v>
      </c>
      <c r="J2028" s="15" t="s">
        <v>8467</v>
      </c>
      <c r="K2028" s="15" t="s">
        <v>40</v>
      </c>
      <c r="L2028" s="15" t="s">
        <v>41</v>
      </c>
      <c r="M2028" s="15" t="s">
        <v>108</v>
      </c>
      <c r="N2028" s="15" t="s">
        <v>109</v>
      </c>
      <c r="O2028" s="15" t="s">
        <v>44</v>
      </c>
      <c r="P2028" s="15" t="s">
        <v>8468</v>
      </c>
      <c r="Q2028" s="15" t="s">
        <v>8469</v>
      </c>
      <c r="R2028" s="16">
        <v>44329</v>
      </c>
      <c r="S2028" s="17" t="s">
        <v>7866</v>
      </c>
      <c r="T2028" s="20">
        <f>HYPERLINK("https://vnm.spiral.com.vn//uploaded/20210513/440385db-ab63-44c8-ab88-77eae0759a44.JPEG","07:22:51")</f>
      </c>
      <c r="U2028" s="20">
        <f>HYPERLINK("https://vnm.spiral.com.vn//uploaded/20210513/62602052-c615-4865-89ea-8dfc67016cb4.JPEG","11:34:52")</f>
      </c>
      <c r="V2028" s="18">
        <v>0.17501157407407408</v>
      </c>
      <c r="W2028" s="15" t="s">
        <v>10906</v>
      </c>
      <c r="X2028" s="15" t="s">
        <v>10907</v>
      </c>
      <c r="Y2028" s="15" t="s">
        <v>35</v>
      </c>
      <c r="Z2028" s="19">
        <v>0</v>
      </c>
      <c r="AA2028" s="15">
        <v>0</v>
      </c>
      <c r="AB2028" s="15" t="s">
        <v>35</v>
      </c>
    </row>
    <row r="2029">
      <c r="A2029" s="15">
        <v>2025</v>
      </c>
      <c r="B2029" s="15" t="s">
        <v>87</v>
      </c>
      <c r="C2029" s="15" t="s">
        <v>88</v>
      </c>
      <c r="D2029" s="15" t="s">
        <v>35</v>
      </c>
      <c r="E2029" s="15" t="s">
        <v>35</v>
      </c>
      <c r="F2029" s="15" t="s">
        <v>2667</v>
      </c>
      <c r="G2029" s="15" t="s">
        <v>36</v>
      </c>
      <c r="H2029" s="15" t="s">
        <v>10908</v>
      </c>
      <c r="I2029" s="15" t="s">
        <v>1676</v>
      </c>
      <c r="J2029" s="15" t="s">
        <v>10909</v>
      </c>
      <c r="K2029" s="15" t="s">
        <v>40</v>
      </c>
      <c r="L2029" s="15" t="s">
        <v>41</v>
      </c>
      <c r="M2029" s="15" t="s">
        <v>1195</v>
      </c>
      <c r="N2029" s="15" t="s">
        <v>1196</v>
      </c>
      <c r="O2029" s="15" t="s">
        <v>44</v>
      </c>
      <c r="P2029" s="15" t="s">
        <v>3750</v>
      </c>
      <c r="Q2029" s="15" t="s">
        <v>3751</v>
      </c>
      <c r="R2029" s="16">
        <v>44329</v>
      </c>
      <c r="S2029" s="17" t="s">
        <v>7866</v>
      </c>
      <c r="T2029" s="20">
        <f>HYPERLINK("https://vnm.spiral.com.vn//uploaded/20210513/1a4e093d-9897-484d-9448-a7c23bf6c461.JPEG","07:31:50")</f>
      </c>
      <c r="U2029" s="20">
        <f>HYPERLINK("https://vnm.spiral.com.vn//uploaded/20210513/dd1a48a4-b3a4-46b2-9144-2c48c6888abe.JPEG","11:34:45")</f>
      </c>
      <c r="V2029" s="18">
        <v>0.16869212962962962</v>
      </c>
      <c r="W2029" s="15" t="s">
        <v>10910</v>
      </c>
      <c r="X2029" s="15" t="s">
        <v>10911</v>
      </c>
      <c r="Y2029" s="15" t="s">
        <v>35</v>
      </c>
      <c r="Z2029" s="19">
        <v>0</v>
      </c>
      <c r="AA2029" s="15">
        <v>0</v>
      </c>
      <c r="AB2029" s="15" t="s">
        <v>35</v>
      </c>
    </row>
    <row r="2030">
      <c r="A2030" s="15">
        <v>2026</v>
      </c>
      <c r="B2030" s="15" t="s">
        <v>246</v>
      </c>
      <c r="C2030" s="15" t="s">
        <v>2005</v>
      </c>
      <c r="D2030" s="15" t="s">
        <v>89</v>
      </c>
      <c r="E2030" s="15" t="s">
        <v>90</v>
      </c>
      <c r="F2030" s="15" t="s">
        <v>35</v>
      </c>
      <c r="G2030" s="15" t="s">
        <v>74</v>
      </c>
      <c r="H2030" s="15" t="s">
        <v>2143</v>
      </c>
      <c r="I2030" s="15" t="s">
        <v>2144</v>
      </c>
      <c r="J2030" s="15" t="s">
        <v>2145</v>
      </c>
      <c r="K2030" s="15" t="s">
        <v>263</v>
      </c>
      <c r="L2030" s="15" t="s">
        <v>264</v>
      </c>
      <c r="M2030" s="15" t="s">
        <v>2009</v>
      </c>
      <c r="N2030" s="15" t="s">
        <v>2010</v>
      </c>
      <c r="O2030" s="15" t="s">
        <v>156</v>
      </c>
      <c r="P2030" s="15" t="s">
        <v>2146</v>
      </c>
      <c r="Q2030" s="15" t="s">
        <v>2147</v>
      </c>
      <c r="R2030" s="16">
        <v>44329</v>
      </c>
      <c r="S2030" s="17" t="s">
        <v>7866</v>
      </c>
      <c r="T2030" s="20">
        <f>HYPERLINK("https://vnm.spiral.com.vn//uploaded/20210513/EF779965-D2F0-4EE6-AEB9-7F5F3049AC82.jpg","07:24:56")</f>
      </c>
      <c r="U2030" s="20">
        <f>HYPERLINK("https://vnm.spiral.com.vn//uploaded/20210513/DD276A2E-3750-42E1-A698-89CBA3FDED3E.jpg","11:34:40")</f>
      </c>
      <c r="V2030" s="18">
        <v>0.17342592592592593</v>
      </c>
      <c r="W2030" s="15" t="s">
        <v>10912</v>
      </c>
      <c r="X2030" s="15" t="s">
        <v>10913</v>
      </c>
      <c r="Y2030" s="15" t="s">
        <v>35</v>
      </c>
      <c r="Z2030" s="19">
        <v>0</v>
      </c>
      <c r="AA2030" s="15">
        <v>0</v>
      </c>
      <c r="AB2030" s="15" t="s">
        <v>35</v>
      </c>
    </row>
    <row r="2031">
      <c r="A2031" s="15">
        <v>2027</v>
      </c>
      <c r="B2031" s="15" t="s">
        <v>246</v>
      </c>
      <c r="C2031" s="15" t="s">
        <v>864</v>
      </c>
      <c r="D2031" s="15" t="s">
        <v>35</v>
      </c>
      <c r="E2031" s="15" t="s">
        <v>35</v>
      </c>
      <c r="F2031" s="15" t="s">
        <v>3410</v>
      </c>
      <c r="G2031" s="15" t="s">
        <v>36</v>
      </c>
      <c r="H2031" s="15" t="s">
        <v>6853</v>
      </c>
      <c r="I2031" s="15" t="s">
        <v>6854</v>
      </c>
      <c r="J2031" s="15" t="s">
        <v>6855</v>
      </c>
      <c r="K2031" s="15" t="s">
        <v>40</v>
      </c>
      <c r="L2031" s="15" t="s">
        <v>41</v>
      </c>
      <c r="M2031" s="15" t="s">
        <v>252</v>
      </c>
      <c r="N2031" s="15" t="s">
        <v>253</v>
      </c>
      <c r="O2031" s="15" t="s">
        <v>44</v>
      </c>
      <c r="P2031" s="15" t="s">
        <v>6856</v>
      </c>
      <c r="Q2031" s="15" t="s">
        <v>6857</v>
      </c>
      <c r="R2031" s="16">
        <v>44329</v>
      </c>
      <c r="S2031" s="17" t="s">
        <v>7866</v>
      </c>
      <c r="T2031" s="20">
        <f>HYPERLINK("https://vnm.spiral.com.vn//uploaded/20210513/158d9c3e-352b-4d04-aed1-7f42b2088a05.JPEG","07:33:54")</f>
      </c>
      <c r="U2031" s="20">
        <f>HYPERLINK("https://vnm.spiral.com.vn//uploaded/20210513/df9810cd-412d-4a8d-a9e6-f1031a519d34.JPEG","11:34:38")</f>
      </c>
      <c r="V2031" s="18">
        <v>0.16717592592592592</v>
      </c>
      <c r="W2031" s="15" t="s">
        <v>10914</v>
      </c>
      <c r="X2031" s="15" t="s">
        <v>10915</v>
      </c>
      <c r="Y2031" s="15" t="s">
        <v>35</v>
      </c>
      <c r="Z2031" s="19">
        <v>0</v>
      </c>
      <c r="AA2031" s="15">
        <v>0</v>
      </c>
      <c r="AB2031" s="15" t="s">
        <v>35</v>
      </c>
    </row>
    <row r="2032">
      <c r="A2032" s="15">
        <v>2028</v>
      </c>
      <c r="B2032" s="15" t="s">
        <v>343</v>
      </c>
      <c r="C2032" s="15" t="s">
        <v>7476</v>
      </c>
      <c r="D2032" s="15" t="s">
        <v>35</v>
      </c>
      <c r="E2032" s="15" t="s">
        <v>35</v>
      </c>
      <c r="F2032" s="15" t="s">
        <v>35</v>
      </c>
      <c r="G2032" s="15" t="s">
        <v>36</v>
      </c>
      <c r="H2032" s="15" t="s">
        <v>7528</v>
      </c>
      <c r="I2032" s="15" t="s">
        <v>7529</v>
      </c>
      <c r="J2032" s="15" t="s">
        <v>7530</v>
      </c>
      <c r="K2032" s="15" t="s">
        <v>40</v>
      </c>
      <c r="L2032" s="15" t="s">
        <v>41</v>
      </c>
      <c r="M2032" s="15" t="s">
        <v>409</v>
      </c>
      <c r="N2032" s="15" t="s">
        <v>410</v>
      </c>
      <c r="O2032" s="15" t="s">
        <v>44</v>
      </c>
      <c r="P2032" s="15" t="s">
        <v>7531</v>
      </c>
      <c r="Q2032" s="15" t="s">
        <v>7532</v>
      </c>
      <c r="R2032" s="16">
        <v>44329</v>
      </c>
      <c r="S2032" s="17" t="s">
        <v>7866</v>
      </c>
      <c r="T2032" s="20">
        <f>HYPERLINK("https://vnm.spiral.com.vn//uploaded/20210513/e45f8859-a952-48b2-8452-b1b53587c810.JPEG","07:27:52")</f>
      </c>
      <c r="U2032" s="20">
        <f>HYPERLINK("https://vnm.spiral.com.vn//uploaded/20210513/975e1615-33ef-4ba3-9983-2994fb234ebe.JPEG","11:34:29")</f>
      </c>
      <c r="V2032" s="18">
        <v>0.17126157407407408</v>
      </c>
      <c r="W2032" s="15" t="s">
        <v>10916</v>
      </c>
      <c r="X2032" s="15" t="s">
        <v>10917</v>
      </c>
      <c r="Y2032" s="15" t="s">
        <v>35</v>
      </c>
      <c r="Z2032" s="19">
        <v>0</v>
      </c>
      <c r="AA2032" s="15">
        <v>0</v>
      </c>
      <c r="AB2032" s="15" t="s">
        <v>35</v>
      </c>
    </row>
    <row r="2033">
      <c r="A2033" s="15">
        <v>2029</v>
      </c>
      <c r="B2033" s="15" t="s">
        <v>33</v>
      </c>
      <c r="C2033" s="15" t="s">
        <v>2999</v>
      </c>
      <c r="D2033" s="15" t="s">
        <v>35</v>
      </c>
      <c r="E2033" s="15" t="s">
        <v>35</v>
      </c>
      <c r="F2033" s="15" t="s">
        <v>35</v>
      </c>
      <c r="G2033" s="15" t="s">
        <v>74</v>
      </c>
      <c r="H2033" s="15" t="s">
        <v>10918</v>
      </c>
      <c r="I2033" s="15" t="s">
        <v>10919</v>
      </c>
      <c r="J2033" s="15" t="s">
        <v>10920</v>
      </c>
      <c r="K2033" s="15" t="s">
        <v>2887</v>
      </c>
      <c r="L2033" s="15" t="s">
        <v>2888</v>
      </c>
      <c r="M2033" s="15" t="s">
        <v>2889</v>
      </c>
      <c r="N2033" s="15" t="s">
        <v>2890</v>
      </c>
      <c r="O2033" s="15" t="s">
        <v>82</v>
      </c>
      <c r="P2033" s="15" t="s">
        <v>3003</v>
      </c>
      <c r="Q2033" s="15" t="s">
        <v>1155</v>
      </c>
      <c r="R2033" s="16">
        <v>44329</v>
      </c>
      <c r="S2033" s="17" t="s">
        <v>70</v>
      </c>
      <c r="T2033" s="20">
        <f>HYPERLINK("https://vnm.spiral.com.vn//uploaded/20210513/b8321521-d115-4f0b-9f6a-4a48ae5107d4.JPEG","10:48:05")</f>
      </c>
      <c r="U2033" s="20">
        <f>HYPERLINK("https://vnm.spiral.com.vn//uploaded/20210513/49dd4df0-acda-4072-82f7-1ddb4573a7a5.JPEG","11:34:29")</f>
      </c>
      <c r="V2033" s="18">
        <v>0.03222222222222222</v>
      </c>
      <c r="W2033" s="15" t="s">
        <v>10921</v>
      </c>
      <c r="X2033" s="15" t="s">
        <v>10922</v>
      </c>
      <c r="Y2033" s="15" t="s">
        <v>35</v>
      </c>
      <c r="Z2033" s="19">
        <v>0</v>
      </c>
      <c r="AA2033" s="15">
        <v>0</v>
      </c>
      <c r="AB2033" s="15" t="s">
        <v>35</v>
      </c>
    </row>
    <row r="2034">
      <c r="A2034" s="15">
        <v>2030</v>
      </c>
      <c r="B2034" s="15" t="s">
        <v>343</v>
      </c>
      <c r="C2034" s="15" t="s">
        <v>344</v>
      </c>
      <c r="D2034" s="15" t="s">
        <v>357</v>
      </c>
      <c r="E2034" s="15" t="s">
        <v>90</v>
      </c>
      <c r="F2034" s="15" t="s">
        <v>35</v>
      </c>
      <c r="G2034" s="15" t="s">
        <v>74</v>
      </c>
      <c r="H2034" s="15" t="s">
        <v>10923</v>
      </c>
      <c r="I2034" s="15" t="s">
        <v>10924</v>
      </c>
      <c r="J2034" s="15" t="s">
        <v>10925</v>
      </c>
      <c r="K2034" s="15" t="s">
        <v>915</v>
      </c>
      <c r="L2034" s="15" t="s">
        <v>916</v>
      </c>
      <c r="M2034" s="15" t="s">
        <v>361</v>
      </c>
      <c r="N2034" s="15" t="s">
        <v>362</v>
      </c>
      <c r="O2034" s="15" t="s">
        <v>98</v>
      </c>
      <c r="P2034" s="15" t="s">
        <v>363</v>
      </c>
      <c r="Q2034" s="15" t="s">
        <v>364</v>
      </c>
      <c r="R2034" s="16">
        <v>44329</v>
      </c>
      <c r="S2034" s="17" t="s">
        <v>70</v>
      </c>
      <c r="T2034" s="20">
        <f>HYPERLINK("https://vnm.spiral.com.vn//uploaded/20210513/C32B238E-29C7-40FC-9D16-86C67B1DB996.jpg","11:00:08")</f>
      </c>
      <c r="U2034" s="20">
        <f>HYPERLINK("https://vnm.spiral.com.vn//uploaded/20210513/F227CD52-EC1E-4B44-B848-CA60CBC7E06A.jpg","11:34:21")</f>
      </c>
      <c r="V2034" s="18">
        <v>0.023761574074074074</v>
      </c>
      <c r="W2034" s="15" t="s">
        <v>10926</v>
      </c>
      <c r="X2034" s="15" t="s">
        <v>10927</v>
      </c>
      <c r="Y2034" s="15" t="s">
        <v>35</v>
      </c>
      <c r="Z2034" s="19">
        <v>0</v>
      </c>
      <c r="AA2034" s="15">
        <v>0</v>
      </c>
      <c r="AB2034" s="15" t="s">
        <v>35</v>
      </c>
    </row>
    <row r="2035">
      <c r="A2035" s="15">
        <v>2031</v>
      </c>
      <c r="B2035" s="15" t="s">
        <v>87</v>
      </c>
      <c r="C2035" s="15" t="s">
        <v>88</v>
      </c>
      <c r="D2035" s="15" t="s">
        <v>35</v>
      </c>
      <c r="E2035" s="15" t="s">
        <v>35</v>
      </c>
      <c r="F2035" s="15" t="s">
        <v>2667</v>
      </c>
      <c r="G2035" s="15" t="s">
        <v>36</v>
      </c>
      <c r="H2035" s="15" t="s">
        <v>3373</v>
      </c>
      <c r="I2035" s="15" t="s">
        <v>3374</v>
      </c>
      <c r="J2035" s="15" t="s">
        <v>3375</v>
      </c>
      <c r="K2035" s="15" t="s">
        <v>40</v>
      </c>
      <c r="L2035" s="15" t="s">
        <v>41</v>
      </c>
      <c r="M2035" s="15" t="s">
        <v>1195</v>
      </c>
      <c r="N2035" s="15" t="s">
        <v>1196</v>
      </c>
      <c r="O2035" s="15" t="s">
        <v>44</v>
      </c>
      <c r="P2035" s="15" t="s">
        <v>3376</v>
      </c>
      <c r="Q2035" s="15" t="s">
        <v>3377</v>
      </c>
      <c r="R2035" s="16">
        <v>44329</v>
      </c>
      <c r="S2035" s="17" t="s">
        <v>7866</v>
      </c>
      <c r="T2035" s="20">
        <f>HYPERLINK("https://vnm.spiral.com.vn//uploaded/20210513/9850ea78-0b79-42c8-9dc2-50230b4cb21b.JPEG","11:33:57")</f>
      </c>
      <c r="U2035" s="20">
        <f>HYPERLINK("https://vnm.spiral.com.vn//uploaded/20210513/babf422c-5615-41d6-b014-1be2ffa7cddc.JPEG","11:34:12")</f>
      </c>
      <c r="V2035" s="18">
        <v>0.00017361111111111112</v>
      </c>
      <c r="W2035" s="15" t="s">
        <v>10928</v>
      </c>
      <c r="X2035" s="15" t="s">
        <v>10929</v>
      </c>
      <c r="Y2035" s="15" t="s">
        <v>35</v>
      </c>
      <c r="Z2035" s="19">
        <v>0</v>
      </c>
      <c r="AA2035" s="15">
        <v>0</v>
      </c>
      <c r="AB2035" s="15" t="s">
        <v>35</v>
      </c>
    </row>
    <row r="2036">
      <c r="A2036" s="15">
        <v>2032</v>
      </c>
      <c r="B2036" s="15" t="s">
        <v>246</v>
      </c>
      <c r="C2036" s="15" t="s">
        <v>247</v>
      </c>
      <c r="D2036" s="15" t="s">
        <v>35</v>
      </c>
      <c r="E2036" s="15" t="s">
        <v>35</v>
      </c>
      <c r="F2036" s="15" t="s">
        <v>248</v>
      </c>
      <c r="G2036" s="15" t="s">
        <v>36</v>
      </c>
      <c r="H2036" s="15" t="s">
        <v>5963</v>
      </c>
      <c r="I2036" s="15" t="s">
        <v>5964</v>
      </c>
      <c r="J2036" s="15" t="s">
        <v>5965</v>
      </c>
      <c r="K2036" s="15" t="s">
        <v>40</v>
      </c>
      <c r="L2036" s="15" t="s">
        <v>41</v>
      </c>
      <c r="M2036" s="15" t="s">
        <v>252</v>
      </c>
      <c r="N2036" s="15" t="s">
        <v>253</v>
      </c>
      <c r="O2036" s="15" t="s">
        <v>44</v>
      </c>
      <c r="P2036" s="15" t="s">
        <v>5966</v>
      </c>
      <c r="Q2036" s="15" t="s">
        <v>5967</v>
      </c>
      <c r="R2036" s="16">
        <v>44329</v>
      </c>
      <c r="S2036" s="17" t="s">
        <v>3018</v>
      </c>
      <c r="T2036" s="20">
        <f>HYPERLINK("https://vnm.spiral.com.vn//uploaded/20210513/289d49bf-909f-4bfa-ad96-5828488499b6.JPEG","08:08:39")</f>
      </c>
      <c r="U2036" s="20">
        <f>HYPERLINK("https://vnm.spiral.com.vn//uploaded/20210513/71cc2d02-c507-4c65-ae76-17bd7e276d4f.JPEG","11:33:57")</f>
      </c>
      <c r="V2036" s="18">
        <v>0.14256944444444444</v>
      </c>
      <c r="W2036" s="15" t="s">
        <v>10930</v>
      </c>
      <c r="X2036" s="15" t="s">
        <v>10931</v>
      </c>
      <c r="Y2036" s="15" t="s">
        <v>35</v>
      </c>
      <c r="Z2036" s="19">
        <v>0</v>
      </c>
      <c r="AA2036" s="15">
        <v>0</v>
      </c>
      <c r="AB2036" s="15" t="s">
        <v>35</v>
      </c>
    </row>
    <row r="2037">
      <c r="A2037" s="15">
        <v>2033</v>
      </c>
      <c r="B2037" s="15" t="s">
        <v>49</v>
      </c>
      <c r="C2037" s="15" t="s">
        <v>162</v>
      </c>
      <c r="D2037" s="15" t="s">
        <v>35</v>
      </c>
      <c r="E2037" s="15" t="s">
        <v>35</v>
      </c>
      <c r="F2037" s="15" t="s">
        <v>833</v>
      </c>
      <c r="G2037" s="15" t="s">
        <v>36</v>
      </c>
      <c r="H2037" s="15" t="s">
        <v>8734</v>
      </c>
      <c r="I2037" s="15" t="s">
        <v>8735</v>
      </c>
      <c r="J2037" s="15" t="s">
        <v>8736</v>
      </c>
      <c r="K2037" s="15" t="s">
        <v>40</v>
      </c>
      <c r="L2037" s="15" t="s">
        <v>41</v>
      </c>
      <c r="M2037" s="15" t="s">
        <v>55</v>
      </c>
      <c r="N2037" s="15" t="s">
        <v>56</v>
      </c>
      <c r="O2037" s="15" t="s">
        <v>44</v>
      </c>
      <c r="P2037" s="15" t="s">
        <v>8737</v>
      </c>
      <c r="Q2037" s="15" t="s">
        <v>8738</v>
      </c>
      <c r="R2037" s="16">
        <v>44329</v>
      </c>
      <c r="S2037" s="17" t="s">
        <v>3018</v>
      </c>
      <c r="T2037" s="20">
        <f>HYPERLINK("https://vnm.spiral.com.vn//uploaded/20210513/a27a58fa-9313-48cc-abe3-40312f7c4283.JPEG","07:58:53")</f>
      </c>
      <c r="U2037" s="20">
        <f>HYPERLINK("https://vnm.spiral.com.vn//uploaded/20210513/5967e802-f973-4bf1-88f9-f3970faa7e2e.JPEG","11:33:48")</f>
      </c>
      <c r="V2037" s="18">
        <v>0.1492476851851852</v>
      </c>
      <c r="W2037" s="15" t="s">
        <v>10932</v>
      </c>
      <c r="X2037" s="15" t="s">
        <v>8739</v>
      </c>
      <c r="Y2037" s="15" t="s">
        <v>35</v>
      </c>
      <c r="Z2037" s="19">
        <v>0</v>
      </c>
      <c r="AA2037" s="15">
        <v>0</v>
      </c>
      <c r="AB2037" s="15" t="s">
        <v>35</v>
      </c>
    </row>
    <row r="2038">
      <c r="A2038" s="15">
        <v>2034</v>
      </c>
      <c r="B2038" s="15" t="s">
        <v>246</v>
      </c>
      <c r="C2038" s="15" t="s">
        <v>864</v>
      </c>
      <c r="D2038" s="15" t="s">
        <v>35</v>
      </c>
      <c r="E2038" s="15" t="s">
        <v>35</v>
      </c>
      <c r="F2038" s="15" t="s">
        <v>2406</v>
      </c>
      <c r="G2038" s="15" t="s">
        <v>36</v>
      </c>
      <c r="H2038" s="15" t="s">
        <v>6754</v>
      </c>
      <c r="I2038" s="15" t="s">
        <v>2708</v>
      </c>
      <c r="J2038" s="15" t="s">
        <v>6755</v>
      </c>
      <c r="K2038" s="15" t="s">
        <v>40</v>
      </c>
      <c r="L2038" s="15" t="s">
        <v>41</v>
      </c>
      <c r="M2038" s="15" t="s">
        <v>252</v>
      </c>
      <c r="N2038" s="15" t="s">
        <v>253</v>
      </c>
      <c r="O2038" s="15" t="s">
        <v>44</v>
      </c>
      <c r="P2038" s="15" t="s">
        <v>6756</v>
      </c>
      <c r="Q2038" s="15" t="s">
        <v>6757</v>
      </c>
      <c r="R2038" s="16">
        <v>44329</v>
      </c>
      <c r="S2038" s="17" t="s">
        <v>317</v>
      </c>
      <c r="T2038" s="20">
        <f>HYPERLINK("https://vnm.spiral.com.vn//uploaded/20210513/24421ADD-E1AC-46B1-8424-BB779FFFF0D8.jpg","08:05:38")</f>
      </c>
      <c r="U2038" s="20">
        <f>HYPERLINK("https://vnm.spiral.com.vn//uploaded/20210513/29A8C294-0818-4D0D-8967-6851DEB1B12F.jpg","11:33:44")</f>
      </c>
      <c r="V2038" s="18">
        <v>0.1445138888888889</v>
      </c>
      <c r="W2038" s="15" t="s">
        <v>10933</v>
      </c>
      <c r="X2038" s="15" t="s">
        <v>10934</v>
      </c>
      <c r="Y2038" s="15" t="s">
        <v>35</v>
      </c>
      <c r="Z2038" s="19">
        <v>0</v>
      </c>
      <c r="AA2038" s="15">
        <v>0</v>
      </c>
      <c r="AB2038" s="15" t="s">
        <v>35</v>
      </c>
    </row>
    <row r="2039">
      <c r="A2039" s="15">
        <v>2035</v>
      </c>
      <c r="B2039" s="15" t="s">
        <v>246</v>
      </c>
      <c r="C2039" s="15" t="s">
        <v>276</v>
      </c>
      <c r="D2039" s="15" t="s">
        <v>35</v>
      </c>
      <c r="E2039" s="15" t="s">
        <v>35</v>
      </c>
      <c r="F2039" s="15" t="s">
        <v>7713</v>
      </c>
      <c r="G2039" s="15" t="s">
        <v>36</v>
      </c>
      <c r="H2039" s="15" t="s">
        <v>8056</v>
      </c>
      <c r="I2039" s="15" t="s">
        <v>8057</v>
      </c>
      <c r="J2039" s="15" t="s">
        <v>8058</v>
      </c>
      <c r="K2039" s="15" t="s">
        <v>40</v>
      </c>
      <c r="L2039" s="15" t="s">
        <v>41</v>
      </c>
      <c r="M2039" s="15" t="s">
        <v>252</v>
      </c>
      <c r="N2039" s="15" t="s">
        <v>253</v>
      </c>
      <c r="O2039" s="15" t="s">
        <v>44</v>
      </c>
      <c r="P2039" s="15" t="s">
        <v>8059</v>
      </c>
      <c r="Q2039" s="15" t="s">
        <v>8060</v>
      </c>
      <c r="R2039" s="16">
        <v>44329</v>
      </c>
      <c r="S2039" s="17" t="s">
        <v>7866</v>
      </c>
      <c r="T2039" s="20">
        <f>HYPERLINK("https://vnm.spiral.com.vn//uploaded/20210513/79be7295-9b39-449b-8f6f-79b5e17959ac.JPEG","07:04:42")</f>
      </c>
      <c r="U2039" s="20">
        <f>HYPERLINK("https://vnm.spiral.com.vn//uploaded/20210513/45bbba5a-65c4-450a-975c-eaad145fd2d9.JPEG","11:33:40")</f>
      </c>
      <c r="V2039" s="18">
        <v>0.1867824074074074</v>
      </c>
      <c r="W2039" s="15" t="s">
        <v>10935</v>
      </c>
      <c r="X2039" s="15" t="s">
        <v>10936</v>
      </c>
      <c r="Y2039" s="15" t="s">
        <v>35</v>
      </c>
      <c r="Z2039" s="19">
        <v>0</v>
      </c>
      <c r="AA2039" s="15">
        <v>0</v>
      </c>
      <c r="AB2039" s="15" t="s">
        <v>35</v>
      </c>
    </row>
    <row r="2040">
      <c r="A2040" s="15">
        <v>2036</v>
      </c>
      <c r="B2040" s="15" t="s">
        <v>246</v>
      </c>
      <c r="C2040" s="15" t="s">
        <v>259</v>
      </c>
      <c r="D2040" s="15" t="s">
        <v>89</v>
      </c>
      <c r="E2040" s="15" t="s">
        <v>90</v>
      </c>
      <c r="F2040" s="15" t="s">
        <v>35</v>
      </c>
      <c r="G2040" s="15" t="s">
        <v>74</v>
      </c>
      <c r="H2040" s="15" t="s">
        <v>260</v>
      </c>
      <c r="I2040" s="15" t="s">
        <v>261</v>
      </c>
      <c r="J2040" s="15" t="s">
        <v>262</v>
      </c>
      <c r="K2040" s="15" t="s">
        <v>166</v>
      </c>
      <c r="L2040" s="15" t="s">
        <v>167</v>
      </c>
      <c r="M2040" s="15" t="s">
        <v>263</v>
      </c>
      <c r="N2040" s="15" t="s">
        <v>264</v>
      </c>
      <c r="O2040" s="15" t="s">
        <v>156</v>
      </c>
      <c r="P2040" s="15" t="s">
        <v>265</v>
      </c>
      <c r="Q2040" s="15" t="s">
        <v>266</v>
      </c>
      <c r="R2040" s="16">
        <v>44329</v>
      </c>
      <c r="S2040" s="17" t="s">
        <v>7866</v>
      </c>
      <c r="T2040" s="20">
        <f>HYPERLINK("https://vnm.spiral.com.vn//uploaded/20210513/7C141D6C-03F6-4540-A6C3-E97DE8AA6E10.jpg","07:27:44")</f>
      </c>
      <c r="U2040" s="20">
        <f>HYPERLINK("https://vnm.spiral.com.vn//uploaded/20210513/3B9C1A24-034D-491F-8E64-1C233A1462B3.jpg","11:33:37")</f>
      </c>
      <c r="V2040" s="18">
        <v>0.17075231481481482</v>
      </c>
      <c r="W2040" s="15" t="s">
        <v>10937</v>
      </c>
      <c r="X2040" s="15" t="s">
        <v>10938</v>
      </c>
      <c r="Y2040" s="15" t="s">
        <v>35</v>
      </c>
      <c r="Z2040" s="19">
        <v>0</v>
      </c>
      <c r="AA2040" s="15">
        <v>0</v>
      </c>
      <c r="AB2040" s="15" t="s">
        <v>35</v>
      </c>
    </row>
    <row r="2041">
      <c r="A2041" s="15">
        <v>2037</v>
      </c>
      <c r="B2041" s="15" t="s">
        <v>87</v>
      </c>
      <c r="C2041" s="15" t="s">
        <v>88</v>
      </c>
      <c r="D2041" s="15" t="s">
        <v>35</v>
      </c>
      <c r="E2041" s="15" t="s">
        <v>35</v>
      </c>
      <c r="F2041" s="15" t="s">
        <v>2667</v>
      </c>
      <c r="G2041" s="15" t="s">
        <v>36</v>
      </c>
      <c r="H2041" s="15" t="s">
        <v>3938</v>
      </c>
      <c r="I2041" s="15" t="s">
        <v>3939</v>
      </c>
      <c r="J2041" s="15" t="s">
        <v>3940</v>
      </c>
      <c r="K2041" s="15" t="s">
        <v>40</v>
      </c>
      <c r="L2041" s="15" t="s">
        <v>41</v>
      </c>
      <c r="M2041" s="15" t="s">
        <v>1195</v>
      </c>
      <c r="N2041" s="15" t="s">
        <v>1196</v>
      </c>
      <c r="O2041" s="15" t="s">
        <v>44</v>
      </c>
      <c r="P2041" s="15" t="s">
        <v>3941</v>
      </c>
      <c r="Q2041" s="15" t="s">
        <v>3942</v>
      </c>
      <c r="R2041" s="16">
        <v>44329</v>
      </c>
      <c r="S2041" s="17" t="s">
        <v>7866</v>
      </c>
      <c r="T2041" s="20">
        <f>HYPERLINK("https://vnm.spiral.com.vn//uploaded/20210513/82CAF52B-7436-4497-9E2F-F7CF19F22803.jpg","07:13:46")</f>
      </c>
      <c r="U2041" s="20">
        <f>HYPERLINK("https://vnm.spiral.com.vn//uploaded/20210513/112C4AA0-78B4-4336-BF9A-BB7C5B2C3EF7.jpg","11:33:35")</f>
      </c>
      <c r="V2041" s="18">
        <v>0.18042824074074074</v>
      </c>
      <c r="W2041" s="15" t="s">
        <v>10939</v>
      </c>
      <c r="X2041" s="15" t="s">
        <v>10940</v>
      </c>
      <c r="Y2041" s="15" t="s">
        <v>35</v>
      </c>
      <c r="Z2041" s="19">
        <v>0</v>
      </c>
      <c r="AA2041" s="15">
        <v>0</v>
      </c>
      <c r="AB2041" s="15" t="s">
        <v>35</v>
      </c>
    </row>
    <row r="2042">
      <c r="A2042" s="15">
        <v>2038</v>
      </c>
      <c r="B2042" s="15" t="s">
        <v>343</v>
      </c>
      <c r="C2042" s="15" t="s">
        <v>721</v>
      </c>
      <c r="D2042" s="15" t="s">
        <v>35</v>
      </c>
      <c r="E2042" s="15" t="s">
        <v>35</v>
      </c>
      <c r="F2042" s="15" t="s">
        <v>35</v>
      </c>
      <c r="G2042" s="15" t="s">
        <v>36</v>
      </c>
      <c r="H2042" s="15" t="s">
        <v>8909</v>
      </c>
      <c r="I2042" s="15" t="s">
        <v>8910</v>
      </c>
      <c r="J2042" s="15" t="s">
        <v>8911</v>
      </c>
      <c r="K2042" s="15" t="s">
        <v>40</v>
      </c>
      <c r="L2042" s="15" t="s">
        <v>41</v>
      </c>
      <c r="M2042" s="15" t="s">
        <v>595</v>
      </c>
      <c r="N2042" s="15" t="s">
        <v>596</v>
      </c>
      <c r="O2042" s="15" t="s">
        <v>44</v>
      </c>
      <c r="P2042" s="15" t="s">
        <v>8912</v>
      </c>
      <c r="Q2042" s="15" t="s">
        <v>8913</v>
      </c>
      <c r="R2042" s="16">
        <v>44329</v>
      </c>
      <c r="S2042" s="17" t="s">
        <v>7866</v>
      </c>
      <c r="T2042" s="20">
        <f>HYPERLINK("https://vnm.spiral.com.vn//uploaded/20210513/0C3463BF-3491-403B-8FC8-DFB1369E80F7.jpg","07:21:44")</f>
      </c>
      <c r="U2042" s="20">
        <f>HYPERLINK("https://vnm.spiral.com.vn//uploaded/20210513/78AA595B-A4CC-4A4A-9C8D-EEDA1C439B66.jpg","11:33:30")</f>
      </c>
      <c r="V2042" s="18">
        <v>0.17483796296296297</v>
      </c>
      <c r="W2042" s="15" t="s">
        <v>10941</v>
      </c>
      <c r="X2042" s="15" t="s">
        <v>10942</v>
      </c>
      <c r="Y2042" s="15" t="s">
        <v>35</v>
      </c>
      <c r="Z2042" s="19">
        <v>0</v>
      </c>
      <c r="AA2042" s="15">
        <v>0</v>
      </c>
      <c r="AB2042" s="15" t="s">
        <v>35</v>
      </c>
    </row>
    <row r="2043">
      <c r="A2043" s="15">
        <v>2039</v>
      </c>
      <c r="B2043" s="15" t="s">
        <v>343</v>
      </c>
      <c r="C2043" s="15" t="s">
        <v>645</v>
      </c>
      <c r="D2043" s="15" t="s">
        <v>35</v>
      </c>
      <c r="E2043" s="15" t="s">
        <v>35</v>
      </c>
      <c r="F2043" s="15" t="s">
        <v>7894</v>
      </c>
      <c r="G2043" s="15" t="s">
        <v>36</v>
      </c>
      <c r="H2043" s="15" t="s">
        <v>7895</v>
      </c>
      <c r="I2043" s="15" t="s">
        <v>6360</v>
      </c>
      <c r="J2043" s="15" t="s">
        <v>7896</v>
      </c>
      <c r="K2043" s="15" t="s">
        <v>40</v>
      </c>
      <c r="L2043" s="15" t="s">
        <v>41</v>
      </c>
      <c r="M2043" s="15" t="s">
        <v>42</v>
      </c>
      <c r="N2043" s="15" t="s">
        <v>43</v>
      </c>
      <c r="O2043" s="15" t="s">
        <v>44</v>
      </c>
      <c r="P2043" s="15" t="s">
        <v>7897</v>
      </c>
      <c r="Q2043" s="15" t="s">
        <v>7898</v>
      </c>
      <c r="R2043" s="16">
        <v>44329</v>
      </c>
      <c r="S2043" s="17" t="s">
        <v>7866</v>
      </c>
      <c r="T2043" s="20">
        <f>HYPERLINK("https://vnm.spiral.com.vn//uploaded/20210513/7016129e-c794-4ab3-a5c3-83f5efda029a.JPEG","07:21:26")</f>
      </c>
      <c r="U2043" s="20">
        <f>HYPERLINK("https://vnm.spiral.com.vn//uploaded/20210513/c35ce647-fbeb-47d0-b1cc-09464b3b25bc.JPEG","11:33:27")</f>
      </c>
      <c r="V2043" s="18">
        <v>0.17501157407407408</v>
      </c>
      <c r="W2043" s="15" t="s">
        <v>10943</v>
      </c>
      <c r="X2043" s="15" t="s">
        <v>10944</v>
      </c>
      <c r="Y2043" s="15" t="s">
        <v>35</v>
      </c>
      <c r="Z2043" s="19">
        <v>0</v>
      </c>
      <c r="AA2043" s="15">
        <v>0</v>
      </c>
      <c r="AB2043" s="15" t="s">
        <v>35</v>
      </c>
    </row>
    <row r="2044">
      <c r="A2044" s="15">
        <v>2040</v>
      </c>
      <c r="B2044" s="15" t="s">
        <v>49</v>
      </c>
      <c r="C2044" s="15" t="s">
        <v>468</v>
      </c>
      <c r="D2044" s="15" t="s">
        <v>35</v>
      </c>
      <c r="E2044" s="15" t="s">
        <v>35</v>
      </c>
      <c r="F2044" s="15" t="s">
        <v>2857</v>
      </c>
      <c r="G2044" s="15" t="s">
        <v>36</v>
      </c>
      <c r="H2044" s="15" t="s">
        <v>7730</v>
      </c>
      <c r="I2044" s="15" t="s">
        <v>7731</v>
      </c>
      <c r="J2044" s="15" t="s">
        <v>7732</v>
      </c>
      <c r="K2044" s="15" t="s">
        <v>40</v>
      </c>
      <c r="L2044" s="15" t="s">
        <v>41</v>
      </c>
      <c r="M2044" s="15" t="s">
        <v>55</v>
      </c>
      <c r="N2044" s="15" t="s">
        <v>56</v>
      </c>
      <c r="O2044" s="15" t="s">
        <v>44</v>
      </c>
      <c r="P2044" s="15" t="s">
        <v>7733</v>
      </c>
      <c r="Q2044" s="15" t="s">
        <v>7734</v>
      </c>
      <c r="R2044" s="16">
        <v>44329</v>
      </c>
      <c r="S2044" s="17" t="s">
        <v>7866</v>
      </c>
      <c r="T2044" s="20">
        <f>HYPERLINK("https://vnm.spiral.com.vn//uploaded/20210513/BCC710ED-96BA-44AF-9377-159345DAD733.jpg","07:26:35")</f>
      </c>
      <c r="U2044" s="20">
        <f>HYPERLINK("https://vnm.spiral.com.vn//uploaded/20210513/7DD4BF4F-4555-4084-8D6E-F24846EE198A.jpg","11:33:26")</f>
      </c>
      <c r="V2044" s="18">
        <v>0.17142361111111112</v>
      </c>
      <c r="W2044" s="15" t="s">
        <v>10945</v>
      </c>
      <c r="X2044" s="15" t="s">
        <v>10946</v>
      </c>
      <c r="Y2044" s="15" t="s">
        <v>35</v>
      </c>
      <c r="Z2044" s="19">
        <v>0</v>
      </c>
      <c r="AA2044" s="15">
        <v>0</v>
      </c>
      <c r="AB2044" s="15" t="s">
        <v>35</v>
      </c>
    </row>
    <row r="2045">
      <c r="A2045" s="15">
        <v>2041</v>
      </c>
      <c r="B2045" s="15" t="s">
        <v>343</v>
      </c>
      <c r="C2045" s="15" t="s">
        <v>344</v>
      </c>
      <c r="D2045" s="15" t="s">
        <v>35</v>
      </c>
      <c r="E2045" s="15" t="s">
        <v>35</v>
      </c>
      <c r="F2045" s="15" t="s">
        <v>6691</v>
      </c>
      <c r="G2045" s="15" t="s">
        <v>36</v>
      </c>
      <c r="H2045" s="15" t="s">
        <v>6692</v>
      </c>
      <c r="I2045" s="15" t="s">
        <v>6693</v>
      </c>
      <c r="J2045" s="15" t="s">
        <v>6694</v>
      </c>
      <c r="K2045" s="15" t="s">
        <v>40</v>
      </c>
      <c r="L2045" s="15" t="s">
        <v>41</v>
      </c>
      <c r="M2045" s="15" t="s">
        <v>595</v>
      </c>
      <c r="N2045" s="15" t="s">
        <v>596</v>
      </c>
      <c r="O2045" s="15" t="s">
        <v>44</v>
      </c>
      <c r="P2045" s="15" t="s">
        <v>6695</v>
      </c>
      <c r="Q2045" s="15" t="s">
        <v>6696</v>
      </c>
      <c r="R2045" s="16">
        <v>44329</v>
      </c>
      <c r="S2045" s="17" t="s">
        <v>7866</v>
      </c>
      <c r="T2045" s="20">
        <f>HYPERLINK("https://vnm.spiral.com.vn//uploaded/20210513/9272F407-9C6B-4F71-835E-F4A522EB2734.jpg","07:31:56")</f>
      </c>
      <c r="U2045" s="20">
        <f>HYPERLINK("https://vnm.spiral.com.vn//uploaded/20210513/1A4563CA-8BAE-4866-BCEC-61A914AA203F.jpg","11:33:23")</f>
      </c>
      <c r="V2045" s="18">
        <v>0.16767361111111112</v>
      </c>
      <c r="W2045" s="15" t="s">
        <v>10947</v>
      </c>
      <c r="X2045" s="15" t="s">
        <v>10948</v>
      </c>
      <c r="Y2045" s="15" t="s">
        <v>35</v>
      </c>
      <c r="Z2045" s="19">
        <v>0</v>
      </c>
      <c r="AA2045" s="15">
        <v>0</v>
      </c>
      <c r="AB2045" s="15" t="s">
        <v>35</v>
      </c>
    </row>
    <row r="2046">
      <c r="A2046" s="15">
        <v>2042</v>
      </c>
      <c r="B2046" s="15" t="s">
        <v>49</v>
      </c>
      <c r="C2046" s="15" t="s">
        <v>162</v>
      </c>
      <c r="D2046" s="15" t="s">
        <v>35</v>
      </c>
      <c r="E2046" s="15" t="s">
        <v>35</v>
      </c>
      <c r="F2046" s="15" t="s">
        <v>1221</v>
      </c>
      <c r="G2046" s="15" t="s">
        <v>36</v>
      </c>
      <c r="H2046" s="15" t="s">
        <v>8819</v>
      </c>
      <c r="I2046" s="15" t="s">
        <v>4338</v>
      </c>
      <c r="J2046" s="15" t="s">
        <v>8820</v>
      </c>
      <c r="K2046" s="15" t="s">
        <v>40</v>
      </c>
      <c r="L2046" s="15" t="s">
        <v>41</v>
      </c>
      <c r="M2046" s="15" t="s">
        <v>55</v>
      </c>
      <c r="N2046" s="15" t="s">
        <v>56</v>
      </c>
      <c r="O2046" s="15" t="s">
        <v>44</v>
      </c>
      <c r="P2046" s="15" t="s">
        <v>8821</v>
      </c>
      <c r="Q2046" s="15" t="s">
        <v>8822</v>
      </c>
      <c r="R2046" s="16">
        <v>44329</v>
      </c>
      <c r="S2046" s="17" t="s">
        <v>3018</v>
      </c>
      <c r="T2046" s="20">
        <f>HYPERLINK("https://vnm.spiral.com.vn//uploaded/20210513/98e55cde-494d-4d79-81a6-358a6cd620fa.JPEG","08:01:13")</f>
      </c>
      <c r="U2046" s="20">
        <f>HYPERLINK("https://vnm.spiral.com.vn//uploaded/20210513/eab239cc-c7d4-49c4-8274-9b60bddd9b78.JPEG","11:33:18")</f>
      </c>
      <c r="V2046" s="18">
        <v>0.1472800925925926</v>
      </c>
      <c r="W2046" s="15" t="s">
        <v>10949</v>
      </c>
      <c r="X2046" s="15" t="s">
        <v>10950</v>
      </c>
      <c r="Y2046" s="15" t="s">
        <v>35</v>
      </c>
      <c r="Z2046" s="19">
        <v>0</v>
      </c>
      <c r="AA2046" s="15">
        <v>0</v>
      </c>
      <c r="AB2046" s="15" t="s">
        <v>35</v>
      </c>
    </row>
    <row r="2047">
      <c r="A2047" s="15">
        <v>2043</v>
      </c>
      <c r="B2047" s="15" t="s">
        <v>246</v>
      </c>
      <c r="C2047" s="15" t="s">
        <v>782</v>
      </c>
      <c r="D2047" s="15" t="s">
        <v>89</v>
      </c>
      <c r="E2047" s="15" t="s">
        <v>90</v>
      </c>
      <c r="F2047" s="15" t="s">
        <v>35</v>
      </c>
      <c r="G2047" s="15" t="s">
        <v>74</v>
      </c>
      <c r="H2047" s="15" t="s">
        <v>3405</v>
      </c>
      <c r="I2047" s="15" t="s">
        <v>3406</v>
      </c>
      <c r="J2047" s="15" t="s">
        <v>3407</v>
      </c>
      <c r="K2047" s="15" t="s">
        <v>263</v>
      </c>
      <c r="L2047" s="15" t="s">
        <v>264</v>
      </c>
      <c r="M2047" s="15" t="s">
        <v>280</v>
      </c>
      <c r="N2047" s="15" t="s">
        <v>281</v>
      </c>
      <c r="O2047" s="15" t="s">
        <v>156</v>
      </c>
      <c r="P2047" s="15" t="s">
        <v>3408</v>
      </c>
      <c r="Q2047" s="15" t="s">
        <v>283</v>
      </c>
      <c r="R2047" s="16">
        <v>44329</v>
      </c>
      <c r="S2047" s="17" t="s">
        <v>10687</v>
      </c>
      <c r="T2047" s="20">
        <f>HYPERLINK("https://vnm.spiral.com.vn//uploaded/20210513/675643f7-dc40-4800-a1b0-d0d8d06ed543.JPEG","06:38:01")</f>
      </c>
      <c r="U2047" s="20">
        <f>HYPERLINK("https://vnm.spiral.com.vn//uploaded/20210513/d2f46084-10ea-4145-981b-7e5b791865b5.JPEG","11:33:14")</f>
      </c>
      <c r="V2047" s="18">
        <v>0.20501157407407408</v>
      </c>
      <c r="W2047" s="15" t="s">
        <v>10951</v>
      </c>
      <c r="X2047" s="15" t="s">
        <v>10952</v>
      </c>
      <c r="Y2047" s="15" t="s">
        <v>35</v>
      </c>
      <c r="Z2047" s="19">
        <v>0</v>
      </c>
      <c r="AA2047" s="15">
        <v>0</v>
      </c>
      <c r="AB2047" s="15" t="s">
        <v>35</v>
      </c>
    </row>
    <row r="2048">
      <c r="A2048" s="15">
        <v>2044</v>
      </c>
      <c r="B2048" s="15" t="s">
        <v>246</v>
      </c>
      <c r="C2048" s="15" t="s">
        <v>2005</v>
      </c>
      <c r="D2048" s="15" t="s">
        <v>89</v>
      </c>
      <c r="E2048" s="15" t="s">
        <v>90</v>
      </c>
      <c r="F2048" s="15" t="s">
        <v>35</v>
      </c>
      <c r="G2048" s="15" t="s">
        <v>74</v>
      </c>
      <c r="H2048" s="15" t="s">
        <v>2934</v>
      </c>
      <c r="I2048" s="15" t="s">
        <v>2935</v>
      </c>
      <c r="J2048" s="15" t="s">
        <v>2936</v>
      </c>
      <c r="K2048" s="15" t="s">
        <v>263</v>
      </c>
      <c r="L2048" s="15" t="s">
        <v>264</v>
      </c>
      <c r="M2048" s="15" t="s">
        <v>2009</v>
      </c>
      <c r="N2048" s="15" t="s">
        <v>2010</v>
      </c>
      <c r="O2048" s="15" t="s">
        <v>156</v>
      </c>
      <c r="P2048" s="15" t="s">
        <v>10824</v>
      </c>
      <c r="Q2048" s="15" t="s">
        <v>7233</v>
      </c>
      <c r="R2048" s="16">
        <v>44329</v>
      </c>
      <c r="S2048" s="17" t="s">
        <v>7866</v>
      </c>
      <c r="T2048" s="20">
        <f>HYPERLINK("https://vnm.spiral.com.vn//uploaded/20210513/eff4372f-2982-4ff4-9ad5-fc57ceacd3d0.JPEG","07:20:45")</f>
      </c>
      <c r="U2048" s="20">
        <f>HYPERLINK("https://vnm.spiral.com.vn//uploaded/20210513/f240bd93-8429-410c-a5a2-1563f859c04d.JPEG","11:33:12")</f>
      </c>
      <c r="V2048" s="18">
        <v>0.1753125</v>
      </c>
      <c r="W2048" s="15" t="s">
        <v>10953</v>
      </c>
      <c r="X2048" s="15" t="s">
        <v>10954</v>
      </c>
      <c r="Y2048" s="15" t="s">
        <v>35</v>
      </c>
      <c r="Z2048" s="19">
        <v>0</v>
      </c>
      <c r="AA2048" s="15">
        <v>0</v>
      </c>
      <c r="AB2048" s="15" t="s">
        <v>35</v>
      </c>
    </row>
    <row r="2049">
      <c r="A2049" s="15">
        <v>2045</v>
      </c>
      <c r="B2049" s="15" t="s">
        <v>103</v>
      </c>
      <c r="C2049" s="15" t="s">
        <v>186</v>
      </c>
      <c r="D2049" s="15" t="s">
        <v>35</v>
      </c>
      <c r="E2049" s="15" t="s">
        <v>35</v>
      </c>
      <c r="F2049" s="15" t="s">
        <v>35</v>
      </c>
      <c r="G2049" s="15" t="s">
        <v>36</v>
      </c>
      <c r="H2049" s="15" t="s">
        <v>6897</v>
      </c>
      <c r="I2049" s="15" t="s">
        <v>6898</v>
      </c>
      <c r="J2049" s="15" t="s">
        <v>6899</v>
      </c>
      <c r="K2049" s="15" t="s">
        <v>40</v>
      </c>
      <c r="L2049" s="15" t="s">
        <v>41</v>
      </c>
      <c r="M2049" s="15" t="s">
        <v>565</v>
      </c>
      <c r="N2049" s="15" t="s">
        <v>566</v>
      </c>
      <c r="O2049" s="15" t="s">
        <v>44</v>
      </c>
      <c r="P2049" s="15" t="s">
        <v>6900</v>
      </c>
      <c r="Q2049" s="15" t="s">
        <v>6901</v>
      </c>
      <c r="R2049" s="16">
        <v>44329</v>
      </c>
      <c r="S2049" s="17" t="s">
        <v>7866</v>
      </c>
      <c r="T2049" s="20">
        <f>HYPERLINK("https://vnm.spiral.com.vn//uploaded/20210513/e1e72ae1-f7f1-40b4-9f3b-16f4a86ea226.JPEG","07:31:26")</f>
      </c>
      <c r="U2049" s="20">
        <f>HYPERLINK("https://vnm.spiral.com.vn//uploaded/20210513/77920460-9c4e-40aa-8120-c0dcc5e59a08.JPEG","11:33:12")</f>
      </c>
      <c r="V2049" s="18">
        <v>0.16789351851851853</v>
      </c>
      <c r="W2049" s="15" t="s">
        <v>10955</v>
      </c>
      <c r="X2049" s="15" t="s">
        <v>10956</v>
      </c>
      <c r="Y2049" s="15" t="s">
        <v>35</v>
      </c>
      <c r="Z2049" s="19">
        <v>0</v>
      </c>
      <c r="AA2049" s="15">
        <v>0</v>
      </c>
      <c r="AB2049" s="15" t="s">
        <v>35</v>
      </c>
    </row>
    <row r="2050">
      <c r="A2050" s="15">
        <v>2046</v>
      </c>
      <c r="B2050" s="15" t="s">
        <v>246</v>
      </c>
      <c r="C2050" s="15" t="s">
        <v>259</v>
      </c>
      <c r="D2050" s="15" t="s">
        <v>35</v>
      </c>
      <c r="E2050" s="15" t="s">
        <v>35</v>
      </c>
      <c r="F2050" s="15" t="s">
        <v>1352</v>
      </c>
      <c r="G2050" s="15" t="s">
        <v>36</v>
      </c>
      <c r="H2050" s="15" t="s">
        <v>5511</v>
      </c>
      <c r="I2050" s="15" t="s">
        <v>5512</v>
      </c>
      <c r="J2050" s="15" t="s">
        <v>5513</v>
      </c>
      <c r="K2050" s="15" t="s">
        <v>40</v>
      </c>
      <c r="L2050" s="15" t="s">
        <v>41</v>
      </c>
      <c r="M2050" s="15" t="s">
        <v>252</v>
      </c>
      <c r="N2050" s="15" t="s">
        <v>253</v>
      </c>
      <c r="O2050" s="15" t="s">
        <v>44</v>
      </c>
      <c r="P2050" s="15" t="s">
        <v>5514</v>
      </c>
      <c r="Q2050" s="15" t="s">
        <v>5515</v>
      </c>
      <c r="R2050" s="16">
        <v>44329</v>
      </c>
      <c r="S2050" s="17" t="s">
        <v>7866</v>
      </c>
      <c r="T2050" s="20">
        <f>HYPERLINK("https://vnm.spiral.com.vn//uploaded/20210513/108f3828-5a35-4e6c-8db2-f38cbc13c226.JPEG","07:35:52")</f>
      </c>
      <c r="U2050" s="20">
        <f>HYPERLINK("https://vnm.spiral.com.vn//uploaded/20210513/93b11de7-da70-448d-8ce5-c7478d382583.JPEG","11:33:10")</f>
      </c>
      <c r="V2050" s="18">
        <v>0.16479166666666667</v>
      </c>
      <c r="W2050" s="15" t="s">
        <v>10957</v>
      </c>
      <c r="X2050" s="15" t="s">
        <v>10958</v>
      </c>
      <c r="Y2050" s="15" t="s">
        <v>35</v>
      </c>
      <c r="Z2050" s="19">
        <v>0</v>
      </c>
      <c r="AA2050" s="15">
        <v>0</v>
      </c>
      <c r="AB2050" s="15" t="s">
        <v>35</v>
      </c>
    </row>
    <row r="2051">
      <c r="A2051" s="15">
        <v>2047</v>
      </c>
      <c r="B2051" s="15" t="s">
        <v>61</v>
      </c>
      <c r="C2051" s="15" t="s">
        <v>442</v>
      </c>
      <c r="D2051" s="15" t="s">
        <v>35</v>
      </c>
      <c r="E2051" s="15" t="s">
        <v>35</v>
      </c>
      <c r="F2051" s="15" t="s">
        <v>35</v>
      </c>
      <c r="G2051" s="15" t="s">
        <v>36</v>
      </c>
      <c r="H2051" s="15" t="s">
        <v>6274</v>
      </c>
      <c r="I2051" s="15" t="s">
        <v>6275</v>
      </c>
      <c r="J2051" s="15" t="s">
        <v>6276</v>
      </c>
      <c r="K2051" s="15" t="s">
        <v>40</v>
      </c>
      <c r="L2051" s="15" t="s">
        <v>41</v>
      </c>
      <c r="M2051" s="15" t="s">
        <v>205</v>
      </c>
      <c r="N2051" s="15" t="s">
        <v>206</v>
      </c>
      <c r="O2051" s="15" t="s">
        <v>44</v>
      </c>
      <c r="P2051" s="15" t="s">
        <v>6277</v>
      </c>
      <c r="Q2051" s="15" t="s">
        <v>6278</v>
      </c>
      <c r="R2051" s="16">
        <v>44329</v>
      </c>
      <c r="S2051" s="17" t="s">
        <v>7866</v>
      </c>
      <c r="T2051" s="20">
        <f>HYPERLINK("https://vnm.spiral.com.vn//uploaded/20210513/9428b3bb-8c94-4553-a2f3-a39458cff5b3.JPEG","07:38:48")</f>
      </c>
      <c r="U2051" s="20">
        <f>HYPERLINK("https://vnm.spiral.com.vn//uploaded/20210513/b70c769f-594d-4f70-82e4-7533d158f487.JPEG","11:33:06")</f>
      </c>
      <c r="V2051" s="18">
        <v>0.16270833333333334</v>
      </c>
      <c r="W2051" s="15" t="s">
        <v>10959</v>
      </c>
      <c r="X2051" s="15" t="s">
        <v>10960</v>
      </c>
      <c r="Y2051" s="15" t="s">
        <v>35</v>
      </c>
      <c r="Z2051" s="19">
        <v>0</v>
      </c>
      <c r="AA2051" s="15">
        <v>0</v>
      </c>
      <c r="AB2051" s="15" t="s">
        <v>35</v>
      </c>
    </row>
    <row r="2052">
      <c r="A2052" s="15">
        <v>2048</v>
      </c>
      <c r="B2052" s="15" t="s">
        <v>343</v>
      </c>
      <c r="C2052" s="15" t="s">
        <v>344</v>
      </c>
      <c r="D2052" s="15" t="s">
        <v>35</v>
      </c>
      <c r="E2052" s="15" t="s">
        <v>35</v>
      </c>
      <c r="F2052" s="15" t="s">
        <v>35</v>
      </c>
      <c r="G2052" s="15" t="s">
        <v>74</v>
      </c>
      <c r="H2052" s="15" t="s">
        <v>10961</v>
      </c>
      <c r="I2052" s="15" t="s">
        <v>10962</v>
      </c>
      <c r="J2052" s="15" t="s">
        <v>10963</v>
      </c>
      <c r="K2052" s="15" t="s">
        <v>584</v>
      </c>
      <c r="L2052" s="15" t="s">
        <v>585</v>
      </c>
      <c r="M2052" s="15" t="s">
        <v>827</v>
      </c>
      <c r="N2052" s="15" t="s">
        <v>828</v>
      </c>
      <c r="O2052" s="15" t="s">
        <v>82</v>
      </c>
      <c r="P2052" s="15" t="s">
        <v>2717</v>
      </c>
      <c r="Q2052" s="15" t="s">
        <v>2718</v>
      </c>
      <c r="R2052" s="16">
        <v>44329</v>
      </c>
      <c r="S2052" s="17" t="s">
        <v>70</v>
      </c>
      <c r="T2052" s="20">
        <f>HYPERLINK("https://vnm.spiral.com.vn//uploaded/20210513/94B56DDE-78D3-4747-BA64-E4985D614318.jpg","11:17:35")</f>
      </c>
      <c r="U2052" s="20">
        <f>HYPERLINK("https://vnm.spiral.com.vn//uploaded/20210513/336B6B4F-7536-41F5-BCCC-5D8E56693242.jpg","11:33:03")</f>
      </c>
      <c r="V2052" s="18">
        <v>0.01074074074074074</v>
      </c>
      <c r="W2052" s="15" t="s">
        <v>10964</v>
      </c>
      <c r="X2052" s="15" t="s">
        <v>10965</v>
      </c>
      <c r="Y2052" s="15" t="s">
        <v>35</v>
      </c>
      <c r="Z2052" s="19">
        <v>0</v>
      </c>
      <c r="AA2052" s="15">
        <v>0</v>
      </c>
      <c r="AB2052" s="15" t="s">
        <v>35</v>
      </c>
    </row>
    <row r="2053">
      <c r="A2053" s="15">
        <v>2049</v>
      </c>
      <c r="B2053" s="15" t="s">
        <v>33</v>
      </c>
      <c r="C2053" s="15" t="s">
        <v>2883</v>
      </c>
      <c r="D2053" s="15" t="s">
        <v>35</v>
      </c>
      <c r="E2053" s="15" t="s">
        <v>35</v>
      </c>
      <c r="F2053" s="15" t="s">
        <v>35</v>
      </c>
      <c r="G2053" s="15" t="s">
        <v>36</v>
      </c>
      <c r="H2053" s="15" t="s">
        <v>8195</v>
      </c>
      <c r="I2053" s="15" t="s">
        <v>8196</v>
      </c>
      <c r="J2053" s="15" t="s">
        <v>8197</v>
      </c>
      <c r="K2053" s="15" t="s">
        <v>40</v>
      </c>
      <c r="L2053" s="15" t="s">
        <v>41</v>
      </c>
      <c r="M2053" s="15" t="s">
        <v>42</v>
      </c>
      <c r="N2053" s="15" t="s">
        <v>43</v>
      </c>
      <c r="O2053" s="15" t="s">
        <v>44</v>
      </c>
      <c r="P2053" s="15" t="s">
        <v>8198</v>
      </c>
      <c r="Q2053" s="15" t="s">
        <v>8199</v>
      </c>
      <c r="R2053" s="16">
        <v>44329</v>
      </c>
      <c r="S2053" s="17" t="s">
        <v>7866</v>
      </c>
      <c r="T2053" s="20">
        <f>HYPERLINK("https://vnm.spiral.com.vn//uploaded/20210513/3CDC105A-EBC4-4A37-8EA8-CBE4F678E264.jpg","07:10:27")</f>
      </c>
      <c r="U2053" s="20">
        <f>HYPERLINK("https://vnm.spiral.com.vn//uploaded/20210513/21736104-67DF-4B34-A922-33CF80266625.jpg","11:32:56")</f>
      </c>
      <c r="V2053" s="18">
        <v>0.1822800925925926</v>
      </c>
      <c r="W2053" s="15" t="s">
        <v>10966</v>
      </c>
      <c r="X2053" s="15" t="s">
        <v>10967</v>
      </c>
      <c r="Y2053" s="15" t="s">
        <v>35</v>
      </c>
      <c r="Z2053" s="19">
        <v>0</v>
      </c>
      <c r="AA2053" s="15">
        <v>0</v>
      </c>
      <c r="AB2053" s="15" t="s">
        <v>35</v>
      </c>
    </row>
    <row r="2054">
      <c r="A2054" s="15">
        <v>2050</v>
      </c>
      <c r="B2054" s="15" t="s">
        <v>103</v>
      </c>
      <c r="C2054" s="15" t="s">
        <v>1078</v>
      </c>
      <c r="D2054" s="15" t="s">
        <v>35</v>
      </c>
      <c r="E2054" s="15" t="s">
        <v>35</v>
      </c>
      <c r="F2054" s="15" t="s">
        <v>35</v>
      </c>
      <c r="G2054" s="15" t="s">
        <v>35</v>
      </c>
      <c r="H2054" s="15" t="s">
        <v>7412</v>
      </c>
      <c r="I2054" s="15" t="s">
        <v>7413</v>
      </c>
      <c r="J2054" s="15" t="s">
        <v>7414</v>
      </c>
      <c r="K2054" s="15" t="s">
        <v>40</v>
      </c>
      <c r="L2054" s="15" t="s">
        <v>41</v>
      </c>
      <c r="M2054" s="15" t="s">
        <v>565</v>
      </c>
      <c r="N2054" s="15" t="s">
        <v>566</v>
      </c>
      <c r="O2054" s="15" t="s">
        <v>44</v>
      </c>
      <c r="P2054" s="15" t="s">
        <v>7415</v>
      </c>
      <c r="Q2054" s="15" t="s">
        <v>7416</v>
      </c>
      <c r="R2054" s="16">
        <v>44329</v>
      </c>
      <c r="S2054" s="17" t="s">
        <v>7866</v>
      </c>
      <c r="T2054" s="20">
        <f>HYPERLINK("https://vnm.spiral.com.vn//uploaded/20210513/73ac5df4-3fcc-415f-a680-5314c913a31a.JPEG","07:31:21")</f>
      </c>
      <c r="U2054" s="20">
        <f>HYPERLINK("https://vnm.spiral.com.vn//uploaded/20210513/c1507f28-6934-48f8-bbb7-91f7f86b643e.JPEG","11:32:51")</f>
      </c>
      <c r="V2054" s="18">
        <v>0.16770833333333332</v>
      </c>
      <c r="W2054" s="15" t="s">
        <v>10968</v>
      </c>
      <c r="X2054" s="15" t="s">
        <v>10969</v>
      </c>
      <c r="Y2054" s="15" t="s">
        <v>35</v>
      </c>
      <c r="Z2054" s="19">
        <v>0</v>
      </c>
      <c r="AA2054" s="15">
        <v>0</v>
      </c>
      <c r="AB2054" s="15" t="s">
        <v>35</v>
      </c>
    </row>
    <row r="2055">
      <c r="A2055" s="15">
        <v>2051</v>
      </c>
      <c r="B2055" s="15" t="s">
        <v>87</v>
      </c>
      <c r="C2055" s="15" t="s">
        <v>88</v>
      </c>
      <c r="D2055" s="15" t="s">
        <v>35</v>
      </c>
      <c r="E2055" s="15" t="s">
        <v>35</v>
      </c>
      <c r="F2055" s="15" t="s">
        <v>35</v>
      </c>
      <c r="G2055" s="15" t="s">
        <v>36</v>
      </c>
      <c r="H2055" s="15" t="s">
        <v>10970</v>
      </c>
      <c r="I2055" s="15" t="s">
        <v>10971</v>
      </c>
      <c r="J2055" s="15" t="s">
        <v>10972</v>
      </c>
      <c r="K2055" s="15" t="s">
        <v>40</v>
      </c>
      <c r="L2055" s="15" t="s">
        <v>41</v>
      </c>
      <c r="M2055" s="15" t="s">
        <v>1195</v>
      </c>
      <c r="N2055" s="15" t="s">
        <v>1196</v>
      </c>
      <c r="O2055" s="15" t="s">
        <v>44</v>
      </c>
      <c r="P2055" s="15" t="s">
        <v>4993</v>
      </c>
      <c r="Q2055" s="15" t="s">
        <v>4994</v>
      </c>
      <c r="R2055" s="16">
        <v>44329</v>
      </c>
      <c r="S2055" s="17" t="s">
        <v>7866</v>
      </c>
      <c r="T2055" s="20">
        <f>HYPERLINK("https://vnm.spiral.com.vn//uploaded/20210513/86F6D2C9-BA50-4EC1-9533-973BB2A99212.jpg","07:28:11")</f>
      </c>
      <c r="U2055" s="20">
        <f>HYPERLINK("https://vnm.spiral.com.vn//uploaded/20210513/1529D428-0946-4355-9E06-36E460EE0FE5.jpg","11:32:45")</f>
      </c>
      <c r="V2055" s="18">
        <v>0.16983796296296297</v>
      </c>
      <c r="W2055" s="15" t="s">
        <v>10973</v>
      </c>
      <c r="X2055" s="15" t="s">
        <v>10974</v>
      </c>
      <c r="Y2055" s="15" t="s">
        <v>35</v>
      </c>
      <c r="Z2055" s="19">
        <v>0</v>
      </c>
      <c r="AA2055" s="15">
        <v>0</v>
      </c>
      <c r="AB2055" s="15" t="s">
        <v>35</v>
      </c>
    </row>
    <row r="2056">
      <c r="A2056" s="15">
        <v>2052</v>
      </c>
      <c r="B2056" s="15" t="s">
        <v>61</v>
      </c>
      <c r="C2056" s="15" t="s">
        <v>320</v>
      </c>
      <c r="D2056" s="15" t="s">
        <v>35</v>
      </c>
      <c r="E2056" s="15" t="s">
        <v>35</v>
      </c>
      <c r="F2056" s="15" t="s">
        <v>35</v>
      </c>
      <c r="G2056" s="15" t="s">
        <v>36</v>
      </c>
      <c r="H2056" s="15" t="s">
        <v>6214</v>
      </c>
      <c r="I2056" s="15" t="s">
        <v>6215</v>
      </c>
      <c r="J2056" s="15" t="s">
        <v>6216</v>
      </c>
      <c r="K2056" s="15" t="s">
        <v>40</v>
      </c>
      <c r="L2056" s="15" t="s">
        <v>41</v>
      </c>
      <c r="M2056" s="15" t="s">
        <v>205</v>
      </c>
      <c r="N2056" s="15" t="s">
        <v>206</v>
      </c>
      <c r="O2056" s="15" t="s">
        <v>44</v>
      </c>
      <c r="P2056" s="15" t="s">
        <v>6217</v>
      </c>
      <c r="Q2056" s="15" t="s">
        <v>6218</v>
      </c>
      <c r="R2056" s="16">
        <v>44329</v>
      </c>
      <c r="S2056" s="17" t="s">
        <v>317</v>
      </c>
      <c r="T2056" s="20">
        <f>HYPERLINK("https://vnm.spiral.com.vn//uploaded/20210513/271ab070-80c2-46d1-8896-7ae44f741e67.JPEG","07:37:15")</f>
      </c>
      <c r="U2056" s="20">
        <f>HYPERLINK("https://vnm.spiral.com.vn//uploaded/20210513/9e9772e3-0bb9-48ce-89ef-b64fb9d4dbfb.JPEG","11:32:43")</f>
      </c>
      <c r="V2056" s="18">
        <v>0.1635185185185185</v>
      </c>
      <c r="W2056" s="15" t="s">
        <v>10975</v>
      </c>
      <c r="X2056" s="15" t="s">
        <v>10976</v>
      </c>
      <c r="Y2056" s="15" t="s">
        <v>35</v>
      </c>
      <c r="Z2056" s="19">
        <v>0</v>
      </c>
      <c r="AA2056" s="15">
        <v>0</v>
      </c>
      <c r="AB2056" s="15" t="s">
        <v>35</v>
      </c>
    </row>
    <row r="2057">
      <c r="A2057" s="15">
        <v>2053</v>
      </c>
      <c r="B2057" s="15" t="s">
        <v>246</v>
      </c>
      <c r="C2057" s="15" t="s">
        <v>259</v>
      </c>
      <c r="D2057" s="15" t="s">
        <v>304</v>
      </c>
      <c r="E2057" s="15" t="s">
        <v>305</v>
      </c>
      <c r="F2057" s="15" t="s">
        <v>35</v>
      </c>
      <c r="G2057" s="15" t="s">
        <v>74</v>
      </c>
      <c r="H2057" s="15" t="s">
        <v>10838</v>
      </c>
      <c r="I2057" s="15" t="s">
        <v>10839</v>
      </c>
      <c r="J2057" s="15" t="s">
        <v>10840</v>
      </c>
      <c r="K2057" s="15" t="s">
        <v>166</v>
      </c>
      <c r="L2057" s="15" t="s">
        <v>167</v>
      </c>
      <c r="M2057" s="15" t="s">
        <v>263</v>
      </c>
      <c r="N2057" s="15" t="s">
        <v>264</v>
      </c>
      <c r="O2057" s="15" t="s">
        <v>98</v>
      </c>
      <c r="P2057" s="15" t="s">
        <v>1510</v>
      </c>
      <c r="Q2057" s="15" t="s">
        <v>1511</v>
      </c>
      <c r="R2057" s="16">
        <v>44329</v>
      </c>
      <c r="S2057" s="17" t="s">
        <v>35</v>
      </c>
      <c r="T2057" s="20">
        <f>HYPERLINK("https://vnm.spiral.com.vn//uploaded/20210513/E52B992D-356E-4C88-A291-A6EA55E54F3A.jpg","07:53:30")</f>
      </c>
      <c r="U2057" s="20">
        <f>HYPERLINK("https://vnm.spiral.com.vn//uploaded/20210513/BB883624-35B4-40F1-ACD0-AA58D697A4F4.jpg","11:32:43")</f>
      </c>
      <c r="V2057" s="18">
        <v>0.1522337962962963</v>
      </c>
      <c r="W2057" s="15" t="s">
        <v>10977</v>
      </c>
      <c r="X2057" s="15" t="s">
        <v>10978</v>
      </c>
      <c r="Y2057" s="15" t="s">
        <v>35</v>
      </c>
      <c r="Z2057" s="19">
        <v>0</v>
      </c>
      <c r="AA2057" s="15">
        <v>0</v>
      </c>
      <c r="AB2057" s="15" t="s">
        <v>35</v>
      </c>
    </row>
    <row r="2058">
      <c r="A2058" s="15">
        <v>2054</v>
      </c>
      <c r="B2058" s="15" t="s">
        <v>103</v>
      </c>
      <c r="C2058" s="15" t="s">
        <v>104</v>
      </c>
      <c r="D2058" s="15" t="s">
        <v>432</v>
      </c>
      <c r="E2058" s="15" t="s">
        <v>116</v>
      </c>
      <c r="F2058" s="15" t="s">
        <v>35</v>
      </c>
      <c r="G2058" s="15" t="s">
        <v>74</v>
      </c>
      <c r="H2058" s="15" t="s">
        <v>10979</v>
      </c>
      <c r="I2058" s="15" t="s">
        <v>10980</v>
      </c>
      <c r="J2058" s="15" t="s">
        <v>10981</v>
      </c>
      <c r="K2058" s="15" t="s">
        <v>915</v>
      </c>
      <c r="L2058" s="15" t="s">
        <v>916</v>
      </c>
      <c r="M2058" s="15" t="s">
        <v>897</v>
      </c>
      <c r="N2058" s="15" t="s">
        <v>898</v>
      </c>
      <c r="O2058" s="15" t="s">
        <v>82</v>
      </c>
      <c r="P2058" s="15" t="s">
        <v>1446</v>
      </c>
      <c r="Q2058" s="15" t="s">
        <v>1447</v>
      </c>
      <c r="R2058" s="16">
        <v>44329</v>
      </c>
      <c r="S2058" s="17" t="s">
        <v>70</v>
      </c>
      <c r="T2058" s="20">
        <f>HYPERLINK("https://vnm.spiral.com.vn//uploaded/20210513/36d43737-2ed3-47c0-87dd-4ef61d357469.JPEG","10:08:32")</f>
      </c>
      <c r="U2058" s="20">
        <f>HYPERLINK("https://vnm.spiral.com.vn//uploaded/20210513/5406b637-e51d-4b93-b4fa-49faf2fd4bf1.JPEG","11:32:36")</f>
      </c>
      <c r="V2058" s="18">
        <v>0.05837962962962963</v>
      </c>
      <c r="W2058" s="15" t="s">
        <v>10982</v>
      </c>
      <c r="X2058" s="15" t="s">
        <v>10983</v>
      </c>
      <c r="Y2058" s="15" t="s">
        <v>35</v>
      </c>
      <c r="Z2058" s="19">
        <v>0</v>
      </c>
      <c r="AA2058" s="15">
        <v>0</v>
      </c>
      <c r="AB2058" s="15" t="s">
        <v>35</v>
      </c>
    </row>
    <row r="2059">
      <c r="A2059" s="15">
        <v>2055</v>
      </c>
      <c r="B2059" s="15" t="s">
        <v>343</v>
      </c>
      <c r="C2059" s="15" t="s">
        <v>344</v>
      </c>
      <c r="D2059" s="15" t="s">
        <v>35</v>
      </c>
      <c r="E2059" s="15" t="s">
        <v>35</v>
      </c>
      <c r="F2059" s="15" t="s">
        <v>35</v>
      </c>
      <c r="G2059" s="15" t="s">
        <v>36</v>
      </c>
      <c r="H2059" s="15" t="s">
        <v>10984</v>
      </c>
      <c r="I2059" s="15" t="s">
        <v>1465</v>
      </c>
      <c r="J2059" s="15" t="s">
        <v>10985</v>
      </c>
      <c r="K2059" s="15" t="s">
        <v>40</v>
      </c>
      <c r="L2059" s="15" t="s">
        <v>41</v>
      </c>
      <c r="M2059" s="15" t="s">
        <v>595</v>
      </c>
      <c r="N2059" s="15" t="s">
        <v>596</v>
      </c>
      <c r="O2059" s="15" t="s">
        <v>44</v>
      </c>
      <c r="P2059" s="15" t="s">
        <v>6867</v>
      </c>
      <c r="Q2059" s="15" t="s">
        <v>3616</v>
      </c>
      <c r="R2059" s="16">
        <v>44329</v>
      </c>
      <c r="S2059" s="17" t="s">
        <v>7866</v>
      </c>
      <c r="T2059" s="20">
        <f>HYPERLINK("https://vnm.spiral.com.vn//uploaded/20210513/7d9f8a7b-fb72-4fa3-b55a-51f07ba3a5b3.JPEG","07:25:52")</f>
      </c>
      <c r="U2059" s="20">
        <f>HYPERLINK("https://vnm.spiral.com.vn//uploaded/20210513/80e5f232-e7b4-47f8-bf4e-72e0454eb73f.JPEG","11:32:34")</f>
      </c>
      <c r="V2059" s="18">
        <v>0.17131944444444444</v>
      </c>
      <c r="W2059" s="15" t="s">
        <v>10986</v>
      </c>
      <c r="X2059" s="15" t="s">
        <v>10987</v>
      </c>
      <c r="Y2059" s="15" t="s">
        <v>35</v>
      </c>
      <c r="Z2059" s="19">
        <v>0</v>
      </c>
      <c r="AA2059" s="15">
        <v>0</v>
      </c>
      <c r="AB2059" s="15" t="s">
        <v>35</v>
      </c>
    </row>
    <row r="2060">
      <c r="A2060" s="15">
        <v>2056</v>
      </c>
      <c r="B2060" s="15" t="s">
        <v>87</v>
      </c>
      <c r="C2060" s="15" t="s">
        <v>88</v>
      </c>
      <c r="D2060" s="15" t="s">
        <v>35</v>
      </c>
      <c r="E2060" s="15" t="s">
        <v>35</v>
      </c>
      <c r="F2060" s="15" t="s">
        <v>2667</v>
      </c>
      <c r="G2060" s="15" t="s">
        <v>36</v>
      </c>
      <c r="H2060" s="15" t="s">
        <v>3239</v>
      </c>
      <c r="I2060" s="15" t="s">
        <v>203</v>
      </c>
      <c r="J2060" s="15" t="s">
        <v>3240</v>
      </c>
      <c r="K2060" s="15" t="s">
        <v>40</v>
      </c>
      <c r="L2060" s="15" t="s">
        <v>41</v>
      </c>
      <c r="M2060" s="15" t="s">
        <v>1195</v>
      </c>
      <c r="N2060" s="15" t="s">
        <v>1196</v>
      </c>
      <c r="O2060" s="15" t="s">
        <v>44</v>
      </c>
      <c r="P2060" s="15" t="s">
        <v>3241</v>
      </c>
      <c r="Q2060" s="15" t="s">
        <v>3242</v>
      </c>
      <c r="R2060" s="16">
        <v>44329</v>
      </c>
      <c r="S2060" s="17" t="s">
        <v>317</v>
      </c>
      <c r="T2060" s="20">
        <f>HYPERLINK("https://vnm.spiral.com.vn//uploaded/20210513/d6693c98-04ea-46f4-b641-cf210b6cc6bd.JPEG","07:29:49")</f>
      </c>
      <c r="U2060" s="20">
        <f>HYPERLINK("https://vnm.spiral.com.vn//uploaded/20210513/879bea67-f984-4a31-860b-38a7295b2b0f.JPEG","11:32:27")</f>
      </c>
      <c r="V2060" s="18">
        <v>0.16849537037037038</v>
      </c>
      <c r="W2060" s="15" t="s">
        <v>10988</v>
      </c>
      <c r="X2060" s="15" t="s">
        <v>10989</v>
      </c>
      <c r="Y2060" s="15" t="s">
        <v>35</v>
      </c>
      <c r="Z2060" s="19">
        <v>0</v>
      </c>
      <c r="AA2060" s="15">
        <v>0</v>
      </c>
      <c r="AB2060" s="15" t="s">
        <v>35</v>
      </c>
    </row>
    <row r="2061">
      <c r="A2061" s="15">
        <v>2057</v>
      </c>
      <c r="B2061" s="15" t="s">
        <v>61</v>
      </c>
      <c r="C2061" s="15" t="s">
        <v>201</v>
      </c>
      <c r="D2061" s="15" t="s">
        <v>135</v>
      </c>
      <c r="E2061" s="15" t="s">
        <v>116</v>
      </c>
      <c r="F2061" s="15" t="s">
        <v>35</v>
      </c>
      <c r="G2061" s="15" t="s">
        <v>74</v>
      </c>
      <c r="H2061" s="15" t="s">
        <v>10990</v>
      </c>
      <c r="I2061" s="15" t="s">
        <v>10991</v>
      </c>
      <c r="J2061" s="15" t="s">
        <v>10992</v>
      </c>
      <c r="K2061" s="15" t="s">
        <v>152</v>
      </c>
      <c r="L2061" s="15" t="s">
        <v>153</v>
      </c>
      <c r="M2061" s="15" t="s">
        <v>154</v>
      </c>
      <c r="N2061" s="15" t="s">
        <v>155</v>
      </c>
      <c r="O2061" s="15" t="s">
        <v>82</v>
      </c>
      <c r="P2061" s="15" t="s">
        <v>2250</v>
      </c>
      <c r="Q2061" s="15" t="s">
        <v>2251</v>
      </c>
      <c r="R2061" s="16">
        <v>44329</v>
      </c>
      <c r="S2061" s="17" t="s">
        <v>70</v>
      </c>
      <c r="T2061" s="20">
        <f>HYPERLINK("https://vnm.spiral.com.vn//uploaded/20210513/3ecb2e8c-c861-4b1e-831e-add41aad2029.JPEG","10:56:41")</f>
      </c>
      <c r="U2061" s="20">
        <f>HYPERLINK("https://vnm.spiral.com.vn//uploaded/20210513/477ab5f8-d88b-483d-a9e1-ab2aed6d7ff9.JPEG","11:32:27")</f>
      </c>
      <c r="V2061" s="18">
        <v>0.024837962962962964</v>
      </c>
      <c r="W2061" s="15" t="s">
        <v>10993</v>
      </c>
      <c r="X2061" s="15" t="s">
        <v>10994</v>
      </c>
      <c r="Y2061" s="15" t="s">
        <v>35</v>
      </c>
      <c r="Z2061" s="19">
        <v>0</v>
      </c>
      <c r="AA2061" s="15">
        <v>0</v>
      </c>
      <c r="AB2061" s="15" t="s">
        <v>35</v>
      </c>
    </row>
    <row r="2062">
      <c r="A2062" s="15">
        <v>2058</v>
      </c>
      <c r="B2062" s="15" t="s">
        <v>246</v>
      </c>
      <c r="C2062" s="15" t="s">
        <v>247</v>
      </c>
      <c r="D2062" s="15" t="s">
        <v>35</v>
      </c>
      <c r="E2062" s="15" t="s">
        <v>35</v>
      </c>
      <c r="F2062" s="15" t="s">
        <v>248</v>
      </c>
      <c r="G2062" s="15" t="s">
        <v>36</v>
      </c>
      <c r="H2062" s="15" t="s">
        <v>6407</v>
      </c>
      <c r="I2062" s="15" t="s">
        <v>6408</v>
      </c>
      <c r="J2062" s="15" t="s">
        <v>6409</v>
      </c>
      <c r="K2062" s="15" t="s">
        <v>40</v>
      </c>
      <c r="L2062" s="15" t="s">
        <v>41</v>
      </c>
      <c r="M2062" s="15" t="s">
        <v>252</v>
      </c>
      <c r="N2062" s="15" t="s">
        <v>253</v>
      </c>
      <c r="O2062" s="15" t="s">
        <v>44</v>
      </c>
      <c r="P2062" s="15" t="s">
        <v>6410</v>
      </c>
      <c r="Q2062" s="15" t="s">
        <v>6411</v>
      </c>
      <c r="R2062" s="16">
        <v>44329</v>
      </c>
      <c r="S2062" s="17" t="s">
        <v>7866</v>
      </c>
      <c r="T2062" s="20">
        <f>HYPERLINK("https://vnm.spiral.com.vn//uploaded/20210513/7BAF87B3-86A4-410A-AEA1-1608A3E794C0.jpg","07:28:49")</f>
      </c>
      <c r="U2062" s="20">
        <f>HYPERLINK("https://vnm.spiral.com.vn//uploaded/20210513/089A6F70-4984-462D-97CE-2EFBA3047B47.jpg","11:32:24")</f>
      </c>
      <c r="V2062" s="18">
        <v>0.1691550925925926</v>
      </c>
      <c r="W2062" s="15" t="s">
        <v>10995</v>
      </c>
      <c r="X2062" s="15" t="s">
        <v>10996</v>
      </c>
      <c r="Y2062" s="15" t="s">
        <v>35</v>
      </c>
      <c r="Z2062" s="19">
        <v>0</v>
      </c>
      <c r="AA2062" s="15">
        <v>0</v>
      </c>
      <c r="AB2062" s="15" t="s">
        <v>35</v>
      </c>
    </row>
    <row r="2063">
      <c r="A2063" s="15">
        <v>2059</v>
      </c>
      <c r="B2063" s="15" t="s">
        <v>343</v>
      </c>
      <c r="C2063" s="15" t="s">
        <v>580</v>
      </c>
      <c r="D2063" s="15" t="s">
        <v>35</v>
      </c>
      <c r="E2063" s="15" t="s">
        <v>35</v>
      </c>
      <c r="F2063" s="15" t="s">
        <v>35</v>
      </c>
      <c r="G2063" s="15" t="s">
        <v>36</v>
      </c>
      <c r="H2063" s="15" t="s">
        <v>8495</v>
      </c>
      <c r="I2063" s="15" t="s">
        <v>8496</v>
      </c>
      <c r="J2063" s="15" t="s">
        <v>8497</v>
      </c>
      <c r="K2063" s="15" t="s">
        <v>40</v>
      </c>
      <c r="L2063" s="15" t="s">
        <v>41</v>
      </c>
      <c r="M2063" s="15" t="s">
        <v>595</v>
      </c>
      <c r="N2063" s="15" t="s">
        <v>596</v>
      </c>
      <c r="O2063" s="15" t="s">
        <v>44</v>
      </c>
      <c r="P2063" s="15" t="s">
        <v>8498</v>
      </c>
      <c r="Q2063" s="15" t="s">
        <v>8499</v>
      </c>
      <c r="R2063" s="16">
        <v>44329</v>
      </c>
      <c r="S2063" s="17" t="s">
        <v>7866</v>
      </c>
      <c r="T2063" s="20">
        <f>HYPERLINK("https://vnm.spiral.com.vn//uploaded/20210513/b5a4c0ca-884c-4a9b-af5c-788b4c857d4e.JPEG","07:25:54")</f>
      </c>
      <c r="U2063" s="20">
        <f>HYPERLINK("https://vnm.spiral.com.vn//uploaded/20210513/678311ee-480a-4e37-b071-204736298662.JPEG","11:32:23")</f>
      </c>
      <c r="V2063" s="18">
        <v>0.1711689814814815</v>
      </c>
      <c r="W2063" s="15" t="s">
        <v>10997</v>
      </c>
      <c r="X2063" s="15" t="s">
        <v>10998</v>
      </c>
      <c r="Y2063" s="15" t="s">
        <v>35</v>
      </c>
      <c r="Z2063" s="19">
        <v>0</v>
      </c>
      <c r="AA2063" s="15">
        <v>0</v>
      </c>
      <c r="AB2063" s="15" t="s">
        <v>35</v>
      </c>
    </row>
    <row r="2064">
      <c r="A2064" s="15">
        <v>2060</v>
      </c>
      <c r="B2064" s="15" t="s">
        <v>343</v>
      </c>
      <c r="C2064" s="15" t="s">
        <v>7476</v>
      </c>
      <c r="D2064" s="15" t="s">
        <v>35</v>
      </c>
      <c r="E2064" s="15" t="s">
        <v>35</v>
      </c>
      <c r="F2064" s="15" t="s">
        <v>35</v>
      </c>
      <c r="G2064" s="15" t="s">
        <v>36</v>
      </c>
      <c r="H2064" s="15" t="s">
        <v>7477</v>
      </c>
      <c r="I2064" s="15" t="s">
        <v>7478</v>
      </c>
      <c r="J2064" s="15" t="s">
        <v>7479</v>
      </c>
      <c r="K2064" s="15" t="s">
        <v>40</v>
      </c>
      <c r="L2064" s="15" t="s">
        <v>41</v>
      </c>
      <c r="M2064" s="15" t="s">
        <v>409</v>
      </c>
      <c r="N2064" s="15" t="s">
        <v>410</v>
      </c>
      <c r="O2064" s="15" t="s">
        <v>44</v>
      </c>
      <c r="P2064" s="15" t="s">
        <v>7480</v>
      </c>
      <c r="Q2064" s="15" t="s">
        <v>7481</v>
      </c>
      <c r="R2064" s="16">
        <v>44329</v>
      </c>
      <c r="S2064" s="17" t="s">
        <v>7866</v>
      </c>
      <c r="T2064" s="20">
        <f>HYPERLINK("https://vnm.spiral.com.vn//uploaded/20210513/a04512e9-c3b6-4d7b-be8b-24134aa329bc.JPEG","07:27:40")</f>
      </c>
      <c r="U2064" s="20">
        <f>HYPERLINK("https://vnm.spiral.com.vn//uploaded/20210513/b55cebf5-2e13-4de7-ba73-ad9c55cc4e0e.JPEG","11:32:09")</f>
      </c>
      <c r="V2064" s="18">
        <v>0.16978009259259258</v>
      </c>
      <c r="W2064" s="15" t="s">
        <v>10999</v>
      </c>
      <c r="X2064" s="15" t="s">
        <v>11000</v>
      </c>
      <c r="Y2064" s="15" t="s">
        <v>35</v>
      </c>
      <c r="Z2064" s="19">
        <v>0</v>
      </c>
      <c r="AA2064" s="15">
        <v>0</v>
      </c>
      <c r="AB2064" s="15" t="s">
        <v>35</v>
      </c>
    </row>
    <row r="2065">
      <c r="A2065" s="15">
        <v>2061</v>
      </c>
      <c r="B2065" s="15" t="s">
        <v>343</v>
      </c>
      <c r="C2065" s="15" t="s">
        <v>645</v>
      </c>
      <c r="D2065" s="15" t="s">
        <v>35</v>
      </c>
      <c r="E2065" s="15" t="s">
        <v>35</v>
      </c>
      <c r="F2065" s="15" t="s">
        <v>35</v>
      </c>
      <c r="G2065" s="15" t="s">
        <v>36</v>
      </c>
      <c r="H2065" s="15" t="s">
        <v>7209</v>
      </c>
      <c r="I2065" s="15" t="s">
        <v>7210</v>
      </c>
      <c r="J2065" s="15" t="s">
        <v>7211</v>
      </c>
      <c r="K2065" s="15" t="s">
        <v>40</v>
      </c>
      <c r="L2065" s="15" t="s">
        <v>41</v>
      </c>
      <c r="M2065" s="15" t="s">
        <v>42</v>
      </c>
      <c r="N2065" s="15" t="s">
        <v>43</v>
      </c>
      <c r="O2065" s="15" t="s">
        <v>44</v>
      </c>
      <c r="P2065" s="15" t="s">
        <v>7212</v>
      </c>
      <c r="Q2065" s="15" t="s">
        <v>7213</v>
      </c>
      <c r="R2065" s="16">
        <v>44329</v>
      </c>
      <c r="S2065" s="17" t="s">
        <v>10803</v>
      </c>
      <c r="T2065" s="20">
        <f>HYPERLINK("https://vnm.spiral.com.vn//uploaded/20210513/5ab9d27f-7dfc-4418-910e-56ea50c9033e.JPEG","08:25:04")</f>
      </c>
      <c r="U2065" s="20">
        <f>HYPERLINK("https://vnm.spiral.com.vn//uploaded/20210513/356af448-357d-41e5-b46a-f5f067c97044.JPEG","11:32:09")</f>
      </c>
      <c r="V2065" s="18">
        <v>0.12991898148148148</v>
      </c>
      <c r="W2065" s="15" t="s">
        <v>11001</v>
      </c>
      <c r="X2065" s="15" t="s">
        <v>11002</v>
      </c>
      <c r="Y2065" s="15" t="s">
        <v>35</v>
      </c>
      <c r="Z2065" s="19">
        <v>0</v>
      </c>
      <c r="AA2065" s="15">
        <v>0</v>
      </c>
      <c r="AB2065" s="15" t="s">
        <v>35</v>
      </c>
    </row>
    <row r="2066">
      <c r="A2066" s="15">
        <v>2062</v>
      </c>
      <c r="B2066" s="15" t="s">
        <v>61</v>
      </c>
      <c r="C2066" s="15" t="s">
        <v>737</v>
      </c>
      <c r="D2066" s="15" t="s">
        <v>35</v>
      </c>
      <c r="E2066" s="15" t="s">
        <v>35</v>
      </c>
      <c r="F2066" s="15" t="s">
        <v>35</v>
      </c>
      <c r="G2066" s="15" t="s">
        <v>36</v>
      </c>
      <c r="H2066" s="15" t="s">
        <v>11003</v>
      </c>
      <c r="I2066" s="15" t="s">
        <v>11004</v>
      </c>
      <c r="J2066" s="15" t="s">
        <v>11005</v>
      </c>
      <c r="K2066" s="15" t="s">
        <v>40</v>
      </c>
      <c r="L2066" s="15" t="s">
        <v>41</v>
      </c>
      <c r="M2066" s="15" t="s">
        <v>205</v>
      </c>
      <c r="N2066" s="15" t="s">
        <v>206</v>
      </c>
      <c r="O2066" s="15" t="s">
        <v>44</v>
      </c>
      <c r="P2066" s="15" t="s">
        <v>741</v>
      </c>
      <c r="Q2066" s="15" t="s">
        <v>742</v>
      </c>
      <c r="R2066" s="16">
        <v>44329</v>
      </c>
      <c r="S2066" s="17" t="s">
        <v>7866</v>
      </c>
      <c r="T2066" s="20">
        <f>HYPERLINK("https://vnm.spiral.com.vn//uploaded/20210513/e6e9b603-622e-440b-aeb7-8baa5dfc4711.JPEG","07:38:18")</f>
      </c>
      <c r="U2066" s="20">
        <f>HYPERLINK("https://vnm.spiral.com.vn//uploaded/20210513/3cdfe89a-c826-491a-8de8-2aaf860dfb86.JPEG","11:32:08")</f>
      </c>
      <c r="V2066" s="18">
        <v>0.16238425925925926</v>
      </c>
      <c r="W2066" s="15" t="s">
        <v>11006</v>
      </c>
      <c r="X2066" s="15" t="s">
        <v>11006</v>
      </c>
      <c r="Y2066" s="15" t="s">
        <v>35</v>
      </c>
      <c r="Z2066" s="19">
        <v>0</v>
      </c>
      <c r="AA2066" s="15">
        <v>0</v>
      </c>
      <c r="AB2066" s="15" t="s">
        <v>35</v>
      </c>
    </row>
    <row r="2067">
      <c r="A2067" s="15">
        <v>2063</v>
      </c>
      <c r="B2067" s="15" t="s">
        <v>103</v>
      </c>
      <c r="C2067" s="15" t="s">
        <v>104</v>
      </c>
      <c r="D2067" s="15" t="s">
        <v>35</v>
      </c>
      <c r="E2067" s="15" t="s">
        <v>35</v>
      </c>
      <c r="F2067" s="15" t="s">
        <v>35</v>
      </c>
      <c r="G2067" s="15" t="s">
        <v>35</v>
      </c>
      <c r="H2067" s="15" t="s">
        <v>2360</v>
      </c>
      <c r="I2067" s="15" t="s">
        <v>2361</v>
      </c>
      <c r="J2067" s="15" t="s">
        <v>2362</v>
      </c>
      <c r="K2067" s="15" t="s">
        <v>40</v>
      </c>
      <c r="L2067" s="15" t="s">
        <v>41</v>
      </c>
      <c r="M2067" s="15" t="s">
        <v>108</v>
      </c>
      <c r="N2067" s="15" t="s">
        <v>109</v>
      </c>
      <c r="O2067" s="15" t="s">
        <v>44</v>
      </c>
      <c r="P2067" s="15" t="s">
        <v>2363</v>
      </c>
      <c r="Q2067" s="15" t="s">
        <v>2364</v>
      </c>
      <c r="R2067" s="16">
        <v>44329</v>
      </c>
      <c r="S2067" s="17" t="s">
        <v>7866</v>
      </c>
      <c r="T2067" s="20">
        <f>HYPERLINK("https://vnm.spiral.com.vn//uploaded/20210513/A95868D3-D6A6-4267-9110-7284B30B4596.jpg","07:35:53")</f>
      </c>
      <c r="U2067" s="20">
        <f>HYPERLINK("https://vnm.spiral.com.vn//uploaded/20210513/70A8E881-9E03-475C-8DF7-C6B18976674A.jpg","11:32:04")</f>
      </c>
      <c r="V2067" s="18">
        <v>0.1640162037037037</v>
      </c>
      <c r="W2067" s="15" t="s">
        <v>11007</v>
      </c>
      <c r="X2067" s="15" t="s">
        <v>11008</v>
      </c>
      <c r="Y2067" s="15" t="s">
        <v>35</v>
      </c>
      <c r="Z2067" s="19">
        <v>0</v>
      </c>
      <c r="AA2067" s="15">
        <v>0</v>
      </c>
      <c r="AB2067" s="15" t="s">
        <v>35</v>
      </c>
    </row>
    <row r="2068">
      <c r="A2068" s="15">
        <v>2064</v>
      </c>
      <c r="B2068" s="15" t="s">
        <v>33</v>
      </c>
      <c r="C2068" s="15" t="s">
        <v>492</v>
      </c>
      <c r="D2068" s="15" t="s">
        <v>35</v>
      </c>
      <c r="E2068" s="15" t="s">
        <v>35</v>
      </c>
      <c r="F2068" s="15" t="s">
        <v>35</v>
      </c>
      <c r="G2068" s="15" t="s">
        <v>36</v>
      </c>
      <c r="H2068" s="15" t="s">
        <v>8430</v>
      </c>
      <c r="I2068" s="15" t="s">
        <v>6591</v>
      </c>
      <c r="J2068" s="15" t="s">
        <v>8431</v>
      </c>
      <c r="K2068" s="15" t="s">
        <v>40</v>
      </c>
      <c r="L2068" s="15" t="s">
        <v>41</v>
      </c>
      <c r="M2068" s="15" t="s">
        <v>42</v>
      </c>
      <c r="N2068" s="15" t="s">
        <v>43</v>
      </c>
      <c r="O2068" s="15" t="s">
        <v>44</v>
      </c>
      <c r="P2068" s="15" t="s">
        <v>8432</v>
      </c>
      <c r="Q2068" s="15" t="s">
        <v>8433</v>
      </c>
      <c r="R2068" s="16">
        <v>44329</v>
      </c>
      <c r="S2068" s="17" t="s">
        <v>7866</v>
      </c>
      <c r="T2068" s="20">
        <f>HYPERLINK("https://vnm.spiral.com.vn//uploaded/20210513/23D7D071-FAE7-44A4-AB03-D8B4EA59A09A.jpg","07:28:09")</f>
      </c>
      <c r="U2068" s="20">
        <f>HYPERLINK("https://vnm.spiral.com.vn//uploaded/20210513/FE7DA50E-26DF-4ED7-903C-44F5E8C4BE9A.jpg","11:32:04")</f>
      </c>
      <c r="V2068" s="18">
        <v>0.16938657407407406</v>
      </c>
      <c r="W2068" s="15" t="s">
        <v>11009</v>
      </c>
      <c r="X2068" s="15" t="s">
        <v>11010</v>
      </c>
      <c r="Y2068" s="15" t="s">
        <v>35</v>
      </c>
      <c r="Z2068" s="19">
        <v>0</v>
      </c>
      <c r="AA2068" s="15">
        <v>0</v>
      </c>
      <c r="AB2068" s="15" t="s">
        <v>35</v>
      </c>
    </row>
    <row r="2069">
      <c r="A2069" s="15">
        <v>2065</v>
      </c>
      <c r="B2069" s="15" t="s">
        <v>103</v>
      </c>
      <c r="C2069" s="15" t="s">
        <v>186</v>
      </c>
      <c r="D2069" s="15" t="s">
        <v>35</v>
      </c>
      <c r="E2069" s="15" t="s">
        <v>35</v>
      </c>
      <c r="F2069" s="15" t="s">
        <v>35</v>
      </c>
      <c r="G2069" s="15" t="s">
        <v>36</v>
      </c>
      <c r="H2069" s="15" t="s">
        <v>7379</v>
      </c>
      <c r="I2069" s="15" t="s">
        <v>7380</v>
      </c>
      <c r="J2069" s="15" t="s">
        <v>7381</v>
      </c>
      <c r="K2069" s="15" t="s">
        <v>40</v>
      </c>
      <c r="L2069" s="15" t="s">
        <v>41</v>
      </c>
      <c r="M2069" s="15" t="s">
        <v>565</v>
      </c>
      <c r="N2069" s="15" t="s">
        <v>566</v>
      </c>
      <c r="O2069" s="15" t="s">
        <v>44</v>
      </c>
      <c r="P2069" s="15" t="s">
        <v>7382</v>
      </c>
      <c r="Q2069" s="15" t="s">
        <v>7383</v>
      </c>
      <c r="R2069" s="16">
        <v>44329</v>
      </c>
      <c r="S2069" s="17" t="s">
        <v>3018</v>
      </c>
      <c r="T2069" s="20">
        <f>HYPERLINK("https://vnm.spiral.com.vn//uploaded/20210513/0d99d9a7-f293-4c88-acf5-f1a9f4f307d5.JPEG","07:49:57")</f>
      </c>
      <c r="U2069" s="20">
        <f>HYPERLINK("https://vnm.spiral.com.vn//uploaded/20210513/e048f331-9a77-41b2-9de7-00367662f8ea.JPEG","11:32:00")</f>
      </c>
      <c r="V2069" s="18">
        <v>0.1542013888888889</v>
      </c>
      <c r="W2069" s="15" t="s">
        <v>11011</v>
      </c>
      <c r="X2069" s="15" t="s">
        <v>11012</v>
      </c>
      <c r="Y2069" s="15" t="s">
        <v>35</v>
      </c>
      <c r="Z2069" s="19">
        <v>0</v>
      </c>
      <c r="AA2069" s="15">
        <v>0</v>
      </c>
      <c r="AB2069" s="15" t="s">
        <v>35</v>
      </c>
    </row>
    <row r="2070">
      <c r="A2070" s="15">
        <v>2066</v>
      </c>
      <c r="B2070" s="15" t="s">
        <v>49</v>
      </c>
      <c r="C2070" s="15" t="s">
        <v>369</v>
      </c>
      <c r="D2070" s="15" t="s">
        <v>35</v>
      </c>
      <c r="E2070" s="15" t="s">
        <v>35</v>
      </c>
      <c r="F2070" s="15" t="s">
        <v>5030</v>
      </c>
      <c r="G2070" s="15" t="s">
        <v>36</v>
      </c>
      <c r="H2070" s="15" t="s">
        <v>5031</v>
      </c>
      <c r="I2070" s="15" t="s">
        <v>5032</v>
      </c>
      <c r="J2070" s="15" t="s">
        <v>5033</v>
      </c>
      <c r="K2070" s="15" t="s">
        <v>40</v>
      </c>
      <c r="L2070" s="15" t="s">
        <v>41</v>
      </c>
      <c r="M2070" s="15" t="s">
        <v>55</v>
      </c>
      <c r="N2070" s="15" t="s">
        <v>56</v>
      </c>
      <c r="O2070" s="15" t="s">
        <v>44</v>
      </c>
      <c r="P2070" s="15" t="s">
        <v>5034</v>
      </c>
      <c r="Q2070" s="15" t="s">
        <v>5035</v>
      </c>
      <c r="R2070" s="16">
        <v>44329</v>
      </c>
      <c r="S2070" s="17" t="s">
        <v>3018</v>
      </c>
      <c r="T2070" s="20">
        <f>HYPERLINK("https://vnm.spiral.com.vn//uploaded/20210513/bad8a0bb-c4fd-4fde-8acc-5209b131e8ef.JPEG","07:59:13")</f>
      </c>
      <c r="U2070" s="20">
        <f>HYPERLINK("https://vnm.spiral.com.vn//uploaded/20210513/e8a65f86-96e9-4f97-87e1-806fe17d05f4.JPEG","11:32:00")</f>
      </c>
      <c r="V2070" s="18">
        <v>0.1477662037037037</v>
      </c>
      <c r="W2070" s="15" t="s">
        <v>11013</v>
      </c>
      <c r="X2070" s="15" t="s">
        <v>11014</v>
      </c>
      <c r="Y2070" s="15" t="s">
        <v>35</v>
      </c>
      <c r="Z2070" s="19">
        <v>0</v>
      </c>
      <c r="AA2070" s="15">
        <v>0</v>
      </c>
      <c r="AB2070" s="15" t="s">
        <v>35</v>
      </c>
    </row>
    <row r="2071">
      <c r="A2071" s="15">
        <v>2067</v>
      </c>
      <c r="B2071" s="15" t="s">
        <v>103</v>
      </c>
      <c r="C2071" s="15" t="s">
        <v>186</v>
      </c>
      <c r="D2071" s="15" t="s">
        <v>35</v>
      </c>
      <c r="E2071" s="15" t="s">
        <v>35</v>
      </c>
      <c r="F2071" s="15" t="s">
        <v>6597</v>
      </c>
      <c r="G2071" s="15" t="s">
        <v>36</v>
      </c>
      <c r="H2071" s="15" t="s">
        <v>6598</v>
      </c>
      <c r="I2071" s="15" t="s">
        <v>6599</v>
      </c>
      <c r="J2071" s="15" t="s">
        <v>6600</v>
      </c>
      <c r="K2071" s="15" t="s">
        <v>40</v>
      </c>
      <c r="L2071" s="15" t="s">
        <v>41</v>
      </c>
      <c r="M2071" s="15" t="s">
        <v>565</v>
      </c>
      <c r="N2071" s="15" t="s">
        <v>566</v>
      </c>
      <c r="O2071" s="15" t="s">
        <v>44</v>
      </c>
      <c r="P2071" s="15" t="s">
        <v>6601</v>
      </c>
      <c r="Q2071" s="15" t="s">
        <v>2691</v>
      </c>
      <c r="R2071" s="16">
        <v>44329</v>
      </c>
      <c r="S2071" s="17" t="s">
        <v>7866</v>
      </c>
      <c r="T2071" s="20">
        <f>HYPERLINK("https://vnm.spiral.com.vn//uploaded/20210513/53731886-5056-4C89-B70A-0964FAE0E858.jpg","07:28:00")</f>
      </c>
      <c r="U2071" s="20">
        <f>HYPERLINK("https://vnm.spiral.com.vn//uploaded/20210513/535CD8E7-62D9-4EB4-96E9-F6552075D637.jpg","11:31:58")</f>
      </c>
      <c r="V2071" s="18">
        <v>0.1694212962962963</v>
      </c>
      <c r="W2071" s="15" t="s">
        <v>11015</v>
      </c>
      <c r="X2071" s="15" t="s">
        <v>11016</v>
      </c>
      <c r="Y2071" s="15" t="s">
        <v>35</v>
      </c>
      <c r="Z2071" s="19">
        <v>0</v>
      </c>
      <c r="AA2071" s="15">
        <v>0</v>
      </c>
      <c r="AB2071" s="15" t="s">
        <v>35</v>
      </c>
    </row>
    <row r="2072">
      <c r="A2072" s="15">
        <v>2068</v>
      </c>
      <c r="B2072" s="15" t="s">
        <v>87</v>
      </c>
      <c r="C2072" s="15" t="s">
        <v>88</v>
      </c>
      <c r="D2072" s="15" t="s">
        <v>35</v>
      </c>
      <c r="E2072" s="15" t="s">
        <v>35</v>
      </c>
      <c r="F2072" s="15" t="s">
        <v>35</v>
      </c>
      <c r="G2072" s="15" t="s">
        <v>74</v>
      </c>
      <c r="H2072" s="15" t="s">
        <v>11017</v>
      </c>
      <c r="I2072" s="15" t="s">
        <v>11018</v>
      </c>
      <c r="J2072" s="15" t="s">
        <v>11019</v>
      </c>
      <c r="K2072" s="15" t="s">
        <v>888</v>
      </c>
      <c r="L2072" s="15" t="s">
        <v>889</v>
      </c>
      <c r="M2072" s="15" t="s">
        <v>924</v>
      </c>
      <c r="N2072" s="15" t="s">
        <v>925</v>
      </c>
      <c r="O2072" s="15" t="s">
        <v>82</v>
      </c>
      <c r="P2072" s="15" t="s">
        <v>926</v>
      </c>
      <c r="Q2072" s="15" t="s">
        <v>927</v>
      </c>
      <c r="R2072" s="16">
        <v>44329</v>
      </c>
      <c r="S2072" s="17" t="s">
        <v>70</v>
      </c>
      <c r="T2072" s="20">
        <f>HYPERLINK("https://vnm.spiral.com.vn//uploaded/20210513/A1DAB8CE-A1BB-475B-8D54-E338ACF338DD.jpg","11:15:16")</f>
      </c>
      <c r="U2072" s="20">
        <f>HYPERLINK("https://vnm.spiral.com.vn//uploaded/20210513/F09C2E7F-51E4-42A6-A9BA-01D343BF164F.jpg","11:31:58")</f>
      </c>
      <c r="V2072" s="18">
        <v>0.011597222222222222</v>
      </c>
      <c r="W2072" s="15" t="s">
        <v>11020</v>
      </c>
      <c r="X2072" s="15" t="s">
        <v>11021</v>
      </c>
      <c r="Y2072" s="15" t="s">
        <v>35</v>
      </c>
      <c r="Z2072" s="19">
        <v>0</v>
      </c>
      <c r="AA2072" s="15">
        <v>0</v>
      </c>
      <c r="AB2072" s="15" t="s">
        <v>35</v>
      </c>
    </row>
    <row r="2073">
      <c r="A2073" s="15">
        <v>2069</v>
      </c>
      <c r="B2073" s="15" t="s">
        <v>49</v>
      </c>
      <c r="C2073" s="15" t="s">
        <v>756</v>
      </c>
      <c r="D2073" s="15" t="s">
        <v>35</v>
      </c>
      <c r="E2073" s="15" t="s">
        <v>35</v>
      </c>
      <c r="F2073" s="15" t="s">
        <v>4536</v>
      </c>
      <c r="G2073" s="15" t="s">
        <v>36</v>
      </c>
      <c r="H2073" s="15" t="s">
        <v>5309</v>
      </c>
      <c r="I2073" s="15" t="s">
        <v>5310</v>
      </c>
      <c r="J2073" s="15" t="s">
        <v>5311</v>
      </c>
      <c r="K2073" s="15" t="s">
        <v>40</v>
      </c>
      <c r="L2073" s="15" t="s">
        <v>41</v>
      </c>
      <c r="M2073" s="15" t="s">
        <v>55</v>
      </c>
      <c r="N2073" s="15" t="s">
        <v>56</v>
      </c>
      <c r="O2073" s="15" t="s">
        <v>44</v>
      </c>
      <c r="P2073" s="15" t="s">
        <v>5312</v>
      </c>
      <c r="Q2073" s="15" t="s">
        <v>5313</v>
      </c>
      <c r="R2073" s="16">
        <v>44329</v>
      </c>
      <c r="S2073" s="17" t="s">
        <v>7866</v>
      </c>
      <c r="T2073" s="20">
        <f>HYPERLINK("https://vnm.spiral.com.vn//uploaded/20210513/f832ab42-8e62-4610-9e0e-bb72bf2a3899.JPEG","07:22:19")</f>
      </c>
      <c r="U2073" s="20">
        <f>HYPERLINK("https://vnm.spiral.com.vn//uploaded/20210513/4bd62819-9a67-4f18-93e0-fa6d08684141.JPEG","11:31:55")</f>
      </c>
      <c r="V2073" s="18">
        <v>0.17333333333333334</v>
      </c>
      <c r="W2073" s="15" t="s">
        <v>11022</v>
      </c>
      <c r="X2073" s="15" t="s">
        <v>11023</v>
      </c>
      <c r="Y2073" s="15" t="s">
        <v>35</v>
      </c>
      <c r="Z2073" s="19">
        <v>0</v>
      </c>
      <c r="AA2073" s="15">
        <v>0</v>
      </c>
      <c r="AB2073" s="15" t="s">
        <v>35</v>
      </c>
    </row>
    <row r="2074">
      <c r="A2074" s="15">
        <v>2070</v>
      </c>
      <c r="B2074" s="15" t="s">
        <v>61</v>
      </c>
      <c r="C2074" s="15" t="s">
        <v>737</v>
      </c>
      <c r="D2074" s="15" t="s">
        <v>35</v>
      </c>
      <c r="E2074" s="15" t="s">
        <v>35</v>
      </c>
      <c r="F2074" s="15" t="s">
        <v>35</v>
      </c>
      <c r="G2074" s="15" t="s">
        <v>36</v>
      </c>
      <c r="H2074" s="15" t="s">
        <v>11024</v>
      </c>
      <c r="I2074" s="15" t="s">
        <v>7268</v>
      </c>
      <c r="J2074" s="15" t="s">
        <v>11025</v>
      </c>
      <c r="K2074" s="15" t="s">
        <v>40</v>
      </c>
      <c r="L2074" s="15" t="s">
        <v>41</v>
      </c>
      <c r="M2074" s="15" t="s">
        <v>205</v>
      </c>
      <c r="N2074" s="15" t="s">
        <v>206</v>
      </c>
      <c r="O2074" s="15" t="s">
        <v>44</v>
      </c>
      <c r="P2074" s="15" t="s">
        <v>11026</v>
      </c>
      <c r="Q2074" s="15" t="s">
        <v>11027</v>
      </c>
      <c r="R2074" s="16">
        <v>44329</v>
      </c>
      <c r="S2074" s="17" t="s">
        <v>7866</v>
      </c>
      <c r="T2074" s="20">
        <f>HYPERLINK("https://vnm.spiral.com.vn//uploaded/20210513/75721311-1b48-4520-85b9-496089bf70ad.JPEG","07:32:54")</f>
      </c>
      <c r="U2074" s="20">
        <f>HYPERLINK("https://vnm.spiral.com.vn//uploaded/20210513/bbed0a95-78c0-48ab-b99c-70aa68a5704a.JPEG","11:31:55")</f>
      </c>
      <c r="V2074" s="18">
        <v>0.1659837962962963</v>
      </c>
      <c r="W2074" s="15" t="s">
        <v>11028</v>
      </c>
      <c r="X2074" s="15" t="s">
        <v>11029</v>
      </c>
      <c r="Y2074" s="15" t="s">
        <v>35</v>
      </c>
      <c r="Z2074" s="19">
        <v>0</v>
      </c>
      <c r="AA2074" s="15">
        <v>0</v>
      </c>
      <c r="AB2074" s="15" t="s">
        <v>35</v>
      </c>
    </row>
    <row r="2075">
      <c r="A2075" s="15">
        <v>2071</v>
      </c>
      <c r="B2075" s="15" t="s">
        <v>343</v>
      </c>
      <c r="C2075" s="15" t="s">
        <v>7227</v>
      </c>
      <c r="D2075" s="15" t="s">
        <v>35</v>
      </c>
      <c r="E2075" s="15" t="s">
        <v>35</v>
      </c>
      <c r="F2075" s="15" t="s">
        <v>7228</v>
      </c>
      <c r="G2075" s="15" t="s">
        <v>36</v>
      </c>
      <c r="H2075" s="15" t="s">
        <v>7229</v>
      </c>
      <c r="I2075" s="15" t="s">
        <v>7230</v>
      </c>
      <c r="J2075" s="15" t="s">
        <v>7231</v>
      </c>
      <c r="K2075" s="15" t="s">
        <v>40</v>
      </c>
      <c r="L2075" s="15" t="s">
        <v>41</v>
      </c>
      <c r="M2075" s="15" t="s">
        <v>595</v>
      </c>
      <c r="N2075" s="15" t="s">
        <v>596</v>
      </c>
      <c r="O2075" s="15" t="s">
        <v>44</v>
      </c>
      <c r="P2075" s="15" t="s">
        <v>7232</v>
      </c>
      <c r="Q2075" s="15" t="s">
        <v>7233</v>
      </c>
      <c r="R2075" s="16">
        <v>44329</v>
      </c>
      <c r="S2075" s="17" t="s">
        <v>8968</v>
      </c>
      <c r="T2075" s="20">
        <f>HYPERLINK("https://vnm.spiral.com.vn//uploaded/20210513/7333eda1-72ec-4145-bf2f-5de72c707fb4.JPEG","07:48:14")</f>
      </c>
      <c r="U2075" s="20">
        <f>HYPERLINK("https://vnm.spiral.com.vn//uploaded/20210513/8aeed916-44fe-4a3b-9bff-a7fc2cd009fe.JPEG","11:31:54")</f>
      </c>
      <c r="V2075" s="18">
        <v>0.1553240740740741</v>
      </c>
      <c r="W2075" s="15" t="s">
        <v>11030</v>
      </c>
      <c r="X2075" s="15" t="s">
        <v>11031</v>
      </c>
      <c r="Y2075" s="15" t="s">
        <v>35</v>
      </c>
      <c r="Z2075" s="19">
        <v>0</v>
      </c>
      <c r="AA2075" s="15">
        <v>0</v>
      </c>
      <c r="AB2075" s="15" t="s">
        <v>35</v>
      </c>
    </row>
    <row r="2076">
      <c r="A2076" s="15">
        <v>2072</v>
      </c>
      <c r="B2076" s="15" t="s">
        <v>87</v>
      </c>
      <c r="C2076" s="15" t="s">
        <v>88</v>
      </c>
      <c r="D2076" s="15" t="s">
        <v>135</v>
      </c>
      <c r="E2076" s="15" t="s">
        <v>116</v>
      </c>
      <c r="F2076" s="15" t="s">
        <v>35</v>
      </c>
      <c r="G2076" s="15" t="s">
        <v>74</v>
      </c>
      <c r="H2076" s="15" t="s">
        <v>11032</v>
      </c>
      <c r="I2076" s="15" t="s">
        <v>11033</v>
      </c>
      <c r="J2076" s="15" t="s">
        <v>11034</v>
      </c>
      <c r="K2076" s="15" t="s">
        <v>94</v>
      </c>
      <c r="L2076" s="15" t="s">
        <v>95</v>
      </c>
      <c r="M2076" s="15" t="s">
        <v>139</v>
      </c>
      <c r="N2076" s="15" t="s">
        <v>140</v>
      </c>
      <c r="O2076" s="15" t="s">
        <v>98</v>
      </c>
      <c r="P2076" s="15" t="s">
        <v>530</v>
      </c>
      <c r="Q2076" s="15" t="s">
        <v>531</v>
      </c>
      <c r="R2076" s="16">
        <v>44329</v>
      </c>
      <c r="S2076" s="17" t="s">
        <v>70</v>
      </c>
      <c r="T2076" s="20">
        <f>HYPERLINK("https://vnm.spiral.com.vn//uploaded/20210513/386C6FE7-FA83-4E69-86FB-A22470A366E0.jpg","11:10:06")</f>
      </c>
      <c r="U2076" s="20">
        <f>HYPERLINK("https://vnm.spiral.com.vn//uploaded/20210513/761239F6-932E-4D5C-8D43-09DE0EE98CCB.jpg","11:31:49")</f>
      </c>
      <c r="V2076" s="18">
        <v>0.015081018518518518</v>
      </c>
      <c r="W2076" s="15" t="s">
        <v>11035</v>
      </c>
      <c r="X2076" s="15" t="s">
        <v>11036</v>
      </c>
      <c r="Y2076" s="15" t="s">
        <v>35</v>
      </c>
      <c r="Z2076" s="19">
        <v>0</v>
      </c>
      <c r="AA2076" s="15">
        <v>0</v>
      </c>
      <c r="AB2076" s="15" t="s">
        <v>35</v>
      </c>
    </row>
    <row r="2077">
      <c r="A2077" s="15">
        <v>2073</v>
      </c>
      <c r="B2077" s="15" t="s">
        <v>87</v>
      </c>
      <c r="C2077" s="15" t="s">
        <v>88</v>
      </c>
      <c r="D2077" s="15" t="s">
        <v>357</v>
      </c>
      <c r="E2077" s="15" t="s">
        <v>90</v>
      </c>
      <c r="F2077" s="15" t="s">
        <v>35</v>
      </c>
      <c r="G2077" s="15" t="s">
        <v>74</v>
      </c>
      <c r="H2077" s="15" t="s">
        <v>11037</v>
      </c>
      <c r="I2077" s="15" t="s">
        <v>11038</v>
      </c>
      <c r="J2077" s="15" t="s">
        <v>11039</v>
      </c>
      <c r="K2077" s="15" t="s">
        <v>1570</v>
      </c>
      <c r="L2077" s="15" t="s">
        <v>1571</v>
      </c>
      <c r="M2077" s="15" t="s">
        <v>2024</v>
      </c>
      <c r="N2077" s="15" t="s">
        <v>2025</v>
      </c>
      <c r="O2077" s="15" t="s">
        <v>82</v>
      </c>
      <c r="P2077" s="15" t="s">
        <v>2026</v>
      </c>
      <c r="Q2077" s="15" t="s">
        <v>2027</v>
      </c>
      <c r="R2077" s="16">
        <v>44329</v>
      </c>
      <c r="S2077" s="17" t="s">
        <v>70</v>
      </c>
      <c r="T2077" s="20">
        <f>HYPERLINK("https://vnm.spiral.com.vn//uploaded/20210513/3fe97f7c-43d3-4a51-b44b-1d2a93566eed.JPEG","10:55:45")</f>
      </c>
      <c r="U2077" s="20">
        <f>HYPERLINK("https://vnm.spiral.com.vn//uploaded/20210513/6f55ed2a-5afb-4635-a380-04607ed1fde5.JPEG","11:31:48")</f>
      </c>
      <c r="V2077" s="18">
        <v>0.025034722222222222</v>
      </c>
      <c r="W2077" s="15" t="s">
        <v>11040</v>
      </c>
      <c r="X2077" s="15" t="s">
        <v>11041</v>
      </c>
      <c r="Y2077" s="15" t="s">
        <v>35</v>
      </c>
      <c r="Z2077" s="19">
        <v>0</v>
      </c>
      <c r="AA2077" s="15">
        <v>0</v>
      </c>
      <c r="AB2077" s="15" t="s">
        <v>35</v>
      </c>
    </row>
    <row r="2078">
      <c r="A2078" s="15">
        <v>2074</v>
      </c>
      <c r="B2078" s="15" t="s">
        <v>246</v>
      </c>
      <c r="C2078" s="15" t="s">
        <v>247</v>
      </c>
      <c r="D2078" s="15" t="s">
        <v>89</v>
      </c>
      <c r="E2078" s="15" t="s">
        <v>90</v>
      </c>
      <c r="F2078" s="15" t="s">
        <v>35</v>
      </c>
      <c r="G2078" s="15" t="s">
        <v>74</v>
      </c>
      <c r="H2078" s="15" t="s">
        <v>8162</v>
      </c>
      <c r="I2078" s="15" t="s">
        <v>8163</v>
      </c>
      <c r="J2078" s="15" t="s">
        <v>8164</v>
      </c>
      <c r="K2078" s="15" t="s">
        <v>263</v>
      </c>
      <c r="L2078" s="15" t="s">
        <v>264</v>
      </c>
      <c r="M2078" s="15" t="s">
        <v>339</v>
      </c>
      <c r="N2078" s="15" t="s">
        <v>340</v>
      </c>
      <c r="O2078" s="15" t="s">
        <v>156</v>
      </c>
      <c r="P2078" s="15" t="s">
        <v>8165</v>
      </c>
      <c r="Q2078" s="15" t="s">
        <v>283</v>
      </c>
      <c r="R2078" s="16">
        <v>44329</v>
      </c>
      <c r="S2078" s="17" t="s">
        <v>7866</v>
      </c>
      <c r="T2078" s="20">
        <f>HYPERLINK("https://vnm.spiral.com.vn//uploaded/20210513/c89ec445-5a0d-4889-b3b6-1ec7f6d3ee0e.JPEG","07:28:53")</f>
      </c>
      <c r="U2078" s="20">
        <f>HYPERLINK("https://vnm.spiral.com.vn//uploaded/20210513/c4c3516f-6c99-4127-ba30-1a7e7e78ecb9.JPEG","11:31:48")</f>
      </c>
      <c r="V2078" s="18">
        <v>0.16869212962962962</v>
      </c>
      <c r="W2078" s="15" t="s">
        <v>11042</v>
      </c>
      <c r="X2078" s="15" t="s">
        <v>11043</v>
      </c>
      <c r="Y2078" s="15" t="s">
        <v>35</v>
      </c>
      <c r="Z2078" s="19">
        <v>0</v>
      </c>
      <c r="AA2078" s="15">
        <v>0</v>
      </c>
      <c r="AB2078" s="15" t="s">
        <v>35</v>
      </c>
    </row>
    <row r="2079">
      <c r="A2079" s="15">
        <v>2075</v>
      </c>
      <c r="B2079" s="15" t="s">
        <v>103</v>
      </c>
      <c r="C2079" s="15" t="s">
        <v>104</v>
      </c>
      <c r="D2079" s="15" t="s">
        <v>35</v>
      </c>
      <c r="E2079" s="15" t="s">
        <v>35</v>
      </c>
      <c r="F2079" s="15" t="s">
        <v>35</v>
      </c>
      <c r="G2079" s="15" t="s">
        <v>36</v>
      </c>
      <c r="H2079" s="15" t="s">
        <v>5952</v>
      </c>
      <c r="I2079" s="15" t="s">
        <v>5953</v>
      </c>
      <c r="J2079" s="15" t="s">
        <v>5954</v>
      </c>
      <c r="K2079" s="15" t="s">
        <v>40</v>
      </c>
      <c r="L2079" s="15" t="s">
        <v>41</v>
      </c>
      <c r="M2079" s="15" t="s">
        <v>108</v>
      </c>
      <c r="N2079" s="15" t="s">
        <v>109</v>
      </c>
      <c r="O2079" s="15" t="s">
        <v>44</v>
      </c>
      <c r="P2079" s="15" t="s">
        <v>5955</v>
      </c>
      <c r="Q2079" s="15" t="s">
        <v>5956</v>
      </c>
      <c r="R2079" s="16">
        <v>44329</v>
      </c>
      <c r="S2079" s="17" t="s">
        <v>7866</v>
      </c>
      <c r="T2079" s="20">
        <f>HYPERLINK("https://vnm.spiral.com.vn//uploaded/20210513/7f2cdd0a-b695-415a-8bed-402a92f9b0e9.JPEG","07:32:51")</f>
      </c>
      <c r="U2079" s="20">
        <f>HYPERLINK("https://vnm.spiral.com.vn//uploaded/20210513/48be4ba6-ff21-4418-bf94-4d30cc6e1764.JPEG","11:31:47")</f>
      </c>
      <c r="V2079" s="18">
        <v>0.16592592592592592</v>
      </c>
      <c r="W2079" s="15" t="s">
        <v>11044</v>
      </c>
      <c r="X2079" s="15" t="s">
        <v>11045</v>
      </c>
      <c r="Y2079" s="15" t="s">
        <v>35</v>
      </c>
      <c r="Z2079" s="19">
        <v>0</v>
      </c>
      <c r="AA2079" s="15">
        <v>0</v>
      </c>
      <c r="AB2079" s="15" t="s">
        <v>35</v>
      </c>
    </row>
    <row r="2080">
      <c r="A2080" s="15">
        <v>2076</v>
      </c>
      <c r="B2080" s="15" t="s">
        <v>246</v>
      </c>
      <c r="C2080" s="15" t="s">
        <v>259</v>
      </c>
      <c r="D2080" s="15" t="s">
        <v>357</v>
      </c>
      <c r="E2080" s="15" t="s">
        <v>90</v>
      </c>
      <c r="F2080" s="15" t="s">
        <v>35</v>
      </c>
      <c r="G2080" s="15" t="s">
        <v>74</v>
      </c>
      <c r="H2080" s="15" t="s">
        <v>8569</v>
      </c>
      <c r="I2080" s="15" t="s">
        <v>8570</v>
      </c>
      <c r="J2080" s="15" t="s">
        <v>8571</v>
      </c>
      <c r="K2080" s="15" t="s">
        <v>263</v>
      </c>
      <c r="L2080" s="15" t="s">
        <v>264</v>
      </c>
      <c r="M2080" s="15" t="s">
        <v>1510</v>
      </c>
      <c r="N2080" s="15" t="s">
        <v>1511</v>
      </c>
      <c r="O2080" s="15" t="s">
        <v>156</v>
      </c>
      <c r="P2080" s="15" t="s">
        <v>8572</v>
      </c>
      <c r="Q2080" s="15" t="s">
        <v>8573</v>
      </c>
      <c r="R2080" s="16">
        <v>44329</v>
      </c>
      <c r="S2080" s="17" t="s">
        <v>7866</v>
      </c>
      <c r="T2080" s="20">
        <f>HYPERLINK("https://vnm.spiral.com.vn//uploaded/20210513/273767e4-984a-48f3-8b0d-96f62d93f702.JPEG","07:27:11")</f>
      </c>
      <c r="U2080" s="20">
        <f>HYPERLINK("https://vnm.spiral.com.vn//uploaded/20210513/00472686-b97b-432f-9a03-2f560ca73dc8.JPEG","11:31:41")</f>
      </c>
      <c r="V2080" s="18">
        <v>0.16979166666666667</v>
      </c>
      <c r="W2080" s="15" t="s">
        <v>11046</v>
      </c>
      <c r="X2080" s="15" t="s">
        <v>11047</v>
      </c>
      <c r="Y2080" s="15" t="s">
        <v>35</v>
      </c>
      <c r="Z2080" s="19">
        <v>0</v>
      </c>
      <c r="AA2080" s="15">
        <v>0</v>
      </c>
      <c r="AB2080" s="15" t="s">
        <v>35</v>
      </c>
    </row>
    <row r="2081">
      <c r="A2081" s="15">
        <v>2077</v>
      </c>
      <c r="B2081" s="15" t="s">
        <v>246</v>
      </c>
      <c r="C2081" s="15" t="s">
        <v>782</v>
      </c>
      <c r="D2081" s="15" t="s">
        <v>35</v>
      </c>
      <c r="E2081" s="15" t="s">
        <v>35</v>
      </c>
      <c r="F2081" s="15" t="s">
        <v>783</v>
      </c>
      <c r="G2081" s="15" t="s">
        <v>36</v>
      </c>
      <c r="H2081" s="15" t="s">
        <v>8454</v>
      </c>
      <c r="I2081" s="15" t="s">
        <v>8455</v>
      </c>
      <c r="J2081" s="15" t="s">
        <v>8456</v>
      </c>
      <c r="K2081" s="15" t="s">
        <v>40</v>
      </c>
      <c r="L2081" s="15" t="s">
        <v>41</v>
      </c>
      <c r="M2081" s="15" t="s">
        <v>252</v>
      </c>
      <c r="N2081" s="15" t="s">
        <v>253</v>
      </c>
      <c r="O2081" s="15" t="s">
        <v>44</v>
      </c>
      <c r="P2081" s="15" t="s">
        <v>8457</v>
      </c>
      <c r="Q2081" s="15" t="s">
        <v>8458</v>
      </c>
      <c r="R2081" s="16">
        <v>44329</v>
      </c>
      <c r="S2081" s="17" t="s">
        <v>8968</v>
      </c>
      <c r="T2081" s="20">
        <f>HYPERLINK("https://vnm.spiral.com.vn//uploaded/20210513/19c15af6-35b8-45c1-b2cf-c8aabd84fe00.JPEG","06:58:36")</f>
      </c>
      <c r="U2081" s="20">
        <f>HYPERLINK("https://vnm.spiral.com.vn//uploaded/20210513/84400f4d-34df-41b4-b5b7-f7f35f4c3598.JPEG","11:31:37")</f>
      </c>
      <c r="V2081" s="18">
        <v>0.18959490740740742</v>
      </c>
      <c r="W2081" s="15" t="s">
        <v>11048</v>
      </c>
      <c r="X2081" s="15" t="s">
        <v>11049</v>
      </c>
      <c r="Y2081" s="15" t="s">
        <v>35</v>
      </c>
      <c r="Z2081" s="19">
        <v>0</v>
      </c>
      <c r="AA2081" s="15">
        <v>0</v>
      </c>
      <c r="AB2081" s="15" t="s">
        <v>35</v>
      </c>
    </row>
    <row r="2082">
      <c r="A2082" s="15">
        <v>2078</v>
      </c>
      <c r="B2082" s="15" t="s">
        <v>61</v>
      </c>
      <c r="C2082" s="15" t="s">
        <v>303</v>
      </c>
      <c r="D2082" s="15" t="s">
        <v>35</v>
      </c>
      <c r="E2082" s="15" t="s">
        <v>35</v>
      </c>
      <c r="F2082" s="15" t="s">
        <v>1947</v>
      </c>
      <c r="G2082" s="15" t="s">
        <v>36</v>
      </c>
      <c r="H2082" s="15" t="s">
        <v>11050</v>
      </c>
      <c r="I2082" s="15" t="s">
        <v>11051</v>
      </c>
      <c r="J2082" s="15" t="s">
        <v>11052</v>
      </c>
      <c r="K2082" s="15" t="s">
        <v>40</v>
      </c>
      <c r="L2082" s="15" t="s">
        <v>41</v>
      </c>
      <c r="M2082" s="15" t="s">
        <v>205</v>
      </c>
      <c r="N2082" s="15" t="s">
        <v>206</v>
      </c>
      <c r="O2082" s="15" t="s">
        <v>44</v>
      </c>
      <c r="P2082" s="15" t="s">
        <v>11053</v>
      </c>
      <c r="Q2082" s="15" t="s">
        <v>11054</v>
      </c>
      <c r="R2082" s="16">
        <v>44329</v>
      </c>
      <c r="S2082" s="17" t="s">
        <v>11055</v>
      </c>
      <c r="T2082" s="20">
        <f>HYPERLINK("https://vnm.spiral.com.vn//uploaded/20210513/3861cf1e-5af5-4b31-9d90-48e7c9f55914.JPEG","11:31:30")</f>
      </c>
      <c r="U2082" s="18"/>
      <c r="V2082" s="18" t="s">
        <v>35</v>
      </c>
      <c r="W2082" s="15" t="s">
        <v>11056</v>
      </c>
      <c r="X2082" s="15" t="s">
        <v>35</v>
      </c>
      <c r="Y2082" s="15" t="s">
        <v>35</v>
      </c>
      <c r="Z2082" s="19">
        <v>0</v>
      </c>
      <c r="AA2082" s="15">
        <v>0</v>
      </c>
      <c r="AB2082" s="15" t="s">
        <v>35</v>
      </c>
    </row>
    <row r="2083">
      <c r="A2083" s="15">
        <v>2079</v>
      </c>
      <c r="B2083" s="15" t="s">
        <v>103</v>
      </c>
      <c r="C2083" s="15" t="s">
        <v>1078</v>
      </c>
      <c r="D2083" s="15" t="s">
        <v>35</v>
      </c>
      <c r="E2083" s="15" t="s">
        <v>35</v>
      </c>
      <c r="F2083" s="15" t="s">
        <v>8413</v>
      </c>
      <c r="G2083" s="15" t="s">
        <v>36</v>
      </c>
      <c r="H2083" s="15" t="s">
        <v>8414</v>
      </c>
      <c r="I2083" s="15" t="s">
        <v>8415</v>
      </c>
      <c r="J2083" s="15" t="s">
        <v>8388</v>
      </c>
      <c r="K2083" s="15" t="s">
        <v>40</v>
      </c>
      <c r="L2083" s="15" t="s">
        <v>41</v>
      </c>
      <c r="M2083" s="15" t="s">
        <v>565</v>
      </c>
      <c r="N2083" s="15" t="s">
        <v>566</v>
      </c>
      <c r="O2083" s="15" t="s">
        <v>44</v>
      </c>
      <c r="P2083" s="15" t="s">
        <v>8416</v>
      </c>
      <c r="Q2083" s="15" t="s">
        <v>2529</v>
      </c>
      <c r="R2083" s="16">
        <v>44329</v>
      </c>
      <c r="S2083" s="17" t="s">
        <v>7866</v>
      </c>
      <c r="T2083" s="20">
        <f>HYPERLINK("https://vnm.spiral.com.vn//uploaded/20210513/6c75dd1e-b582-4c61-9b9e-eaf8351a550c.JPEG","07:34:50")</f>
      </c>
      <c r="U2083" s="20">
        <f>HYPERLINK("https://vnm.spiral.com.vn//uploaded/20210513/f96ef4da-c239-4ecd-bbcc-5a4303981b0a.JPEG","11:31:30")</f>
      </c>
      <c r="V2083" s="18">
        <v>0.16435185185185186</v>
      </c>
      <c r="W2083" s="15" t="s">
        <v>11057</v>
      </c>
      <c r="X2083" s="15" t="s">
        <v>11058</v>
      </c>
      <c r="Y2083" s="15" t="s">
        <v>35</v>
      </c>
      <c r="Z2083" s="19">
        <v>0</v>
      </c>
      <c r="AA2083" s="15">
        <v>0</v>
      </c>
      <c r="AB2083" s="15" t="s">
        <v>35</v>
      </c>
    </row>
    <row r="2084">
      <c r="A2084" s="15">
        <v>2080</v>
      </c>
      <c r="B2084" s="15" t="s">
        <v>33</v>
      </c>
      <c r="C2084" s="15" t="s">
        <v>34</v>
      </c>
      <c r="D2084" s="15" t="s">
        <v>148</v>
      </c>
      <c r="E2084" s="15" t="s">
        <v>35</v>
      </c>
      <c r="F2084" s="15" t="s">
        <v>35</v>
      </c>
      <c r="G2084" s="15" t="s">
        <v>74</v>
      </c>
      <c r="H2084" s="15" t="s">
        <v>11059</v>
      </c>
      <c r="I2084" s="15" t="s">
        <v>11060</v>
      </c>
      <c r="J2084" s="15" t="s">
        <v>11061</v>
      </c>
      <c r="K2084" s="15" t="s">
        <v>540</v>
      </c>
      <c r="L2084" s="15" t="s">
        <v>541</v>
      </c>
      <c r="M2084" s="15" t="s">
        <v>78</v>
      </c>
      <c r="N2084" s="15" t="s">
        <v>79</v>
      </c>
      <c r="O2084" s="15" t="s">
        <v>98</v>
      </c>
      <c r="P2084" s="15" t="s">
        <v>426</v>
      </c>
      <c r="Q2084" s="15" t="s">
        <v>427</v>
      </c>
      <c r="R2084" s="16">
        <v>44329</v>
      </c>
      <c r="S2084" s="17" t="s">
        <v>35</v>
      </c>
      <c r="T2084" s="20">
        <f>HYPERLINK("https://vnm.spiral.com.vn//uploaded/20210513/ccdf42a8-f1ef-44ba-8fb2-e98999e5192d.JPEG","11:31:27")</f>
      </c>
      <c r="U2084" s="18"/>
      <c r="V2084" s="18" t="s">
        <v>35</v>
      </c>
      <c r="W2084" s="15" t="s">
        <v>11062</v>
      </c>
      <c r="X2084" s="15" t="s">
        <v>35</v>
      </c>
      <c r="Y2084" s="15" t="s">
        <v>35</v>
      </c>
      <c r="Z2084" s="19">
        <v>0</v>
      </c>
      <c r="AA2084" s="15">
        <v>0</v>
      </c>
      <c r="AB2084" s="15" t="s">
        <v>35</v>
      </c>
    </row>
    <row r="2085">
      <c r="A2085" s="15">
        <v>2081</v>
      </c>
      <c r="B2085" s="15" t="s">
        <v>49</v>
      </c>
      <c r="C2085" s="15" t="s">
        <v>162</v>
      </c>
      <c r="D2085" s="15" t="s">
        <v>35</v>
      </c>
      <c r="E2085" s="15" t="s">
        <v>35</v>
      </c>
      <c r="F2085" s="15" t="s">
        <v>833</v>
      </c>
      <c r="G2085" s="15" t="s">
        <v>36</v>
      </c>
      <c r="H2085" s="15" t="s">
        <v>11063</v>
      </c>
      <c r="I2085" s="15" t="s">
        <v>11064</v>
      </c>
      <c r="J2085" s="15" t="s">
        <v>11065</v>
      </c>
      <c r="K2085" s="15" t="s">
        <v>40</v>
      </c>
      <c r="L2085" s="15" t="s">
        <v>41</v>
      </c>
      <c r="M2085" s="15" t="s">
        <v>55</v>
      </c>
      <c r="N2085" s="15" t="s">
        <v>56</v>
      </c>
      <c r="O2085" s="15" t="s">
        <v>44</v>
      </c>
      <c r="P2085" s="15" t="s">
        <v>11066</v>
      </c>
      <c r="Q2085" s="15" t="s">
        <v>11067</v>
      </c>
      <c r="R2085" s="16">
        <v>44329</v>
      </c>
      <c r="S2085" s="17" t="s">
        <v>11068</v>
      </c>
      <c r="T2085" s="20">
        <f>HYPERLINK("https://vnm.spiral.com.vn//uploaded/20210513/cf254fdb-8be2-43b5-b23e-e90ec8108662.JPEG","11:31:25")</f>
      </c>
      <c r="U2085" s="18"/>
      <c r="V2085" s="18" t="s">
        <v>35</v>
      </c>
      <c r="W2085" s="15" t="s">
        <v>11069</v>
      </c>
      <c r="X2085" s="15" t="s">
        <v>35</v>
      </c>
      <c r="Y2085" s="15" t="s">
        <v>35</v>
      </c>
      <c r="Z2085" s="19">
        <v>0</v>
      </c>
      <c r="AA2085" s="15">
        <v>0</v>
      </c>
      <c r="AB2085" s="15" t="s">
        <v>35</v>
      </c>
    </row>
    <row r="2086">
      <c r="A2086" s="15">
        <v>2082</v>
      </c>
      <c r="B2086" s="15" t="s">
        <v>49</v>
      </c>
      <c r="C2086" s="15" t="s">
        <v>1389</v>
      </c>
      <c r="D2086" s="15" t="s">
        <v>89</v>
      </c>
      <c r="E2086" s="15" t="s">
        <v>90</v>
      </c>
      <c r="F2086" s="15" t="s">
        <v>35</v>
      </c>
      <c r="G2086" s="15" t="s">
        <v>74</v>
      </c>
      <c r="H2086" s="15" t="s">
        <v>1390</v>
      </c>
      <c r="I2086" s="15" t="s">
        <v>1391</v>
      </c>
      <c r="J2086" s="15" t="s">
        <v>1392</v>
      </c>
      <c r="K2086" s="15" t="s">
        <v>168</v>
      </c>
      <c r="L2086" s="15" t="s">
        <v>169</v>
      </c>
      <c r="M2086" s="15" t="s">
        <v>2640</v>
      </c>
      <c r="N2086" s="15" t="s">
        <v>2641</v>
      </c>
      <c r="O2086" s="15" t="s">
        <v>156</v>
      </c>
      <c r="P2086" s="15" t="s">
        <v>11070</v>
      </c>
      <c r="Q2086" s="15" t="s">
        <v>6696</v>
      </c>
      <c r="R2086" s="16">
        <v>44329</v>
      </c>
      <c r="S2086" s="17" t="s">
        <v>1199</v>
      </c>
      <c r="T2086" s="20">
        <f>HYPERLINK("https://vnm.spiral.com.vn//uploaded/20210513/1cec52aa-3876-4b51-bf82-b464270922a1.JPEG","11:31:21")</f>
      </c>
      <c r="U2086" s="18"/>
      <c r="V2086" s="18" t="s">
        <v>35</v>
      </c>
      <c r="W2086" s="15" t="s">
        <v>11071</v>
      </c>
      <c r="X2086" s="15" t="s">
        <v>35</v>
      </c>
      <c r="Y2086" s="15" t="s">
        <v>35</v>
      </c>
      <c r="Z2086" s="19">
        <v>0</v>
      </c>
      <c r="AA2086" s="15">
        <v>0</v>
      </c>
      <c r="AB2086" s="15" t="s">
        <v>35</v>
      </c>
    </row>
    <row r="2087">
      <c r="A2087" s="15">
        <v>2083</v>
      </c>
      <c r="B2087" s="15" t="s">
        <v>246</v>
      </c>
      <c r="C2087" s="15" t="s">
        <v>782</v>
      </c>
      <c r="D2087" s="15" t="s">
        <v>35</v>
      </c>
      <c r="E2087" s="15" t="s">
        <v>35</v>
      </c>
      <c r="F2087" s="15" t="s">
        <v>5859</v>
      </c>
      <c r="G2087" s="15" t="s">
        <v>36</v>
      </c>
      <c r="H2087" s="15" t="s">
        <v>6316</v>
      </c>
      <c r="I2087" s="15" t="s">
        <v>6317</v>
      </c>
      <c r="J2087" s="15" t="s">
        <v>6318</v>
      </c>
      <c r="K2087" s="15" t="s">
        <v>40</v>
      </c>
      <c r="L2087" s="15" t="s">
        <v>41</v>
      </c>
      <c r="M2087" s="15" t="s">
        <v>252</v>
      </c>
      <c r="N2087" s="15" t="s">
        <v>253</v>
      </c>
      <c r="O2087" s="15" t="s">
        <v>44</v>
      </c>
      <c r="P2087" s="15" t="s">
        <v>6319</v>
      </c>
      <c r="Q2087" s="15" t="s">
        <v>6320</v>
      </c>
      <c r="R2087" s="16">
        <v>44329</v>
      </c>
      <c r="S2087" s="17" t="s">
        <v>3018</v>
      </c>
      <c r="T2087" s="20">
        <f>HYPERLINK("https://vnm.spiral.com.vn//uploaded/20210513/358E2F63-7F93-4A6E-8F94-CB5925974E85.jpg","07:55:26")</f>
      </c>
      <c r="U2087" s="20">
        <f>HYPERLINK("https://vnm.spiral.com.vn//uploaded/20210513/7CF1A61B-8A57-41BA-A917-03623B3909A8.jpg","11:31:16")</f>
      </c>
      <c r="V2087" s="18">
        <v>0.14988425925925927</v>
      </c>
      <c r="W2087" s="15" t="s">
        <v>11072</v>
      </c>
      <c r="X2087" s="15" t="s">
        <v>11073</v>
      </c>
      <c r="Y2087" s="15" t="s">
        <v>35</v>
      </c>
      <c r="Z2087" s="19">
        <v>0</v>
      </c>
      <c r="AA2087" s="15">
        <v>0</v>
      </c>
      <c r="AB2087" s="15" t="s">
        <v>35</v>
      </c>
    </row>
    <row r="2088">
      <c r="A2088" s="15">
        <v>2084</v>
      </c>
      <c r="B2088" s="15" t="s">
        <v>49</v>
      </c>
      <c r="C2088" s="15" t="s">
        <v>369</v>
      </c>
      <c r="D2088" s="15" t="s">
        <v>35</v>
      </c>
      <c r="E2088" s="15" t="s">
        <v>35</v>
      </c>
      <c r="F2088" s="15" t="s">
        <v>7649</v>
      </c>
      <c r="G2088" s="15" t="s">
        <v>36</v>
      </c>
      <c r="H2088" s="15" t="s">
        <v>7650</v>
      </c>
      <c r="I2088" s="15" t="s">
        <v>7651</v>
      </c>
      <c r="J2088" s="15" t="s">
        <v>3461</v>
      </c>
      <c r="K2088" s="15" t="s">
        <v>40</v>
      </c>
      <c r="L2088" s="15" t="s">
        <v>41</v>
      </c>
      <c r="M2088" s="15" t="s">
        <v>55</v>
      </c>
      <c r="N2088" s="15" t="s">
        <v>56</v>
      </c>
      <c r="O2088" s="15" t="s">
        <v>44</v>
      </c>
      <c r="P2088" s="15" t="s">
        <v>7652</v>
      </c>
      <c r="Q2088" s="15" t="s">
        <v>7653</v>
      </c>
      <c r="R2088" s="16">
        <v>44329</v>
      </c>
      <c r="S2088" s="17" t="s">
        <v>7866</v>
      </c>
      <c r="T2088" s="20">
        <f>HYPERLINK("https://vnm.spiral.com.vn//uploaded/20210513/50BE4D82-C3B3-447F-8193-C5B046B1DDED.jpg","07:33:18")</f>
      </c>
      <c r="U2088" s="20">
        <f>HYPERLINK("https://vnm.spiral.com.vn//uploaded/20210513/598329D5-3C76-42CB-8533-50DD326A7295.jpg","11:31:15")</f>
      </c>
      <c r="V2088" s="18">
        <v>0.16524305555555555</v>
      </c>
      <c r="W2088" s="15" t="s">
        <v>11074</v>
      </c>
      <c r="X2088" s="15" t="s">
        <v>11075</v>
      </c>
      <c r="Y2088" s="15" t="s">
        <v>35</v>
      </c>
      <c r="Z2088" s="19">
        <v>0</v>
      </c>
      <c r="AA2088" s="15">
        <v>0</v>
      </c>
      <c r="AB2088" s="15" t="s">
        <v>35</v>
      </c>
    </row>
    <row r="2089">
      <c r="A2089" s="15">
        <v>2085</v>
      </c>
      <c r="B2089" s="15" t="s">
        <v>33</v>
      </c>
      <c r="C2089" s="15" t="s">
        <v>2883</v>
      </c>
      <c r="D2089" s="15" t="s">
        <v>35</v>
      </c>
      <c r="E2089" s="15" t="s">
        <v>35</v>
      </c>
      <c r="F2089" s="15" t="s">
        <v>35</v>
      </c>
      <c r="G2089" s="15" t="s">
        <v>74</v>
      </c>
      <c r="H2089" s="15" t="s">
        <v>11076</v>
      </c>
      <c r="I2089" s="15" t="s">
        <v>11077</v>
      </c>
      <c r="J2089" s="15" t="s">
        <v>11078</v>
      </c>
      <c r="K2089" s="15" t="s">
        <v>540</v>
      </c>
      <c r="L2089" s="15" t="s">
        <v>541</v>
      </c>
      <c r="M2089" s="15" t="s">
        <v>2887</v>
      </c>
      <c r="N2089" s="15" t="s">
        <v>2888</v>
      </c>
      <c r="O2089" s="15" t="s">
        <v>98</v>
      </c>
      <c r="P2089" s="15" t="s">
        <v>2889</v>
      </c>
      <c r="Q2089" s="15" t="s">
        <v>2890</v>
      </c>
      <c r="R2089" s="16">
        <v>44329</v>
      </c>
      <c r="S2089" s="17" t="s">
        <v>35</v>
      </c>
      <c r="T2089" s="20">
        <f>HYPERLINK("https://vnm.spiral.com.vn//uploaded/20210513/5800617F-A79B-4FBC-A4E1-22198299B030.jpg","10:55:04")</f>
      </c>
      <c r="U2089" s="20">
        <f>HYPERLINK("https://vnm.spiral.com.vn//uploaded/20210513/2BE0B814-650F-48F0-A2F3-25DC737D2145.jpg","11:31:14")</f>
      </c>
      <c r="V2089" s="18">
        <v>0.02511574074074074</v>
      </c>
      <c r="W2089" s="15" t="s">
        <v>11079</v>
      </c>
      <c r="X2089" s="15" t="s">
        <v>11080</v>
      </c>
      <c r="Y2089" s="15" t="s">
        <v>35</v>
      </c>
      <c r="Z2089" s="19">
        <v>0</v>
      </c>
      <c r="AA2089" s="15">
        <v>0</v>
      </c>
      <c r="AB2089" s="15" t="s">
        <v>35</v>
      </c>
    </row>
    <row r="2090">
      <c r="A2090" s="15">
        <v>2086</v>
      </c>
      <c r="B2090" s="15" t="s">
        <v>61</v>
      </c>
      <c r="C2090" s="15" t="s">
        <v>303</v>
      </c>
      <c r="D2090" s="15" t="s">
        <v>89</v>
      </c>
      <c r="E2090" s="15" t="s">
        <v>90</v>
      </c>
      <c r="F2090" s="15" t="s">
        <v>35</v>
      </c>
      <c r="G2090" s="15" t="s">
        <v>74</v>
      </c>
      <c r="H2090" s="15" t="s">
        <v>2126</v>
      </c>
      <c r="I2090" s="15" t="s">
        <v>2127</v>
      </c>
      <c r="J2090" s="15" t="s">
        <v>2128</v>
      </c>
      <c r="K2090" s="15" t="s">
        <v>232</v>
      </c>
      <c r="L2090" s="15" t="s">
        <v>233</v>
      </c>
      <c r="M2090" s="15" t="s">
        <v>503</v>
      </c>
      <c r="N2090" s="15" t="s">
        <v>504</v>
      </c>
      <c r="O2090" s="15" t="s">
        <v>156</v>
      </c>
      <c r="P2090" s="15" t="s">
        <v>2129</v>
      </c>
      <c r="Q2090" s="15" t="s">
        <v>2130</v>
      </c>
      <c r="R2090" s="16">
        <v>44329</v>
      </c>
      <c r="S2090" s="17" t="s">
        <v>10687</v>
      </c>
      <c r="T2090" s="20">
        <f>HYPERLINK("https://vnm.spiral.com.vn//uploaded/20210513/89934376-13A6-4E7F-90DE-BFEC80F78A63.jpg","07:44:44")</f>
      </c>
      <c r="U2090" s="20">
        <f>HYPERLINK("https://vnm.spiral.com.vn//uploaded/20210513/E63AAC5C-ABE5-44B6-AC72-5B63CC1943A5.jpg","11:31:13")</f>
      </c>
      <c r="V2090" s="18">
        <v>0.1572800925925926</v>
      </c>
      <c r="W2090" s="15" t="s">
        <v>11081</v>
      </c>
      <c r="X2090" s="15" t="s">
        <v>11082</v>
      </c>
      <c r="Y2090" s="15" t="s">
        <v>35</v>
      </c>
      <c r="Z2090" s="19">
        <v>0</v>
      </c>
      <c r="AA2090" s="15">
        <v>0</v>
      </c>
      <c r="AB2090" s="15" t="s">
        <v>35</v>
      </c>
    </row>
    <row r="2091">
      <c r="A2091" s="15">
        <v>2087</v>
      </c>
      <c r="B2091" s="15" t="s">
        <v>103</v>
      </c>
      <c r="C2091" s="15" t="s">
        <v>186</v>
      </c>
      <c r="D2091" s="15" t="s">
        <v>35</v>
      </c>
      <c r="E2091" s="15" t="s">
        <v>35</v>
      </c>
      <c r="F2091" s="15" t="s">
        <v>35</v>
      </c>
      <c r="G2091" s="15" t="s">
        <v>36</v>
      </c>
      <c r="H2091" s="15" t="s">
        <v>7678</v>
      </c>
      <c r="I2091" s="15" t="s">
        <v>7679</v>
      </c>
      <c r="J2091" s="15" t="s">
        <v>7680</v>
      </c>
      <c r="K2091" s="15" t="s">
        <v>40</v>
      </c>
      <c r="L2091" s="15" t="s">
        <v>41</v>
      </c>
      <c r="M2091" s="15" t="s">
        <v>565</v>
      </c>
      <c r="N2091" s="15" t="s">
        <v>566</v>
      </c>
      <c r="O2091" s="15" t="s">
        <v>44</v>
      </c>
      <c r="P2091" s="15" t="s">
        <v>7681</v>
      </c>
      <c r="Q2091" s="15" t="s">
        <v>7682</v>
      </c>
      <c r="R2091" s="16">
        <v>44329</v>
      </c>
      <c r="S2091" s="17" t="s">
        <v>9664</v>
      </c>
      <c r="T2091" s="20">
        <f>HYPERLINK("https://vnm.spiral.com.vn//uploaded/20210513/bcbfd7c5-d024-4df1-846b-f70123d1df2d.JPEG","07:25:43")</f>
      </c>
      <c r="U2091" s="20">
        <f>HYPERLINK("https://vnm.spiral.com.vn//uploaded/20210513/90e5863d-5626-42d8-be62-2d7a47dd9d1b.JPEG","11:31:12")</f>
      </c>
      <c r="V2091" s="18">
        <v>0.17047453703703705</v>
      </c>
      <c r="W2091" s="15" t="s">
        <v>11083</v>
      </c>
      <c r="X2091" s="15" t="s">
        <v>11084</v>
      </c>
      <c r="Y2091" s="15" t="s">
        <v>35</v>
      </c>
      <c r="Z2091" s="19">
        <v>0</v>
      </c>
      <c r="AA2091" s="15">
        <v>0</v>
      </c>
      <c r="AB2091" s="15" t="s">
        <v>35</v>
      </c>
    </row>
    <row r="2092">
      <c r="A2092" s="15">
        <v>2088</v>
      </c>
      <c r="B2092" s="15" t="s">
        <v>87</v>
      </c>
      <c r="C2092" s="15" t="s">
        <v>88</v>
      </c>
      <c r="D2092" s="15" t="s">
        <v>135</v>
      </c>
      <c r="E2092" s="15" t="s">
        <v>116</v>
      </c>
      <c r="F2092" s="15" t="s">
        <v>35</v>
      </c>
      <c r="G2092" s="15" t="s">
        <v>74</v>
      </c>
      <c r="H2092" s="15" t="s">
        <v>11085</v>
      </c>
      <c r="I2092" s="15" t="s">
        <v>11086</v>
      </c>
      <c r="J2092" s="15" t="s">
        <v>11087</v>
      </c>
      <c r="K2092" s="15" t="s">
        <v>390</v>
      </c>
      <c r="L2092" s="15" t="s">
        <v>391</v>
      </c>
      <c r="M2092" s="15" t="s">
        <v>392</v>
      </c>
      <c r="N2092" s="15" t="s">
        <v>393</v>
      </c>
      <c r="O2092" s="15" t="s">
        <v>82</v>
      </c>
      <c r="P2092" s="15" t="s">
        <v>481</v>
      </c>
      <c r="Q2092" s="15" t="s">
        <v>482</v>
      </c>
      <c r="R2092" s="16">
        <v>44329</v>
      </c>
      <c r="S2092" s="17" t="s">
        <v>70</v>
      </c>
      <c r="T2092" s="20">
        <f>HYPERLINK("https://vnm.spiral.com.vn//uploaded/20210513/89181f66-d219-42fc-b905-caed7ef6e618.JPEG","11:00:38")</f>
      </c>
      <c r="U2092" s="20">
        <f>HYPERLINK("https://vnm.spiral.com.vn//uploaded/20210513/611ea80a-1900-43e9-b952-d48fa557dd8a.JPEG","11:31:08")</f>
      </c>
      <c r="V2092" s="18">
        <v>0.021180555555555557</v>
      </c>
      <c r="W2092" s="15" t="s">
        <v>11088</v>
      </c>
      <c r="X2092" s="15" t="s">
        <v>11089</v>
      </c>
      <c r="Y2092" s="15" t="s">
        <v>35</v>
      </c>
      <c r="Z2092" s="19">
        <v>0</v>
      </c>
      <c r="AA2092" s="15">
        <v>0</v>
      </c>
      <c r="AB2092" s="15" t="s">
        <v>35</v>
      </c>
    </row>
    <row r="2093">
      <c r="A2093" s="15">
        <v>2089</v>
      </c>
      <c r="B2093" s="15" t="s">
        <v>61</v>
      </c>
      <c r="C2093" s="15" t="s">
        <v>320</v>
      </c>
      <c r="D2093" s="15" t="s">
        <v>35</v>
      </c>
      <c r="E2093" s="15" t="s">
        <v>35</v>
      </c>
      <c r="F2093" s="15" t="s">
        <v>35</v>
      </c>
      <c r="G2093" s="15" t="s">
        <v>36</v>
      </c>
      <c r="H2093" s="15" t="s">
        <v>11090</v>
      </c>
      <c r="I2093" s="15" t="s">
        <v>11091</v>
      </c>
      <c r="J2093" s="15" t="s">
        <v>11092</v>
      </c>
      <c r="K2093" s="15" t="s">
        <v>40</v>
      </c>
      <c r="L2093" s="15" t="s">
        <v>41</v>
      </c>
      <c r="M2093" s="15" t="s">
        <v>205</v>
      </c>
      <c r="N2093" s="15" t="s">
        <v>206</v>
      </c>
      <c r="O2093" s="15" t="s">
        <v>44</v>
      </c>
      <c r="P2093" s="15" t="s">
        <v>8486</v>
      </c>
      <c r="Q2093" s="15" t="s">
        <v>8487</v>
      </c>
      <c r="R2093" s="16">
        <v>44329</v>
      </c>
      <c r="S2093" s="17" t="s">
        <v>7866</v>
      </c>
      <c r="T2093" s="20">
        <f>HYPERLINK("https://vnm.spiral.com.vn//uploaded/20210513/ADDEE53E-4BFB-4CC7-8BC4-3C8DFAC8CCE6.jpg","07:30:31")</f>
      </c>
      <c r="U2093" s="20">
        <f>HYPERLINK("https://vnm.spiral.com.vn//uploaded/20210513/84E15CE7-9015-4E14-8A50-E03322F4461D.jpg","11:31:01")</f>
      </c>
      <c r="V2093" s="18">
        <v>0.16701388888888888</v>
      </c>
      <c r="W2093" s="15" t="s">
        <v>11093</v>
      </c>
      <c r="X2093" s="15" t="s">
        <v>11094</v>
      </c>
      <c r="Y2093" s="15" t="s">
        <v>35</v>
      </c>
      <c r="Z2093" s="19">
        <v>0</v>
      </c>
      <c r="AA2093" s="15">
        <v>0</v>
      </c>
      <c r="AB2093" s="15" t="s">
        <v>35</v>
      </c>
    </row>
    <row r="2094">
      <c r="A2094" s="15">
        <v>2090</v>
      </c>
      <c r="B2094" s="15" t="s">
        <v>61</v>
      </c>
      <c r="C2094" s="15" t="s">
        <v>712</v>
      </c>
      <c r="D2094" s="15" t="s">
        <v>35</v>
      </c>
      <c r="E2094" s="15" t="s">
        <v>35</v>
      </c>
      <c r="F2094" s="15" t="s">
        <v>35</v>
      </c>
      <c r="G2094" s="15" t="s">
        <v>36</v>
      </c>
      <c r="H2094" s="15" t="s">
        <v>6913</v>
      </c>
      <c r="I2094" s="15" t="s">
        <v>6914</v>
      </c>
      <c r="J2094" s="15" t="s">
        <v>6915</v>
      </c>
      <c r="K2094" s="15" t="s">
        <v>40</v>
      </c>
      <c r="L2094" s="15" t="s">
        <v>41</v>
      </c>
      <c r="M2094" s="15" t="s">
        <v>205</v>
      </c>
      <c r="N2094" s="15" t="s">
        <v>206</v>
      </c>
      <c r="O2094" s="15" t="s">
        <v>44</v>
      </c>
      <c r="P2094" s="15" t="s">
        <v>6916</v>
      </c>
      <c r="Q2094" s="15" t="s">
        <v>6917</v>
      </c>
      <c r="R2094" s="16">
        <v>44329</v>
      </c>
      <c r="S2094" s="17" t="s">
        <v>8968</v>
      </c>
      <c r="T2094" s="20">
        <f>HYPERLINK("https://vnm.spiral.com.vn//uploaded/20210513/D105635E-364E-44B7-B53B-2C64BDC275D3.jpg","07:30:51")</f>
      </c>
      <c r="U2094" s="20">
        <f>HYPERLINK("https://vnm.spiral.com.vn//uploaded/20210513/4F588A94-1B0E-4B1A-A7BC-346EDB6FD052.jpg","11:31:00")</f>
      </c>
      <c r="V2094" s="18">
        <v>0.16677083333333334</v>
      </c>
      <c r="W2094" s="15" t="s">
        <v>11095</v>
      </c>
      <c r="X2094" s="15" t="s">
        <v>11096</v>
      </c>
      <c r="Y2094" s="15" t="s">
        <v>35</v>
      </c>
      <c r="Z2094" s="19">
        <v>0</v>
      </c>
      <c r="AA2094" s="15">
        <v>0</v>
      </c>
      <c r="AB2094" s="15" t="s">
        <v>35</v>
      </c>
    </row>
    <row r="2095">
      <c r="A2095" s="15">
        <v>2091</v>
      </c>
      <c r="B2095" s="15" t="s">
        <v>49</v>
      </c>
      <c r="C2095" s="15" t="s">
        <v>1715</v>
      </c>
      <c r="D2095" s="15" t="s">
        <v>35</v>
      </c>
      <c r="E2095" s="15" t="s">
        <v>35</v>
      </c>
      <c r="F2095" s="15" t="s">
        <v>3661</v>
      </c>
      <c r="G2095" s="15" t="s">
        <v>36</v>
      </c>
      <c r="H2095" s="15" t="s">
        <v>7860</v>
      </c>
      <c r="I2095" s="15" t="s">
        <v>7861</v>
      </c>
      <c r="J2095" s="15" t="s">
        <v>7862</v>
      </c>
      <c r="K2095" s="15" t="s">
        <v>40</v>
      </c>
      <c r="L2095" s="15" t="s">
        <v>41</v>
      </c>
      <c r="M2095" s="15" t="s">
        <v>55</v>
      </c>
      <c r="N2095" s="15" t="s">
        <v>56</v>
      </c>
      <c r="O2095" s="15" t="s">
        <v>44</v>
      </c>
      <c r="P2095" s="15" t="s">
        <v>7863</v>
      </c>
      <c r="Q2095" s="15" t="s">
        <v>7864</v>
      </c>
      <c r="R2095" s="16">
        <v>44329</v>
      </c>
      <c r="S2095" s="17" t="s">
        <v>7866</v>
      </c>
      <c r="T2095" s="20">
        <f>HYPERLINK("https://vnm.spiral.com.vn//uploaded/20210513/C397FBC7-C104-4B59-AFC5-8F01742DEEAB.jpg","07:19:52")</f>
      </c>
      <c r="U2095" s="20">
        <f>HYPERLINK("https://vnm.spiral.com.vn//uploaded/20210513/E4FEAB3C-529F-4AA0-8835-5933F17BE427.jpg","11:30:57")</f>
      </c>
      <c r="V2095" s="18">
        <v>0.17436342592592594</v>
      </c>
      <c r="W2095" s="15" t="s">
        <v>11097</v>
      </c>
      <c r="X2095" s="15" t="s">
        <v>11098</v>
      </c>
      <c r="Y2095" s="15" t="s">
        <v>35</v>
      </c>
      <c r="Z2095" s="19">
        <v>0</v>
      </c>
      <c r="AA2095" s="15">
        <v>0</v>
      </c>
      <c r="AB2095" s="15" t="s">
        <v>35</v>
      </c>
    </row>
    <row r="2096">
      <c r="A2096" s="15">
        <v>2092</v>
      </c>
      <c r="B2096" s="15" t="s">
        <v>246</v>
      </c>
      <c r="C2096" s="15" t="s">
        <v>247</v>
      </c>
      <c r="D2096" s="15" t="s">
        <v>35</v>
      </c>
      <c r="E2096" s="15" t="s">
        <v>35</v>
      </c>
      <c r="F2096" s="15" t="s">
        <v>248</v>
      </c>
      <c r="G2096" s="15" t="s">
        <v>36</v>
      </c>
      <c r="H2096" s="15" t="s">
        <v>6504</v>
      </c>
      <c r="I2096" s="15" t="s">
        <v>6505</v>
      </c>
      <c r="J2096" s="15" t="s">
        <v>6506</v>
      </c>
      <c r="K2096" s="15" t="s">
        <v>40</v>
      </c>
      <c r="L2096" s="15" t="s">
        <v>41</v>
      </c>
      <c r="M2096" s="15" t="s">
        <v>252</v>
      </c>
      <c r="N2096" s="15" t="s">
        <v>253</v>
      </c>
      <c r="O2096" s="15" t="s">
        <v>44</v>
      </c>
      <c r="P2096" s="15" t="s">
        <v>6507</v>
      </c>
      <c r="Q2096" s="15" t="s">
        <v>2664</v>
      </c>
      <c r="R2096" s="16">
        <v>44329</v>
      </c>
      <c r="S2096" s="17" t="s">
        <v>7866</v>
      </c>
      <c r="T2096" s="20">
        <f>HYPERLINK("https://vnm.spiral.com.vn//uploaded/20210513/1f8aa0e9-3a59-4a85-a111-1e750a01f5a5.JPEG","07:31:30")</f>
      </c>
      <c r="U2096" s="20">
        <f>HYPERLINK("https://vnm.spiral.com.vn//uploaded/20210513/99b1de77-e453-40cb-bad7-529d0424ff6f.JPEG","11:30:53")</f>
      </c>
      <c r="V2096" s="18">
        <v>0.16623842592592591</v>
      </c>
      <c r="W2096" s="15" t="s">
        <v>11099</v>
      </c>
      <c r="X2096" s="15" t="s">
        <v>11100</v>
      </c>
      <c r="Y2096" s="15" t="s">
        <v>35</v>
      </c>
      <c r="Z2096" s="19">
        <v>0</v>
      </c>
      <c r="AA2096" s="15">
        <v>0</v>
      </c>
      <c r="AB2096" s="15" t="s">
        <v>35</v>
      </c>
    </row>
    <row r="2097">
      <c r="A2097" s="15">
        <v>2093</v>
      </c>
      <c r="B2097" s="15" t="s">
        <v>49</v>
      </c>
      <c r="C2097" s="15" t="s">
        <v>468</v>
      </c>
      <c r="D2097" s="15" t="s">
        <v>35</v>
      </c>
      <c r="E2097" s="15" t="s">
        <v>35</v>
      </c>
      <c r="F2097" s="15" t="s">
        <v>1435</v>
      </c>
      <c r="G2097" s="15" t="s">
        <v>36</v>
      </c>
      <c r="H2097" s="15" t="s">
        <v>8148</v>
      </c>
      <c r="I2097" s="15" t="s">
        <v>8149</v>
      </c>
      <c r="J2097" s="15" t="s">
        <v>8150</v>
      </c>
      <c r="K2097" s="15" t="s">
        <v>40</v>
      </c>
      <c r="L2097" s="15" t="s">
        <v>41</v>
      </c>
      <c r="M2097" s="15" t="s">
        <v>55</v>
      </c>
      <c r="N2097" s="15" t="s">
        <v>56</v>
      </c>
      <c r="O2097" s="15" t="s">
        <v>44</v>
      </c>
      <c r="P2097" s="15" t="s">
        <v>8151</v>
      </c>
      <c r="Q2097" s="15" t="s">
        <v>8152</v>
      </c>
      <c r="R2097" s="16">
        <v>44329</v>
      </c>
      <c r="S2097" s="17" t="s">
        <v>7866</v>
      </c>
      <c r="T2097" s="20">
        <f>HYPERLINK("https://vnm.spiral.com.vn//uploaded/20210513/589b0f42-2a28-48ef-a4ce-85c5ffcee883.JPEG","07:33:16")</f>
      </c>
      <c r="U2097" s="20">
        <f>HYPERLINK("https://vnm.spiral.com.vn//uploaded/20210513/9a1d07fb-3948-4822-bbaf-d227e582abfc.JPEG","11:30:43")</f>
      </c>
      <c r="V2097" s="18">
        <v>0.16489583333333332</v>
      </c>
      <c r="W2097" s="15" t="s">
        <v>11101</v>
      </c>
      <c r="X2097" s="15" t="s">
        <v>11102</v>
      </c>
      <c r="Y2097" s="15" t="s">
        <v>35</v>
      </c>
      <c r="Z2097" s="19">
        <v>0</v>
      </c>
      <c r="AA2097" s="15">
        <v>0</v>
      </c>
      <c r="AB2097" s="15" t="s">
        <v>35</v>
      </c>
    </row>
    <row r="2098">
      <c r="A2098" s="15">
        <v>2094</v>
      </c>
      <c r="B2098" s="15" t="s">
        <v>33</v>
      </c>
      <c r="C2098" s="15" t="s">
        <v>34</v>
      </c>
      <c r="D2098" s="15" t="s">
        <v>35</v>
      </c>
      <c r="E2098" s="15" t="s">
        <v>35</v>
      </c>
      <c r="F2098" s="15" t="s">
        <v>35</v>
      </c>
      <c r="G2098" s="15" t="s">
        <v>36</v>
      </c>
      <c r="H2098" s="15" t="s">
        <v>11103</v>
      </c>
      <c r="I2098" s="15" t="s">
        <v>5155</v>
      </c>
      <c r="J2098" s="15" t="s">
        <v>11104</v>
      </c>
      <c r="K2098" s="15" t="s">
        <v>40</v>
      </c>
      <c r="L2098" s="15" t="s">
        <v>41</v>
      </c>
      <c r="M2098" s="15" t="s">
        <v>42</v>
      </c>
      <c r="N2098" s="15" t="s">
        <v>43</v>
      </c>
      <c r="O2098" s="15" t="s">
        <v>44</v>
      </c>
      <c r="P2098" s="15" t="s">
        <v>6479</v>
      </c>
      <c r="Q2098" s="15" t="s">
        <v>6480</v>
      </c>
      <c r="R2098" s="16">
        <v>44329</v>
      </c>
      <c r="S2098" s="17" t="s">
        <v>7866</v>
      </c>
      <c r="T2098" s="20">
        <f>HYPERLINK("https://vnm.spiral.com.vn//uploaded/20210513/4EFF1713-3370-49F6-BE28-D3812DFC6FD2.jpg","07:34:38")</f>
      </c>
      <c r="U2098" s="20">
        <f>HYPERLINK("https://vnm.spiral.com.vn//uploaded/20210513/E5ACC927-CEE9-4392-AEA0-F85D9985EF13.jpg","11:30:41")</f>
      </c>
      <c r="V2098" s="18">
        <v>0.16392361111111112</v>
      </c>
      <c r="W2098" s="15" t="s">
        <v>11105</v>
      </c>
      <c r="X2098" s="15" t="s">
        <v>11106</v>
      </c>
      <c r="Y2098" s="15" t="s">
        <v>35</v>
      </c>
      <c r="Z2098" s="19">
        <v>0</v>
      </c>
      <c r="AA2098" s="15">
        <v>0</v>
      </c>
      <c r="AB2098" s="15" t="s">
        <v>35</v>
      </c>
    </row>
    <row r="2099">
      <c r="A2099" s="15">
        <v>2095</v>
      </c>
      <c r="B2099" s="15" t="s">
        <v>49</v>
      </c>
      <c r="C2099" s="15" t="s">
        <v>369</v>
      </c>
      <c r="D2099" s="15" t="s">
        <v>35</v>
      </c>
      <c r="E2099" s="15" t="s">
        <v>35</v>
      </c>
      <c r="F2099" s="15" t="s">
        <v>7649</v>
      </c>
      <c r="G2099" s="15" t="s">
        <v>36</v>
      </c>
      <c r="H2099" s="15" t="s">
        <v>8201</v>
      </c>
      <c r="I2099" s="15" t="s">
        <v>8202</v>
      </c>
      <c r="J2099" s="15" t="s">
        <v>8203</v>
      </c>
      <c r="K2099" s="15" t="s">
        <v>40</v>
      </c>
      <c r="L2099" s="15" t="s">
        <v>41</v>
      </c>
      <c r="M2099" s="15" t="s">
        <v>55</v>
      </c>
      <c r="N2099" s="15" t="s">
        <v>56</v>
      </c>
      <c r="O2099" s="15" t="s">
        <v>44</v>
      </c>
      <c r="P2099" s="15" t="s">
        <v>8204</v>
      </c>
      <c r="Q2099" s="15" t="s">
        <v>8205</v>
      </c>
      <c r="R2099" s="16">
        <v>44329</v>
      </c>
      <c r="S2099" s="17" t="s">
        <v>7866</v>
      </c>
      <c r="T2099" s="20">
        <f>HYPERLINK("https://vnm.spiral.com.vn//uploaded/20210513/a678ecf5-166c-489d-8ea4-c31c5f5d2bb1.JPEG","07:25:58")</f>
      </c>
      <c r="U2099" s="20">
        <f>HYPERLINK("https://vnm.spiral.com.vn//uploaded/20210513/0d717f1d-aff9-4815-a401-3f11732c458a.JPEG","11:30:40")</f>
      </c>
      <c r="V2099" s="18">
        <v>0.16993055555555556</v>
      </c>
      <c r="W2099" s="15" t="s">
        <v>11107</v>
      </c>
      <c r="X2099" s="15" t="s">
        <v>11108</v>
      </c>
      <c r="Y2099" s="15" t="s">
        <v>35</v>
      </c>
      <c r="Z2099" s="19">
        <v>0</v>
      </c>
      <c r="AA2099" s="15">
        <v>0</v>
      </c>
      <c r="AB2099" s="15" t="s">
        <v>35</v>
      </c>
    </row>
    <row r="2100">
      <c r="A2100" s="15">
        <v>2096</v>
      </c>
      <c r="B2100" s="15" t="s">
        <v>343</v>
      </c>
      <c r="C2100" s="15" t="s">
        <v>344</v>
      </c>
      <c r="D2100" s="15" t="s">
        <v>35</v>
      </c>
      <c r="E2100" s="15" t="s">
        <v>35</v>
      </c>
      <c r="F2100" s="15" t="s">
        <v>35</v>
      </c>
      <c r="G2100" s="15" t="s">
        <v>36</v>
      </c>
      <c r="H2100" s="15" t="s">
        <v>11109</v>
      </c>
      <c r="I2100" s="15" t="s">
        <v>11110</v>
      </c>
      <c r="J2100" s="15" t="s">
        <v>11111</v>
      </c>
      <c r="K2100" s="15" t="s">
        <v>40</v>
      </c>
      <c r="L2100" s="15" t="s">
        <v>41</v>
      </c>
      <c r="M2100" s="15" t="s">
        <v>409</v>
      </c>
      <c r="N2100" s="15" t="s">
        <v>410</v>
      </c>
      <c r="O2100" s="15" t="s">
        <v>44</v>
      </c>
      <c r="P2100" s="15" t="s">
        <v>8241</v>
      </c>
      <c r="Q2100" s="15" t="s">
        <v>1155</v>
      </c>
      <c r="R2100" s="16">
        <v>44329</v>
      </c>
      <c r="S2100" s="17" t="s">
        <v>7866</v>
      </c>
      <c r="T2100" s="20">
        <f>HYPERLINK("https://vnm.spiral.com.vn//uploaded/20210513/0167c3a2-9d96-4ff0-9e7b-7168d33c6ced.JPEG","07:36:01")</f>
      </c>
      <c r="U2100" s="20">
        <f>HYPERLINK("https://vnm.spiral.com.vn//uploaded/20210513/861583cc-1430-4443-a2f2-58ad5b3f1a6c.JPEG","11:30:40")</f>
      </c>
      <c r="V2100" s="18">
        <v>0.16295138888888888</v>
      </c>
      <c r="W2100" s="15" t="s">
        <v>11112</v>
      </c>
      <c r="X2100" s="15" t="s">
        <v>11113</v>
      </c>
      <c r="Y2100" s="15" t="s">
        <v>35</v>
      </c>
      <c r="Z2100" s="19">
        <v>0</v>
      </c>
      <c r="AA2100" s="15">
        <v>0</v>
      </c>
      <c r="AB2100" s="15" t="s">
        <v>35</v>
      </c>
    </row>
    <row r="2101">
      <c r="A2101" s="15">
        <v>2097</v>
      </c>
      <c r="B2101" s="15" t="s">
        <v>343</v>
      </c>
      <c r="C2101" s="15" t="s">
        <v>344</v>
      </c>
      <c r="D2101" s="15" t="s">
        <v>878</v>
      </c>
      <c r="E2101" s="15" t="s">
        <v>35</v>
      </c>
      <c r="F2101" s="15" t="s">
        <v>35</v>
      </c>
      <c r="G2101" s="15" t="s">
        <v>74</v>
      </c>
      <c r="H2101" s="15" t="s">
        <v>11114</v>
      </c>
      <c r="I2101" s="15" t="s">
        <v>11115</v>
      </c>
      <c r="J2101" s="15" t="s">
        <v>11116</v>
      </c>
      <c r="K2101" s="15" t="s">
        <v>540</v>
      </c>
      <c r="L2101" s="15" t="s">
        <v>541</v>
      </c>
      <c r="M2101" s="15" t="s">
        <v>584</v>
      </c>
      <c r="N2101" s="15" t="s">
        <v>585</v>
      </c>
      <c r="O2101" s="15" t="s">
        <v>98</v>
      </c>
      <c r="P2101" s="15" t="s">
        <v>586</v>
      </c>
      <c r="Q2101" s="15" t="s">
        <v>587</v>
      </c>
      <c r="R2101" s="16">
        <v>44329</v>
      </c>
      <c r="S2101" s="17" t="s">
        <v>35</v>
      </c>
      <c r="T2101" s="20">
        <f>HYPERLINK("https://vnm.spiral.com.vn//uploaded/20210513/6B71CD65-CCA3-43E0-930A-1707925BD67F.jpg","09:53:06")</f>
      </c>
      <c r="U2101" s="20">
        <f>HYPERLINK("https://vnm.spiral.com.vn//uploaded/20210513/55ECEEFD-9566-45B8-A321-FA71F74C1FDE.jpg","11:30:40")</f>
      </c>
      <c r="V2101" s="18">
        <v>0.06775462962962962</v>
      </c>
      <c r="W2101" s="15" t="s">
        <v>11117</v>
      </c>
      <c r="X2101" s="15" t="s">
        <v>11118</v>
      </c>
      <c r="Y2101" s="15" t="s">
        <v>35</v>
      </c>
      <c r="Z2101" s="19">
        <v>0</v>
      </c>
      <c r="AA2101" s="15">
        <v>0</v>
      </c>
      <c r="AB2101" s="15" t="s">
        <v>35</v>
      </c>
    </row>
    <row r="2102">
      <c r="A2102" s="15">
        <v>2098</v>
      </c>
      <c r="B2102" s="15" t="s">
        <v>246</v>
      </c>
      <c r="C2102" s="15" t="s">
        <v>782</v>
      </c>
      <c r="D2102" s="15" t="s">
        <v>357</v>
      </c>
      <c r="E2102" s="15" t="s">
        <v>90</v>
      </c>
      <c r="F2102" s="15" t="s">
        <v>35</v>
      </c>
      <c r="G2102" s="15" t="s">
        <v>74</v>
      </c>
      <c r="H2102" s="15" t="s">
        <v>11119</v>
      </c>
      <c r="I2102" s="15" t="s">
        <v>11120</v>
      </c>
      <c r="J2102" s="15" t="s">
        <v>11121</v>
      </c>
      <c r="K2102" s="15" t="s">
        <v>263</v>
      </c>
      <c r="L2102" s="15" t="s">
        <v>264</v>
      </c>
      <c r="M2102" s="15" t="s">
        <v>280</v>
      </c>
      <c r="N2102" s="15" t="s">
        <v>281</v>
      </c>
      <c r="O2102" s="15" t="s">
        <v>156</v>
      </c>
      <c r="P2102" s="15" t="s">
        <v>5056</v>
      </c>
      <c r="Q2102" s="15" t="s">
        <v>5057</v>
      </c>
      <c r="R2102" s="16">
        <v>44329</v>
      </c>
      <c r="S2102" s="17" t="s">
        <v>7866</v>
      </c>
      <c r="T2102" s="20">
        <f>HYPERLINK("https://vnm.spiral.com.vn//uploaded/20210513/0C7ECFE7-3D80-477A-AF27-6673CF5548BC.jpg","07:05:52")</f>
      </c>
      <c r="U2102" s="20">
        <f>HYPERLINK("https://vnm.spiral.com.vn//uploaded/20210513/4E41097D-09E6-4671-91A8-EF32172CC658.jpg","11:30:39")</f>
      </c>
      <c r="V2102" s="18">
        <v>0.1838773148148148</v>
      </c>
      <c r="W2102" s="15" t="s">
        <v>11122</v>
      </c>
      <c r="X2102" s="15" t="s">
        <v>11123</v>
      </c>
      <c r="Y2102" s="15" t="s">
        <v>35</v>
      </c>
      <c r="Z2102" s="19">
        <v>0</v>
      </c>
      <c r="AA2102" s="15">
        <v>0</v>
      </c>
      <c r="AB2102" s="15" t="s">
        <v>35</v>
      </c>
    </row>
    <row r="2103">
      <c r="A2103" s="15">
        <v>2099</v>
      </c>
      <c r="B2103" s="15" t="s">
        <v>103</v>
      </c>
      <c r="C2103" s="15" t="s">
        <v>186</v>
      </c>
      <c r="D2103" s="15" t="s">
        <v>35</v>
      </c>
      <c r="E2103" s="15" t="s">
        <v>35</v>
      </c>
      <c r="F2103" s="15" t="s">
        <v>35</v>
      </c>
      <c r="G2103" s="15" t="s">
        <v>36</v>
      </c>
      <c r="H2103" s="15" t="s">
        <v>5675</v>
      </c>
      <c r="I2103" s="15" t="s">
        <v>5676</v>
      </c>
      <c r="J2103" s="15" t="s">
        <v>5677</v>
      </c>
      <c r="K2103" s="15" t="s">
        <v>40</v>
      </c>
      <c r="L2103" s="15" t="s">
        <v>41</v>
      </c>
      <c r="M2103" s="15" t="s">
        <v>565</v>
      </c>
      <c r="N2103" s="15" t="s">
        <v>566</v>
      </c>
      <c r="O2103" s="15" t="s">
        <v>44</v>
      </c>
      <c r="P2103" s="15" t="s">
        <v>5678</v>
      </c>
      <c r="Q2103" s="15" t="s">
        <v>5679</v>
      </c>
      <c r="R2103" s="16">
        <v>44329</v>
      </c>
      <c r="S2103" s="17" t="s">
        <v>7866</v>
      </c>
      <c r="T2103" s="20">
        <f>HYPERLINK("https://vnm.spiral.com.vn//uploaded/20210513/89B7F80A-416B-4E44-9955-3C8CD3EEB4CF.jpg","07:40:53")</f>
      </c>
      <c r="U2103" s="20">
        <f>HYPERLINK("https://vnm.spiral.com.vn//uploaded/20210513/81EAF94F-B779-4FFC-97E5-C60C7CAACE74.jpg","11:30:39")</f>
      </c>
      <c r="V2103" s="18">
        <v>0.1595601851851852</v>
      </c>
      <c r="W2103" s="15" t="s">
        <v>11124</v>
      </c>
      <c r="X2103" s="15" t="s">
        <v>11125</v>
      </c>
      <c r="Y2103" s="15" t="s">
        <v>35</v>
      </c>
      <c r="Z2103" s="19">
        <v>0</v>
      </c>
      <c r="AA2103" s="15">
        <v>0</v>
      </c>
      <c r="AB2103" s="15" t="s">
        <v>35</v>
      </c>
    </row>
    <row r="2104">
      <c r="A2104" s="15">
        <v>2100</v>
      </c>
      <c r="B2104" s="15" t="s">
        <v>49</v>
      </c>
      <c r="C2104" s="15" t="s">
        <v>162</v>
      </c>
      <c r="D2104" s="15" t="s">
        <v>35</v>
      </c>
      <c r="E2104" s="15" t="s">
        <v>35</v>
      </c>
      <c r="F2104" s="15" t="s">
        <v>3675</v>
      </c>
      <c r="G2104" s="15" t="s">
        <v>36</v>
      </c>
      <c r="H2104" s="15" t="s">
        <v>7434</v>
      </c>
      <c r="I2104" s="15" t="s">
        <v>7435</v>
      </c>
      <c r="J2104" s="15" t="s">
        <v>7436</v>
      </c>
      <c r="K2104" s="15" t="s">
        <v>40</v>
      </c>
      <c r="L2104" s="15" t="s">
        <v>41</v>
      </c>
      <c r="M2104" s="15" t="s">
        <v>55</v>
      </c>
      <c r="N2104" s="15" t="s">
        <v>56</v>
      </c>
      <c r="O2104" s="15" t="s">
        <v>44</v>
      </c>
      <c r="P2104" s="15" t="s">
        <v>7437</v>
      </c>
      <c r="Q2104" s="15" t="s">
        <v>7438</v>
      </c>
      <c r="R2104" s="16">
        <v>44329</v>
      </c>
      <c r="S2104" s="17" t="s">
        <v>3018</v>
      </c>
      <c r="T2104" s="20">
        <f>HYPERLINK("https://vnm.spiral.com.vn//uploaded/20210513/84EB8FC8-3C36-4306-8148-19AB3A83AE8A.jpg","08:03:52")</f>
      </c>
      <c r="U2104" s="20">
        <f>HYPERLINK("https://vnm.spiral.com.vn//uploaded/20210513/80410BDF-1D95-4CA4-8BCB-33B59936488F.jpg","11:30:38")</f>
      </c>
      <c r="V2104" s="18">
        <v>0.14358796296296297</v>
      </c>
      <c r="W2104" s="15" t="s">
        <v>11126</v>
      </c>
      <c r="X2104" s="15" t="s">
        <v>11127</v>
      </c>
      <c r="Y2104" s="15" t="s">
        <v>35</v>
      </c>
      <c r="Z2104" s="19">
        <v>0</v>
      </c>
      <c r="AA2104" s="15">
        <v>0</v>
      </c>
      <c r="AB2104" s="15" t="s">
        <v>35</v>
      </c>
    </row>
    <row r="2105">
      <c r="A2105" s="15">
        <v>2101</v>
      </c>
      <c r="B2105" s="15" t="s">
        <v>343</v>
      </c>
      <c r="C2105" s="15" t="s">
        <v>344</v>
      </c>
      <c r="D2105" s="15" t="s">
        <v>35</v>
      </c>
      <c r="E2105" s="15" t="s">
        <v>35</v>
      </c>
      <c r="F2105" s="15" t="s">
        <v>35</v>
      </c>
      <c r="G2105" s="15" t="s">
        <v>36</v>
      </c>
      <c r="H2105" s="15" t="s">
        <v>11128</v>
      </c>
      <c r="I2105" s="15" t="s">
        <v>11129</v>
      </c>
      <c r="J2105" s="15" t="s">
        <v>11130</v>
      </c>
      <c r="K2105" s="15" t="s">
        <v>40</v>
      </c>
      <c r="L2105" s="15" t="s">
        <v>41</v>
      </c>
      <c r="M2105" s="15" t="s">
        <v>409</v>
      </c>
      <c r="N2105" s="15" t="s">
        <v>410</v>
      </c>
      <c r="O2105" s="15" t="s">
        <v>44</v>
      </c>
      <c r="P2105" s="15" t="s">
        <v>8216</v>
      </c>
      <c r="Q2105" s="15" t="s">
        <v>8217</v>
      </c>
      <c r="R2105" s="16">
        <v>44329</v>
      </c>
      <c r="S2105" s="17" t="s">
        <v>7866</v>
      </c>
      <c r="T2105" s="20">
        <f>HYPERLINK("https://vnm.spiral.com.vn//uploaded/20210513/ffb12649-7551-4ce5-87f4-a78f0a2c449e.JPEG","07:21:06")</f>
      </c>
      <c r="U2105" s="20">
        <f>HYPERLINK("https://vnm.spiral.com.vn//uploaded/20210513/1fd8a598-fa4f-4f08-86a9-8820e3a4b664.JPEG","11:30:38")</f>
      </c>
      <c r="V2105" s="18">
        <v>0.17328703703703704</v>
      </c>
      <c r="W2105" s="15" t="s">
        <v>11131</v>
      </c>
      <c r="X2105" s="15" t="s">
        <v>11132</v>
      </c>
      <c r="Y2105" s="15" t="s">
        <v>35</v>
      </c>
      <c r="Z2105" s="19">
        <v>0</v>
      </c>
      <c r="AA2105" s="15">
        <v>0</v>
      </c>
      <c r="AB2105" s="15" t="s">
        <v>35</v>
      </c>
    </row>
    <row r="2106">
      <c r="A2106" s="15">
        <v>2102</v>
      </c>
      <c r="B2106" s="15" t="s">
        <v>343</v>
      </c>
      <c r="C2106" s="15" t="s">
        <v>344</v>
      </c>
      <c r="D2106" s="15" t="s">
        <v>35</v>
      </c>
      <c r="E2106" s="15" t="s">
        <v>35</v>
      </c>
      <c r="F2106" s="15" t="s">
        <v>35</v>
      </c>
      <c r="G2106" s="15" t="s">
        <v>36</v>
      </c>
      <c r="H2106" s="15" t="s">
        <v>11133</v>
      </c>
      <c r="I2106" s="15" t="s">
        <v>11134</v>
      </c>
      <c r="J2106" s="15" t="s">
        <v>11135</v>
      </c>
      <c r="K2106" s="15" t="s">
        <v>40</v>
      </c>
      <c r="L2106" s="15" t="s">
        <v>41</v>
      </c>
      <c r="M2106" s="15" t="s">
        <v>409</v>
      </c>
      <c r="N2106" s="15" t="s">
        <v>410</v>
      </c>
      <c r="O2106" s="15" t="s">
        <v>44</v>
      </c>
      <c r="P2106" s="15" t="s">
        <v>8492</v>
      </c>
      <c r="Q2106" s="15" t="s">
        <v>8493</v>
      </c>
      <c r="R2106" s="16">
        <v>44329</v>
      </c>
      <c r="S2106" s="17" t="s">
        <v>7866</v>
      </c>
      <c r="T2106" s="20">
        <f>HYPERLINK("https://vnm.spiral.com.vn//uploaded/20210513/37262a3b-4057-4704-8dca-1689cf4cb9e9.JPEG","07:24:03")</f>
      </c>
      <c r="U2106" s="20">
        <f>HYPERLINK("https://vnm.spiral.com.vn//uploaded/20210513/139b7aae-7cf5-4cd1-af11-83e7803c8e89.JPEG","11:30:36")</f>
      </c>
      <c r="V2106" s="18">
        <v>0.17121527777777779</v>
      </c>
      <c r="W2106" s="15" t="s">
        <v>11136</v>
      </c>
      <c r="X2106" s="15" t="s">
        <v>11137</v>
      </c>
      <c r="Y2106" s="15" t="s">
        <v>35</v>
      </c>
      <c r="Z2106" s="19">
        <v>0</v>
      </c>
      <c r="AA2106" s="15">
        <v>0</v>
      </c>
      <c r="AB2106" s="15" t="s">
        <v>35</v>
      </c>
    </row>
    <row r="2107">
      <c r="A2107" s="15">
        <v>2103</v>
      </c>
      <c r="B2107" s="15" t="s">
        <v>61</v>
      </c>
      <c r="C2107" s="15" t="s">
        <v>904</v>
      </c>
      <c r="D2107" s="15" t="s">
        <v>35</v>
      </c>
      <c r="E2107" s="15" t="s">
        <v>35</v>
      </c>
      <c r="F2107" s="15" t="s">
        <v>35</v>
      </c>
      <c r="G2107" s="15" t="s">
        <v>36</v>
      </c>
      <c r="H2107" s="15" t="s">
        <v>8471</v>
      </c>
      <c r="I2107" s="15" t="s">
        <v>8472</v>
      </c>
      <c r="J2107" s="15" t="s">
        <v>8473</v>
      </c>
      <c r="K2107" s="15" t="s">
        <v>40</v>
      </c>
      <c r="L2107" s="15" t="s">
        <v>41</v>
      </c>
      <c r="M2107" s="15" t="s">
        <v>66</v>
      </c>
      <c r="N2107" s="15" t="s">
        <v>67</v>
      </c>
      <c r="O2107" s="15" t="s">
        <v>44</v>
      </c>
      <c r="P2107" s="15" t="s">
        <v>8474</v>
      </c>
      <c r="Q2107" s="15" t="s">
        <v>8475</v>
      </c>
      <c r="R2107" s="16">
        <v>44329</v>
      </c>
      <c r="S2107" s="17" t="s">
        <v>7866</v>
      </c>
      <c r="T2107" s="20">
        <f>HYPERLINK("https://vnm.spiral.com.vn//uploaded/20210513/DAE2DF82-9EC4-4E78-8D1B-8B480F3BE950.jpg","07:23:48")</f>
      </c>
      <c r="U2107" s="20">
        <f>HYPERLINK("https://vnm.spiral.com.vn//uploaded/20210513/A1268911-30ED-4656-9A11-510C3F2334E3.jpg","11:30:35")</f>
      </c>
      <c r="V2107" s="18">
        <v>0.1713773148148148</v>
      </c>
      <c r="W2107" s="15" t="s">
        <v>11138</v>
      </c>
      <c r="X2107" s="15" t="s">
        <v>11139</v>
      </c>
      <c r="Y2107" s="15" t="s">
        <v>35</v>
      </c>
      <c r="Z2107" s="19">
        <v>0</v>
      </c>
      <c r="AA2107" s="15">
        <v>0</v>
      </c>
      <c r="AB2107" s="15" t="s">
        <v>35</v>
      </c>
    </row>
    <row r="2108">
      <c r="A2108" s="15">
        <v>2104</v>
      </c>
      <c r="B2108" s="15" t="s">
        <v>33</v>
      </c>
      <c r="C2108" s="15" t="s">
        <v>34</v>
      </c>
      <c r="D2108" s="15" t="s">
        <v>35</v>
      </c>
      <c r="E2108" s="15" t="s">
        <v>35</v>
      </c>
      <c r="F2108" s="15" t="s">
        <v>6653</v>
      </c>
      <c r="G2108" s="15" t="s">
        <v>36</v>
      </c>
      <c r="H2108" s="15" t="s">
        <v>6654</v>
      </c>
      <c r="I2108" s="15" t="s">
        <v>6655</v>
      </c>
      <c r="J2108" s="15" t="s">
        <v>6656</v>
      </c>
      <c r="K2108" s="15" t="s">
        <v>40</v>
      </c>
      <c r="L2108" s="15" t="s">
        <v>41</v>
      </c>
      <c r="M2108" s="15" t="s">
        <v>42</v>
      </c>
      <c r="N2108" s="15" t="s">
        <v>43</v>
      </c>
      <c r="O2108" s="15" t="s">
        <v>44</v>
      </c>
      <c r="P2108" s="15" t="s">
        <v>6657</v>
      </c>
      <c r="Q2108" s="15" t="s">
        <v>6658</v>
      </c>
      <c r="R2108" s="16">
        <v>44329</v>
      </c>
      <c r="S2108" s="17" t="s">
        <v>7866</v>
      </c>
      <c r="T2108" s="20">
        <f>HYPERLINK("https://vnm.spiral.com.vn//uploaded/20210513/BAB17D2E-0722-4713-98C4-08CFD244E775.jpg","07:31:54")</f>
      </c>
      <c r="U2108" s="20">
        <f>HYPERLINK("https://vnm.spiral.com.vn//uploaded/20210513/D6FE5F2B-59DC-4F4D-A8B8-C64989A8499E.jpg","11:30:34")</f>
      </c>
      <c r="V2108" s="18">
        <v>0.16574074074074074</v>
      </c>
      <c r="W2108" s="15" t="s">
        <v>11140</v>
      </c>
      <c r="X2108" s="15" t="s">
        <v>11141</v>
      </c>
      <c r="Y2108" s="15" t="s">
        <v>35</v>
      </c>
      <c r="Z2108" s="19">
        <v>0</v>
      </c>
      <c r="AA2108" s="15">
        <v>0</v>
      </c>
      <c r="AB2108" s="15" t="s">
        <v>35</v>
      </c>
    </row>
    <row r="2109">
      <c r="A2109" s="15">
        <v>2105</v>
      </c>
      <c r="B2109" s="15" t="s">
        <v>246</v>
      </c>
      <c r="C2109" s="15" t="s">
        <v>2845</v>
      </c>
      <c r="D2109" s="15" t="s">
        <v>89</v>
      </c>
      <c r="E2109" s="15" t="s">
        <v>90</v>
      </c>
      <c r="F2109" s="15" t="s">
        <v>35</v>
      </c>
      <c r="G2109" s="15" t="s">
        <v>74</v>
      </c>
      <c r="H2109" s="15" t="s">
        <v>2846</v>
      </c>
      <c r="I2109" s="15" t="s">
        <v>2847</v>
      </c>
      <c r="J2109" s="15" t="s">
        <v>2848</v>
      </c>
      <c r="K2109" s="15" t="s">
        <v>263</v>
      </c>
      <c r="L2109" s="15" t="s">
        <v>264</v>
      </c>
      <c r="M2109" s="15" t="s">
        <v>2009</v>
      </c>
      <c r="N2109" s="15" t="s">
        <v>2010</v>
      </c>
      <c r="O2109" s="15" t="s">
        <v>156</v>
      </c>
      <c r="P2109" s="15" t="s">
        <v>2849</v>
      </c>
      <c r="Q2109" s="15" t="s">
        <v>2850</v>
      </c>
      <c r="R2109" s="16">
        <v>44329</v>
      </c>
      <c r="S2109" s="17" t="s">
        <v>7866</v>
      </c>
      <c r="T2109" s="20">
        <f>HYPERLINK("https://vnm.spiral.com.vn//uploaded/20210513/f624c9fa-0333-4f6b-84d0-c6b31e5ba64f.JPEG","07:21:31")</f>
      </c>
      <c r="U2109" s="20">
        <f>HYPERLINK("https://vnm.spiral.com.vn//uploaded/20210513/b22a8ade-9092-4736-87d8-e3f60b1dbc25.JPEG","11:30:34")</f>
      </c>
      <c r="V2109" s="18">
        <v>0.1729513888888889</v>
      </c>
      <c r="W2109" s="15" t="s">
        <v>11142</v>
      </c>
      <c r="X2109" s="15" t="s">
        <v>11143</v>
      </c>
      <c r="Y2109" s="15" t="s">
        <v>35</v>
      </c>
      <c r="Z2109" s="19">
        <v>0</v>
      </c>
      <c r="AA2109" s="15">
        <v>0</v>
      </c>
      <c r="AB2109" s="15" t="s">
        <v>35</v>
      </c>
    </row>
    <row r="2110">
      <c r="A2110" s="15">
        <v>2106</v>
      </c>
      <c r="B2110" s="15" t="s">
        <v>246</v>
      </c>
      <c r="C2110" s="15" t="s">
        <v>2845</v>
      </c>
      <c r="D2110" s="15" t="s">
        <v>357</v>
      </c>
      <c r="E2110" s="15" t="s">
        <v>90</v>
      </c>
      <c r="F2110" s="15" t="s">
        <v>35</v>
      </c>
      <c r="G2110" s="15" t="s">
        <v>74</v>
      </c>
      <c r="H2110" s="15" t="s">
        <v>9003</v>
      </c>
      <c r="I2110" s="15" t="s">
        <v>9004</v>
      </c>
      <c r="J2110" s="15" t="s">
        <v>9005</v>
      </c>
      <c r="K2110" s="15" t="s">
        <v>263</v>
      </c>
      <c r="L2110" s="15" t="s">
        <v>264</v>
      </c>
      <c r="M2110" s="15" t="s">
        <v>2009</v>
      </c>
      <c r="N2110" s="15" t="s">
        <v>2010</v>
      </c>
      <c r="O2110" s="15" t="s">
        <v>156</v>
      </c>
      <c r="P2110" s="15" t="s">
        <v>9006</v>
      </c>
      <c r="Q2110" s="15" t="s">
        <v>9007</v>
      </c>
      <c r="R2110" s="16">
        <v>44329</v>
      </c>
      <c r="S2110" s="17" t="s">
        <v>7866</v>
      </c>
      <c r="T2110" s="20">
        <f>HYPERLINK("https://vnm.spiral.com.vn//uploaded/20210513/7DDE7AF9-0850-4E5D-9F96-4D8605CE535A.jpg","08:16:40")</f>
      </c>
      <c r="U2110" s="20">
        <f>HYPERLINK("https://vnm.spiral.com.vn//uploaded/20210513/E84D402F-AA96-4F73-B209-F1DDEEA10152.jpg","11:30:30")</f>
      </c>
      <c r="V2110" s="18">
        <v>0.1346064814814815</v>
      </c>
      <c r="W2110" s="15" t="s">
        <v>11144</v>
      </c>
      <c r="X2110" s="15" t="s">
        <v>11145</v>
      </c>
      <c r="Y2110" s="15" t="s">
        <v>35</v>
      </c>
      <c r="Z2110" s="19">
        <v>0</v>
      </c>
      <c r="AA2110" s="15">
        <v>0</v>
      </c>
      <c r="AB2110" s="15" t="s">
        <v>35</v>
      </c>
    </row>
    <row r="2111">
      <c r="A2111" s="15">
        <v>2107</v>
      </c>
      <c r="B2111" s="15" t="s">
        <v>246</v>
      </c>
      <c r="C2111" s="15" t="s">
        <v>259</v>
      </c>
      <c r="D2111" s="15" t="s">
        <v>35</v>
      </c>
      <c r="E2111" s="15" t="s">
        <v>35</v>
      </c>
      <c r="F2111" s="15" t="s">
        <v>4355</v>
      </c>
      <c r="G2111" s="15" t="s">
        <v>36</v>
      </c>
      <c r="H2111" s="15" t="s">
        <v>6122</v>
      </c>
      <c r="I2111" s="15" t="s">
        <v>6123</v>
      </c>
      <c r="J2111" s="15" t="s">
        <v>6124</v>
      </c>
      <c r="K2111" s="15" t="s">
        <v>40</v>
      </c>
      <c r="L2111" s="15" t="s">
        <v>41</v>
      </c>
      <c r="M2111" s="15" t="s">
        <v>252</v>
      </c>
      <c r="N2111" s="15" t="s">
        <v>253</v>
      </c>
      <c r="O2111" s="15" t="s">
        <v>44</v>
      </c>
      <c r="P2111" s="15" t="s">
        <v>6125</v>
      </c>
      <c r="Q2111" s="15" t="s">
        <v>6126</v>
      </c>
      <c r="R2111" s="16">
        <v>44329</v>
      </c>
      <c r="S2111" s="17" t="s">
        <v>7866</v>
      </c>
      <c r="T2111" s="20">
        <f>HYPERLINK("https://vnm.spiral.com.vn//uploaded/20210513/2CEF61F0-F538-4F5A-8D86-17844367C5C2.jpg","07:39:24")</f>
      </c>
      <c r="U2111" s="20">
        <f>HYPERLINK("https://vnm.spiral.com.vn//uploaded/20210513/D928571F-0C80-4317-9DBE-A1FFAA413F5F.jpg","11:30:28")</f>
      </c>
      <c r="V2111" s="18">
        <v>0.16046296296296297</v>
      </c>
      <c r="W2111" s="15" t="s">
        <v>11146</v>
      </c>
      <c r="X2111" s="15" t="s">
        <v>11147</v>
      </c>
      <c r="Y2111" s="15" t="s">
        <v>35</v>
      </c>
      <c r="Z2111" s="19">
        <v>0</v>
      </c>
      <c r="AA2111" s="15">
        <v>0</v>
      </c>
      <c r="AB2111" s="15" t="s">
        <v>35</v>
      </c>
    </row>
    <row r="2112">
      <c r="A2112" s="15">
        <v>2108</v>
      </c>
      <c r="B2112" s="15" t="s">
        <v>103</v>
      </c>
      <c r="C2112" s="15" t="s">
        <v>1078</v>
      </c>
      <c r="D2112" s="15" t="s">
        <v>35</v>
      </c>
      <c r="E2112" s="15" t="s">
        <v>35</v>
      </c>
      <c r="F2112" s="15" t="s">
        <v>35</v>
      </c>
      <c r="G2112" s="15" t="s">
        <v>35</v>
      </c>
      <c r="H2112" s="15" t="s">
        <v>11148</v>
      </c>
      <c r="I2112" s="15" t="s">
        <v>11149</v>
      </c>
      <c r="J2112" s="15" t="s">
        <v>11150</v>
      </c>
      <c r="K2112" s="15" t="s">
        <v>40</v>
      </c>
      <c r="L2112" s="15" t="s">
        <v>41</v>
      </c>
      <c r="M2112" s="15" t="s">
        <v>565</v>
      </c>
      <c r="N2112" s="15" t="s">
        <v>566</v>
      </c>
      <c r="O2112" s="15" t="s">
        <v>44</v>
      </c>
      <c r="P2112" s="15" t="s">
        <v>6850</v>
      </c>
      <c r="Q2112" s="15" t="s">
        <v>6851</v>
      </c>
      <c r="R2112" s="16">
        <v>44329</v>
      </c>
      <c r="S2112" s="17" t="s">
        <v>7866</v>
      </c>
      <c r="T2112" s="20">
        <f>HYPERLINK("https://vnm.spiral.com.vn//uploaded/20210513/c61b62c4-5e31-4333-9f59-937d73a90e12.JPEG","07:22:23")</f>
      </c>
      <c r="U2112" s="20">
        <f>HYPERLINK("https://vnm.spiral.com.vn//uploaded/20210513/eb13f2e3-bcbd-47e5-be80-1c9c303a67eb.JPEG","11:30:25")</f>
      </c>
      <c r="V2112" s="18">
        <v>0.17224537037037038</v>
      </c>
      <c r="W2112" s="15" t="s">
        <v>11151</v>
      </c>
      <c r="X2112" s="15" t="s">
        <v>11152</v>
      </c>
      <c r="Y2112" s="15" t="s">
        <v>35</v>
      </c>
      <c r="Z2112" s="19">
        <v>0</v>
      </c>
      <c r="AA2112" s="15">
        <v>0</v>
      </c>
      <c r="AB2112" s="15" t="s">
        <v>35</v>
      </c>
    </row>
    <row r="2113">
      <c r="A2113" s="15">
        <v>2109</v>
      </c>
      <c r="B2113" s="15" t="s">
        <v>246</v>
      </c>
      <c r="C2113" s="15" t="s">
        <v>276</v>
      </c>
      <c r="D2113" s="15" t="s">
        <v>35</v>
      </c>
      <c r="E2113" s="15" t="s">
        <v>35</v>
      </c>
      <c r="F2113" s="15" t="s">
        <v>7713</v>
      </c>
      <c r="G2113" s="15" t="s">
        <v>36</v>
      </c>
      <c r="H2113" s="15" t="s">
        <v>7934</v>
      </c>
      <c r="I2113" s="15" t="s">
        <v>7935</v>
      </c>
      <c r="J2113" s="15" t="s">
        <v>7936</v>
      </c>
      <c r="K2113" s="15" t="s">
        <v>40</v>
      </c>
      <c r="L2113" s="15" t="s">
        <v>41</v>
      </c>
      <c r="M2113" s="15" t="s">
        <v>252</v>
      </c>
      <c r="N2113" s="15" t="s">
        <v>253</v>
      </c>
      <c r="O2113" s="15" t="s">
        <v>44</v>
      </c>
      <c r="P2113" s="15" t="s">
        <v>7937</v>
      </c>
      <c r="Q2113" s="15" t="s">
        <v>7938</v>
      </c>
      <c r="R2113" s="16">
        <v>44329</v>
      </c>
      <c r="S2113" s="17" t="s">
        <v>7866</v>
      </c>
      <c r="T2113" s="20">
        <f>HYPERLINK("https://vnm.spiral.com.vn//uploaded/20210513/79505614-cdf8-4125-bce0-ca4f10c8155c.JPEG","07:21:51")</f>
      </c>
      <c r="U2113" s="20">
        <f>HYPERLINK("https://vnm.spiral.com.vn//uploaded/20210513/ff2c6852-0f39-4d5c-b315-3e771653b6e8.JPEG","11:30:23")</f>
      </c>
      <c r="V2113" s="18">
        <v>0.1725925925925926</v>
      </c>
      <c r="W2113" s="15" t="s">
        <v>11153</v>
      </c>
      <c r="X2113" s="15" t="s">
        <v>11154</v>
      </c>
      <c r="Y2113" s="15" t="s">
        <v>35</v>
      </c>
      <c r="Z2113" s="19">
        <v>0</v>
      </c>
      <c r="AA2113" s="15">
        <v>0</v>
      </c>
      <c r="AB2113" s="15" t="s">
        <v>35</v>
      </c>
    </row>
    <row r="2114">
      <c r="A2114" s="15">
        <v>2110</v>
      </c>
      <c r="B2114" s="15" t="s">
        <v>103</v>
      </c>
      <c r="C2114" s="15" t="s">
        <v>1078</v>
      </c>
      <c r="D2114" s="15" t="s">
        <v>35</v>
      </c>
      <c r="E2114" s="15" t="s">
        <v>35</v>
      </c>
      <c r="F2114" s="15" t="s">
        <v>35</v>
      </c>
      <c r="G2114" s="15" t="s">
        <v>35</v>
      </c>
      <c r="H2114" s="15" t="s">
        <v>11155</v>
      </c>
      <c r="I2114" s="15" t="s">
        <v>11156</v>
      </c>
      <c r="J2114" s="15" t="s">
        <v>11157</v>
      </c>
      <c r="K2114" s="15" t="s">
        <v>40</v>
      </c>
      <c r="L2114" s="15" t="s">
        <v>41</v>
      </c>
      <c r="M2114" s="15" t="s">
        <v>565</v>
      </c>
      <c r="N2114" s="15" t="s">
        <v>566</v>
      </c>
      <c r="O2114" s="15" t="s">
        <v>44</v>
      </c>
      <c r="P2114" s="15" t="s">
        <v>6444</v>
      </c>
      <c r="Q2114" s="15" t="s">
        <v>6445</v>
      </c>
      <c r="R2114" s="16">
        <v>44329</v>
      </c>
      <c r="S2114" s="17" t="s">
        <v>7866</v>
      </c>
      <c r="T2114" s="20">
        <f>HYPERLINK("https://vnm.spiral.com.vn//uploaded/20210513/2bc8af4a-59f7-4b92-be7f-d6e295a8385a.JPEG","07:57:20")</f>
      </c>
      <c r="U2114" s="20">
        <f>HYPERLINK("https://vnm.spiral.com.vn//uploaded/20210513/f58cfe99-7cae-436c-98ea-13e027c18ab3.JPEG","11:30:19")</f>
      </c>
      <c r="V2114" s="18">
        <v>0.1479050925925926</v>
      </c>
      <c r="W2114" s="15" t="s">
        <v>11158</v>
      </c>
      <c r="X2114" s="15" t="s">
        <v>11159</v>
      </c>
      <c r="Y2114" s="15" t="s">
        <v>35</v>
      </c>
      <c r="Z2114" s="19">
        <v>0</v>
      </c>
      <c r="AA2114" s="15">
        <v>0</v>
      </c>
      <c r="AB2114" s="15" t="s">
        <v>35</v>
      </c>
    </row>
    <row r="2115">
      <c r="A2115" s="15">
        <v>2111</v>
      </c>
      <c r="B2115" s="15" t="s">
        <v>343</v>
      </c>
      <c r="C2115" s="15" t="s">
        <v>7476</v>
      </c>
      <c r="D2115" s="15" t="s">
        <v>35</v>
      </c>
      <c r="E2115" s="15" t="s">
        <v>35</v>
      </c>
      <c r="F2115" s="15" t="s">
        <v>35</v>
      </c>
      <c r="G2115" s="15" t="s">
        <v>36</v>
      </c>
      <c r="H2115" s="15" t="s">
        <v>7579</v>
      </c>
      <c r="I2115" s="15" t="s">
        <v>7580</v>
      </c>
      <c r="J2115" s="15" t="s">
        <v>7479</v>
      </c>
      <c r="K2115" s="15" t="s">
        <v>40</v>
      </c>
      <c r="L2115" s="15" t="s">
        <v>41</v>
      </c>
      <c r="M2115" s="15" t="s">
        <v>409</v>
      </c>
      <c r="N2115" s="15" t="s">
        <v>410</v>
      </c>
      <c r="O2115" s="15" t="s">
        <v>44</v>
      </c>
      <c r="P2115" s="15" t="s">
        <v>7581</v>
      </c>
      <c r="Q2115" s="15" t="s">
        <v>7582</v>
      </c>
      <c r="R2115" s="16">
        <v>44329</v>
      </c>
      <c r="S2115" s="17" t="s">
        <v>7866</v>
      </c>
      <c r="T2115" s="20">
        <f>HYPERLINK("https://vnm.spiral.com.vn//uploaded/20210513/CC4A6ABE-6029-433A-A4DB-3206631616B0.jpg","07:32:09")</f>
      </c>
      <c r="U2115" s="20">
        <f>HYPERLINK("https://vnm.spiral.com.vn//uploaded/20210513/358DA805-1FDB-4CF8-8082-237DC571BDD6.jpg","11:30:15")</f>
      </c>
      <c r="V2115" s="18">
        <v>0.16534722222222223</v>
      </c>
      <c r="W2115" s="15" t="s">
        <v>11160</v>
      </c>
      <c r="X2115" s="15" t="s">
        <v>11161</v>
      </c>
      <c r="Y2115" s="15" t="s">
        <v>35</v>
      </c>
      <c r="Z2115" s="19">
        <v>0</v>
      </c>
      <c r="AA2115" s="15">
        <v>0</v>
      </c>
      <c r="AB2115" s="15" t="s">
        <v>35</v>
      </c>
    </row>
    <row r="2116">
      <c r="A2116" s="15">
        <v>2112</v>
      </c>
      <c r="B2116" s="15" t="s">
        <v>61</v>
      </c>
      <c r="C2116" s="15" t="s">
        <v>320</v>
      </c>
      <c r="D2116" s="15" t="s">
        <v>35</v>
      </c>
      <c r="E2116" s="15" t="s">
        <v>35</v>
      </c>
      <c r="F2116" s="15" t="s">
        <v>35</v>
      </c>
      <c r="G2116" s="15" t="s">
        <v>36</v>
      </c>
      <c r="H2116" s="15" t="s">
        <v>4901</v>
      </c>
      <c r="I2116" s="15" t="s">
        <v>4902</v>
      </c>
      <c r="J2116" s="15" t="s">
        <v>4903</v>
      </c>
      <c r="K2116" s="15" t="s">
        <v>40</v>
      </c>
      <c r="L2116" s="15" t="s">
        <v>41</v>
      </c>
      <c r="M2116" s="15" t="s">
        <v>205</v>
      </c>
      <c r="N2116" s="15" t="s">
        <v>206</v>
      </c>
      <c r="O2116" s="15" t="s">
        <v>44</v>
      </c>
      <c r="P2116" s="15" t="s">
        <v>4904</v>
      </c>
      <c r="Q2116" s="15" t="s">
        <v>4905</v>
      </c>
      <c r="R2116" s="16">
        <v>44329</v>
      </c>
      <c r="S2116" s="17" t="s">
        <v>3018</v>
      </c>
      <c r="T2116" s="20">
        <f>HYPERLINK("https://vnm.spiral.com.vn//uploaded/20210513/d631967b-26a6-4f35-aca6-cc6c7b5bc5f5.JPEG","08:08:48")</f>
      </c>
      <c r="U2116" s="20">
        <f>HYPERLINK("https://vnm.spiral.com.vn//uploaded/20210513/ed013ba1-c5c6-447e-b704-4ae64a118dad.JPEG","11:30:14")</f>
      </c>
      <c r="V2116" s="18">
        <v>0.13988425925925926</v>
      </c>
      <c r="W2116" s="15" t="s">
        <v>11162</v>
      </c>
      <c r="X2116" s="15" t="s">
        <v>11163</v>
      </c>
      <c r="Y2116" s="15" t="s">
        <v>35</v>
      </c>
      <c r="Z2116" s="19">
        <v>0</v>
      </c>
      <c r="AA2116" s="15">
        <v>0</v>
      </c>
      <c r="AB2116" s="15" t="s">
        <v>35</v>
      </c>
    </row>
    <row r="2117">
      <c r="A2117" s="15">
        <v>2113</v>
      </c>
      <c r="B2117" s="15" t="s">
        <v>49</v>
      </c>
      <c r="C2117" s="15" t="s">
        <v>162</v>
      </c>
      <c r="D2117" s="15" t="s">
        <v>89</v>
      </c>
      <c r="E2117" s="15" t="s">
        <v>90</v>
      </c>
      <c r="F2117" s="15" t="s">
        <v>35</v>
      </c>
      <c r="G2117" s="15" t="s">
        <v>74</v>
      </c>
      <c r="H2117" s="15" t="s">
        <v>163</v>
      </c>
      <c r="I2117" s="15" t="s">
        <v>164</v>
      </c>
      <c r="J2117" s="15" t="s">
        <v>165</v>
      </c>
      <c r="K2117" s="15" t="s">
        <v>166</v>
      </c>
      <c r="L2117" s="15" t="s">
        <v>167</v>
      </c>
      <c r="M2117" s="15" t="s">
        <v>168</v>
      </c>
      <c r="N2117" s="15" t="s">
        <v>169</v>
      </c>
      <c r="O2117" s="15" t="s">
        <v>156</v>
      </c>
      <c r="P2117" s="15" t="s">
        <v>170</v>
      </c>
      <c r="Q2117" s="15" t="s">
        <v>171</v>
      </c>
      <c r="R2117" s="16">
        <v>44329</v>
      </c>
      <c r="S2117" s="17" t="s">
        <v>7866</v>
      </c>
      <c r="T2117" s="20">
        <f>HYPERLINK("https://vnm.spiral.com.vn//uploaded/20210513/c664ce90-39f6-46c0-89d2-8c17f2c0c60f.JPEG","07:19:45")</f>
      </c>
      <c r="U2117" s="20">
        <f>HYPERLINK("https://vnm.spiral.com.vn//uploaded/20210513/6a9c0640-6d61-499b-8c62-0489b5273ee3.JPEG","11:30:13")</f>
      </c>
      <c r="V2117" s="18">
        <v>0.1739351851851852</v>
      </c>
      <c r="W2117" s="15" t="s">
        <v>11164</v>
      </c>
      <c r="X2117" s="15" t="s">
        <v>11165</v>
      </c>
      <c r="Y2117" s="15" t="s">
        <v>35</v>
      </c>
      <c r="Z2117" s="19">
        <v>0</v>
      </c>
      <c r="AA2117" s="15">
        <v>0</v>
      </c>
      <c r="AB2117" s="15" t="s">
        <v>35</v>
      </c>
    </row>
    <row r="2118">
      <c r="A2118" s="15">
        <v>2114</v>
      </c>
      <c r="B2118" s="15" t="s">
        <v>87</v>
      </c>
      <c r="C2118" s="15" t="s">
        <v>88</v>
      </c>
      <c r="D2118" s="15" t="s">
        <v>115</v>
      </c>
      <c r="E2118" s="15" t="s">
        <v>116</v>
      </c>
      <c r="F2118" s="15" t="s">
        <v>35</v>
      </c>
      <c r="G2118" s="15" t="s">
        <v>74</v>
      </c>
      <c r="H2118" s="15" t="s">
        <v>11166</v>
      </c>
      <c r="I2118" s="15" t="s">
        <v>11167</v>
      </c>
      <c r="J2118" s="15" t="s">
        <v>11168</v>
      </c>
      <c r="K2118" s="15" t="s">
        <v>120</v>
      </c>
      <c r="L2118" s="15" t="s">
        <v>121</v>
      </c>
      <c r="M2118" s="15" t="s">
        <v>122</v>
      </c>
      <c r="N2118" s="15" t="s">
        <v>123</v>
      </c>
      <c r="O2118" s="15" t="s">
        <v>82</v>
      </c>
      <c r="P2118" s="15" t="s">
        <v>1920</v>
      </c>
      <c r="Q2118" s="15" t="s">
        <v>1921</v>
      </c>
      <c r="R2118" s="16">
        <v>44329</v>
      </c>
      <c r="S2118" s="17" t="s">
        <v>70</v>
      </c>
      <c r="T2118" s="20">
        <f>HYPERLINK("https://vnm.spiral.com.vn//uploaded/20210513/6df28073-d573-4204-9900-68411ceeaffd.JPEG","09:59:29")</f>
      </c>
      <c r="U2118" s="20">
        <f>HYPERLINK("https://vnm.spiral.com.vn//uploaded/20210513/460f387d-61c9-4880-a9e3-aa74ca3030a9.JPEG","11:30:12")</f>
      </c>
      <c r="V2118" s="18">
        <v>0.06299768518518518</v>
      </c>
      <c r="W2118" s="15" t="s">
        <v>11169</v>
      </c>
      <c r="X2118" s="15" t="s">
        <v>11170</v>
      </c>
      <c r="Y2118" s="15" t="s">
        <v>35</v>
      </c>
      <c r="Z2118" s="19">
        <v>0</v>
      </c>
      <c r="AA2118" s="15">
        <v>0</v>
      </c>
      <c r="AB2118" s="15" t="s">
        <v>35</v>
      </c>
    </row>
    <row r="2119">
      <c r="A2119" s="15">
        <v>2115</v>
      </c>
      <c r="B2119" s="15" t="s">
        <v>33</v>
      </c>
      <c r="C2119" s="15" t="s">
        <v>211</v>
      </c>
      <c r="D2119" s="15" t="s">
        <v>35</v>
      </c>
      <c r="E2119" s="15" t="s">
        <v>35</v>
      </c>
      <c r="F2119" s="15" t="s">
        <v>35</v>
      </c>
      <c r="G2119" s="15" t="s">
        <v>36</v>
      </c>
      <c r="H2119" s="15" t="s">
        <v>11171</v>
      </c>
      <c r="I2119" s="15" t="s">
        <v>11172</v>
      </c>
      <c r="J2119" s="15" t="s">
        <v>11173</v>
      </c>
      <c r="K2119" s="15" t="s">
        <v>40</v>
      </c>
      <c r="L2119" s="15" t="s">
        <v>41</v>
      </c>
      <c r="M2119" s="15" t="s">
        <v>42</v>
      </c>
      <c r="N2119" s="15" t="s">
        <v>43</v>
      </c>
      <c r="O2119" s="15" t="s">
        <v>44</v>
      </c>
      <c r="P2119" s="15" t="s">
        <v>5949</v>
      </c>
      <c r="Q2119" s="15" t="s">
        <v>5950</v>
      </c>
      <c r="R2119" s="16">
        <v>44329</v>
      </c>
      <c r="S2119" s="17" t="s">
        <v>7866</v>
      </c>
      <c r="T2119" s="20">
        <f>HYPERLINK("https://vnm.spiral.com.vn//uploaded/20210513/C292D72F-33A4-4275-9FF4-2CC5160DFC89.jpg","07:45:22")</f>
      </c>
      <c r="U2119" s="20">
        <f>HYPERLINK("https://vnm.spiral.com.vn//uploaded/20210513/2EC010DE-0202-43AC-BBE0-194F8922100C.jpg","11:30:11")</f>
      </c>
      <c r="V2119" s="18">
        <v>0.15612268518518518</v>
      </c>
      <c r="W2119" s="15" t="s">
        <v>11174</v>
      </c>
      <c r="X2119" s="15" t="s">
        <v>11175</v>
      </c>
      <c r="Y2119" s="15" t="s">
        <v>35</v>
      </c>
      <c r="Z2119" s="19">
        <v>0</v>
      </c>
      <c r="AA2119" s="15">
        <v>0</v>
      </c>
      <c r="AB2119" s="15" t="s">
        <v>35</v>
      </c>
    </row>
    <row r="2120">
      <c r="A2120" s="15">
        <v>2116</v>
      </c>
      <c r="B2120" s="15" t="s">
        <v>49</v>
      </c>
      <c r="C2120" s="15" t="s">
        <v>1389</v>
      </c>
      <c r="D2120" s="15" t="s">
        <v>89</v>
      </c>
      <c r="E2120" s="15" t="s">
        <v>90</v>
      </c>
      <c r="F2120" s="15" t="s">
        <v>35</v>
      </c>
      <c r="G2120" s="15" t="s">
        <v>74</v>
      </c>
      <c r="H2120" s="15" t="s">
        <v>1390</v>
      </c>
      <c r="I2120" s="15" t="s">
        <v>1391</v>
      </c>
      <c r="J2120" s="15" t="s">
        <v>1392</v>
      </c>
      <c r="K2120" s="15" t="s">
        <v>168</v>
      </c>
      <c r="L2120" s="15" t="s">
        <v>169</v>
      </c>
      <c r="M2120" s="15" t="s">
        <v>2640</v>
      </c>
      <c r="N2120" s="15" t="s">
        <v>2641</v>
      </c>
      <c r="O2120" s="15" t="s">
        <v>156</v>
      </c>
      <c r="P2120" s="15" t="s">
        <v>11070</v>
      </c>
      <c r="Q2120" s="15" t="s">
        <v>6696</v>
      </c>
      <c r="R2120" s="16">
        <v>44329</v>
      </c>
      <c r="S2120" s="17" t="s">
        <v>7866</v>
      </c>
      <c r="T2120" s="20">
        <f>HYPERLINK("https://vnm.spiral.com.vn//uploaded/20210513/fd9ff173-b6b7-485b-8ec7-973a9d9417d2.JPEG","07:31:21")</f>
      </c>
      <c r="U2120" s="20">
        <f>HYPERLINK("https://vnm.spiral.com.vn//uploaded/20210513/0d5cb636-efde-4162-bfbe-c6b3fa9a32d2.JPEG","11:30:09")</f>
      </c>
      <c r="V2120" s="18">
        <v>0.16583333333333333</v>
      </c>
      <c r="W2120" s="15" t="s">
        <v>11176</v>
      </c>
      <c r="X2120" s="15" t="s">
        <v>11177</v>
      </c>
      <c r="Y2120" s="15" t="s">
        <v>35</v>
      </c>
      <c r="Z2120" s="19">
        <v>0</v>
      </c>
      <c r="AA2120" s="15">
        <v>0</v>
      </c>
      <c r="AB2120" s="15" t="s">
        <v>35</v>
      </c>
    </row>
    <row r="2121">
      <c r="A2121" s="15">
        <v>2117</v>
      </c>
      <c r="B2121" s="15" t="s">
        <v>87</v>
      </c>
      <c r="C2121" s="15" t="s">
        <v>88</v>
      </c>
      <c r="D2121" s="15" t="s">
        <v>432</v>
      </c>
      <c r="E2121" s="15" t="s">
        <v>116</v>
      </c>
      <c r="F2121" s="15" t="s">
        <v>35</v>
      </c>
      <c r="G2121" s="15" t="s">
        <v>74</v>
      </c>
      <c r="H2121" s="15" t="s">
        <v>11178</v>
      </c>
      <c r="I2121" s="15" t="s">
        <v>11179</v>
      </c>
      <c r="J2121" s="15" t="s">
        <v>11180</v>
      </c>
      <c r="K2121" s="15" t="s">
        <v>625</v>
      </c>
      <c r="L2121" s="15" t="s">
        <v>626</v>
      </c>
      <c r="M2121" s="15" t="s">
        <v>1022</v>
      </c>
      <c r="N2121" s="15" t="s">
        <v>1023</v>
      </c>
      <c r="O2121" s="15" t="s">
        <v>82</v>
      </c>
      <c r="P2121" s="15" t="s">
        <v>2241</v>
      </c>
      <c r="Q2121" s="15" t="s">
        <v>2242</v>
      </c>
      <c r="R2121" s="16">
        <v>44329</v>
      </c>
      <c r="S2121" s="17" t="s">
        <v>70</v>
      </c>
      <c r="T2121" s="20">
        <f>HYPERLINK("https://vnm.spiral.com.vn//uploaded/20210513/63B2BDA6-06A1-477F-9445-AE2B6BDD7213.jpg","10:49:12")</f>
      </c>
      <c r="U2121" s="20">
        <f>HYPERLINK("https://vnm.spiral.com.vn//uploaded/20210513/6CDC0934-63BB-4624-95F2-28F67AC19396.jpg","11:30:08")</f>
      </c>
      <c r="V2121" s="18">
        <v>0.028425925925925927</v>
      </c>
      <c r="W2121" s="15" t="s">
        <v>11181</v>
      </c>
      <c r="X2121" s="15" t="s">
        <v>11182</v>
      </c>
      <c r="Y2121" s="15" t="s">
        <v>35</v>
      </c>
      <c r="Z2121" s="19">
        <v>0</v>
      </c>
      <c r="AA2121" s="15">
        <v>0</v>
      </c>
      <c r="AB2121" s="15" t="s">
        <v>35</v>
      </c>
    </row>
    <row r="2122">
      <c r="A2122" s="15">
        <v>2118</v>
      </c>
      <c r="B2122" s="15" t="s">
        <v>246</v>
      </c>
      <c r="C2122" s="15" t="s">
        <v>782</v>
      </c>
      <c r="D2122" s="15" t="s">
        <v>35</v>
      </c>
      <c r="E2122" s="15" t="s">
        <v>35</v>
      </c>
      <c r="F2122" s="15" t="s">
        <v>6328</v>
      </c>
      <c r="G2122" s="15" t="s">
        <v>36</v>
      </c>
      <c r="H2122" s="15" t="s">
        <v>7539</v>
      </c>
      <c r="I2122" s="15" t="s">
        <v>7540</v>
      </c>
      <c r="J2122" s="15" t="s">
        <v>7541</v>
      </c>
      <c r="K2122" s="15" t="s">
        <v>40</v>
      </c>
      <c r="L2122" s="15" t="s">
        <v>41</v>
      </c>
      <c r="M2122" s="15" t="s">
        <v>252</v>
      </c>
      <c r="N2122" s="15" t="s">
        <v>253</v>
      </c>
      <c r="O2122" s="15" t="s">
        <v>44</v>
      </c>
      <c r="P2122" s="15" t="s">
        <v>7542</v>
      </c>
      <c r="Q2122" s="15" t="s">
        <v>1641</v>
      </c>
      <c r="R2122" s="16">
        <v>44329</v>
      </c>
      <c r="S2122" s="17" t="s">
        <v>7866</v>
      </c>
      <c r="T2122" s="20">
        <f>HYPERLINK("https://vnm.spiral.com.vn//uploaded/20210513/ed34e477-1838-439b-bc04-738899b62ec2.JPEG","07:26:19")</f>
      </c>
      <c r="U2122" s="20">
        <f>HYPERLINK("https://vnm.spiral.com.vn//uploaded/20210513/5856bc7d-f640-4463-b417-d8d8491bade3.JPEG","11:30:07")</f>
      </c>
      <c r="V2122" s="18">
        <v>0.16930555555555554</v>
      </c>
      <c r="W2122" s="15" t="s">
        <v>11183</v>
      </c>
      <c r="X2122" s="15" t="s">
        <v>11184</v>
      </c>
      <c r="Y2122" s="15" t="s">
        <v>35</v>
      </c>
      <c r="Z2122" s="19">
        <v>0</v>
      </c>
      <c r="AA2122" s="15">
        <v>0</v>
      </c>
      <c r="AB2122" s="15" t="s">
        <v>35</v>
      </c>
    </row>
    <row r="2123">
      <c r="A2123" s="15">
        <v>2119</v>
      </c>
      <c r="B2123" s="15" t="s">
        <v>246</v>
      </c>
      <c r="C2123" s="15" t="s">
        <v>782</v>
      </c>
      <c r="D2123" s="15" t="s">
        <v>89</v>
      </c>
      <c r="E2123" s="15" t="s">
        <v>90</v>
      </c>
      <c r="F2123" s="15" t="s">
        <v>35</v>
      </c>
      <c r="G2123" s="15" t="s">
        <v>74</v>
      </c>
      <c r="H2123" s="15" t="s">
        <v>3405</v>
      </c>
      <c r="I2123" s="15" t="s">
        <v>3406</v>
      </c>
      <c r="J2123" s="15" t="s">
        <v>3407</v>
      </c>
      <c r="K2123" s="15" t="s">
        <v>263</v>
      </c>
      <c r="L2123" s="15" t="s">
        <v>264</v>
      </c>
      <c r="M2123" s="15" t="s">
        <v>280</v>
      </c>
      <c r="N2123" s="15" t="s">
        <v>281</v>
      </c>
      <c r="O2123" s="15" t="s">
        <v>156</v>
      </c>
      <c r="P2123" s="15" t="s">
        <v>11185</v>
      </c>
      <c r="Q2123" s="15" t="s">
        <v>283</v>
      </c>
      <c r="R2123" s="16">
        <v>44329</v>
      </c>
      <c r="S2123" s="17" t="s">
        <v>10687</v>
      </c>
      <c r="T2123" s="20">
        <f>HYPERLINK("https://vnm.spiral.com.vn//uploaded/20210513/01892fe8-5330-4fe8-8609-abb3bda64aa4.JPEG","06:59:56")</f>
      </c>
      <c r="U2123" s="20">
        <f>HYPERLINK("https://vnm.spiral.com.vn//uploaded/20210513/03e4315f-45f4-40ee-944c-181a1e802333.JPEG","11:30:01")</f>
      </c>
      <c r="V2123" s="18">
        <v>0.18755787037037036</v>
      </c>
      <c r="W2123" s="15" t="s">
        <v>11186</v>
      </c>
      <c r="X2123" s="15" t="s">
        <v>11187</v>
      </c>
      <c r="Y2123" s="15" t="s">
        <v>35</v>
      </c>
      <c r="Z2123" s="19">
        <v>0</v>
      </c>
      <c r="AA2123" s="15">
        <v>0</v>
      </c>
      <c r="AB2123" s="15" t="s">
        <v>35</v>
      </c>
    </row>
    <row r="2124">
      <c r="A2124" s="15">
        <v>2120</v>
      </c>
      <c r="B2124" s="15" t="s">
        <v>49</v>
      </c>
      <c r="C2124" s="15" t="s">
        <v>50</v>
      </c>
      <c r="D2124" s="15" t="s">
        <v>35</v>
      </c>
      <c r="E2124" s="15" t="s">
        <v>35</v>
      </c>
      <c r="F2124" s="15" t="s">
        <v>35</v>
      </c>
      <c r="G2124" s="15" t="s">
        <v>35</v>
      </c>
      <c r="H2124" s="15" t="s">
        <v>8824</v>
      </c>
      <c r="I2124" s="15" t="s">
        <v>8825</v>
      </c>
      <c r="J2124" s="15" t="s">
        <v>8826</v>
      </c>
      <c r="K2124" s="15" t="s">
        <v>40</v>
      </c>
      <c r="L2124" s="15" t="s">
        <v>41</v>
      </c>
      <c r="M2124" s="15" t="s">
        <v>55</v>
      </c>
      <c r="N2124" s="15" t="s">
        <v>56</v>
      </c>
      <c r="O2124" s="15" t="s">
        <v>44</v>
      </c>
      <c r="P2124" s="15" t="s">
        <v>8827</v>
      </c>
      <c r="Q2124" s="15" t="s">
        <v>8828</v>
      </c>
      <c r="R2124" s="16">
        <v>44329</v>
      </c>
      <c r="S2124" s="17" t="s">
        <v>2779</v>
      </c>
      <c r="T2124" s="20">
        <f>HYPERLINK("https://vnm.spiral.com.vn//uploaded/20210513/a5c6d96b-401c-4fd0-b1be-6b328aa231f1.JPEG","07:27:56")</f>
      </c>
      <c r="U2124" s="20">
        <f>HYPERLINK("https://vnm.spiral.com.vn//uploaded/20210513/6b6ba079-15c5-4a99-90e9-8470553a2235.JPEG","11:29:44")</f>
      </c>
      <c r="V2124" s="18">
        <v>0.16791666666666666</v>
      </c>
      <c r="W2124" s="15" t="s">
        <v>11188</v>
      </c>
      <c r="X2124" s="15" t="s">
        <v>11189</v>
      </c>
      <c r="Y2124" s="15" t="s">
        <v>35</v>
      </c>
      <c r="Z2124" s="19">
        <v>0</v>
      </c>
      <c r="AA2124" s="15">
        <v>0</v>
      </c>
      <c r="AB2124" s="15" t="s">
        <v>35</v>
      </c>
    </row>
    <row r="2125">
      <c r="A2125" s="15">
        <v>2121</v>
      </c>
      <c r="B2125" s="15" t="s">
        <v>343</v>
      </c>
      <c r="C2125" s="15" t="s">
        <v>645</v>
      </c>
      <c r="D2125" s="15" t="s">
        <v>35</v>
      </c>
      <c r="E2125" s="15" t="s">
        <v>35</v>
      </c>
      <c r="F2125" s="15" t="s">
        <v>35</v>
      </c>
      <c r="G2125" s="15" t="s">
        <v>36</v>
      </c>
      <c r="H2125" s="15" t="s">
        <v>8296</v>
      </c>
      <c r="I2125" s="15" t="s">
        <v>8297</v>
      </c>
      <c r="J2125" s="15" t="s">
        <v>8298</v>
      </c>
      <c r="K2125" s="15" t="s">
        <v>40</v>
      </c>
      <c r="L2125" s="15" t="s">
        <v>41</v>
      </c>
      <c r="M2125" s="15" t="s">
        <v>42</v>
      </c>
      <c r="N2125" s="15" t="s">
        <v>43</v>
      </c>
      <c r="O2125" s="15" t="s">
        <v>44</v>
      </c>
      <c r="P2125" s="15" t="s">
        <v>8299</v>
      </c>
      <c r="Q2125" s="15" t="s">
        <v>8300</v>
      </c>
      <c r="R2125" s="16">
        <v>44329</v>
      </c>
      <c r="S2125" s="17" t="s">
        <v>10687</v>
      </c>
      <c r="T2125" s="20">
        <f>HYPERLINK("https://vnm.spiral.com.vn//uploaded/20210513/6A67D1DA-404F-48F9-A482-644C9FBCF796.jpg","06:59:52")</f>
      </c>
      <c r="U2125" s="20">
        <f>HYPERLINK("https://vnm.spiral.com.vn//uploaded/20210513/F527CC27-77B4-43B8-9A96-21926EC41996.jpg","11:29:40")</f>
      </c>
      <c r="V2125" s="18">
        <v>0.18736111111111112</v>
      </c>
      <c r="W2125" s="15" t="s">
        <v>11190</v>
      </c>
      <c r="X2125" s="15" t="s">
        <v>11191</v>
      </c>
      <c r="Y2125" s="15" t="s">
        <v>35</v>
      </c>
      <c r="Z2125" s="19">
        <v>0</v>
      </c>
      <c r="AA2125" s="15">
        <v>0</v>
      </c>
      <c r="AB2125" s="15" t="s">
        <v>35</v>
      </c>
    </row>
    <row r="2126">
      <c r="A2126" s="15">
        <v>2122</v>
      </c>
      <c r="B2126" s="15" t="s">
        <v>343</v>
      </c>
      <c r="C2126" s="15" t="s">
        <v>3117</v>
      </c>
      <c r="D2126" s="15" t="s">
        <v>35</v>
      </c>
      <c r="E2126" s="15" t="s">
        <v>35</v>
      </c>
      <c r="F2126" s="15" t="s">
        <v>35</v>
      </c>
      <c r="G2126" s="15" t="s">
        <v>36</v>
      </c>
      <c r="H2126" s="15" t="s">
        <v>7630</v>
      </c>
      <c r="I2126" s="15" t="s">
        <v>7631</v>
      </c>
      <c r="J2126" s="15" t="s">
        <v>7632</v>
      </c>
      <c r="K2126" s="15" t="s">
        <v>40</v>
      </c>
      <c r="L2126" s="15" t="s">
        <v>41</v>
      </c>
      <c r="M2126" s="15" t="s">
        <v>595</v>
      </c>
      <c r="N2126" s="15" t="s">
        <v>596</v>
      </c>
      <c r="O2126" s="15" t="s">
        <v>44</v>
      </c>
      <c r="P2126" s="15" t="s">
        <v>7633</v>
      </c>
      <c r="Q2126" s="15" t="s">
        <v>7634</v>
      </c>
      <c r="R2126" s="16">
        <v>44329</v>
      </c>
      <c r="S2126" s="17" t="s">
        <v>7866</v>
      </c>
      <c r="T2126" s="20">
        <f>HYPERLINK("https://vnm.spiral.com.vn//uploaded/20210513/7e1c6a9a-f4ad-48c0-a421-e621409e819c.JPEG","07:30:04")</f>
      </c>
      <c r="U2126" s="20">
        <f>HYPERLINK("https://vnm.spiral.com.vn//uploaded/20210513/76c150a4-7d3e-4339-9a16-78402c6a12ea.JPEG","11:29:36")</f>
      </c>
      <c r="V2126" s="18">
        <v>0.1663425925925926</v>
      </c>
      <c r="W2126" s="15" t="s">
        <v>7635</v>
      </c>
      <c r="X2126" s="15" t="s">
        <v>11192</v>
      </c>
      <c r="Y2126" s="15" t="s">
        <v>35</v>
      </c>
      <c r="Z2126" s="19">
        <v>0</v>
      </c>
      <c r="AA2126" s="15">
        <v>0</v>
      </c>
      <c r="AB2126" s="15" t="s">
        <v>35</v>
      </c>
    </row>
    <row r="2127">
      <c r="A2127" s="15">
        <v>2123</v>
      </c>
      <c r="B2127" s="15" t="s">
        <v>87</v>
      </c>
      <c r="C2127" s="15" t="s">
        <v>88</v>
      </c>
      <c r="D2127" s="15" t="s">
        <v>89</v>
      </c>
      <c r="E2127" s="15" t="s">
        <v>90</v>
      </c>
      <c r="F2127" s="15" t="s">
        <v>35</v>
      </c>
      <c r="G2127" s="15" t="s">
        <v>74</v>
      </c>
      <c r="H2127" s="15" t="s">
        <v>3592</v>
      </c>
      <c r="I2127" s="15" t="s">
        <v>3593</v>
      </c>
      <c r="J2127" s="15" t="s">
        <v>3594</v>
      </c>
      <c r="K2127" s="15" t="s">
        <v>94</v>
      </c>
      <c r="L2127" s="15" t="s">
        <v>95</v>
      </c>
      <c r="M2127" s="15" t="s">
        <v>96</v>
      </c>
      <c r="N2127" s="15" t="s">
        <v>97</v>
      </c>
      <c r="O2127" s="15" t="s">
        <v>98</v>
      </c>
      <c r="P2127" s="15" t="s">
        <v>1831</v>
      </c>
      <c r="Q2127" s="15" t="s">
        <v>1832</v>
      </c>
      <c r="R2127" s="16">
        <v>44329</v>
      </c>
      <c r="S2127" s="17" t="s">
        <v>70</v>
      </c>
      <c r="T2127" s="20">
        <f>HYPERLINK("https://vnm.spiral.com.vn//uploaded/20210513/4be1135c-0f79-463e-aa58-fe9c94fd2dd4.JPEG","11:29:35")</f>
      </c>
      <c r="U2127" s="18"/>
      <c r="V2127" s="18" t="s">
        <v>35</v>
      </c>
      <c r="W2127" s="15" t="s">
        <v>11193</v>
      </c>
      <c r="X2127" s="15" t="s">
        <v>35</v>
      </c>
      <c r="Y2127" s="15" t="s">
        <v>35</v>
      </c>
      <c r="Z2127" s="19">
        <v>0</v>
      </c>
      <c r="AA2127" s="15">
        <v>0</v>
      </c>
      <c r="AB2127" s="15" t="s">
        <v>35</v>
      </c>
    </row>
    <row r="2128">
      <c r="A2128" s="15">
        <v>2124</v>
      </c>
      <c r="B2128" s="15" t="s">
        <v>103</v>
      </c>
      <c r="C2128" s="15" t="s">
        <v>186</v>
      </c>
      <c r="D2128" s="15" t="s">
        <v>35</v>
      </c>
      <c r="E2128" s="15" t="s">
        <v>35</v>
      </c>
      <c r="F2128" s="15" t="s">
        <v>4402</v>
      </c>
      <c r="G2128" s="15" t="s">
        <v>36</v>
      </c>
      <c r="H2128" s="15" t="s">
        <v>6981</v>
      </c>
      <c r="I2128" s="15" t="s">
        <v>203</v>
      </c>
      <c r="J2128" s="15" t="s">
        <v>6982</v>
      </c>
      <c r="K2128" s="15" t="s">
        <v>40</v>
      </c>
      <c r="L2128" s="15" t="s">
        <v>41</v>
      </c>
      <c r="M2128" s="15" t="s">
        <v>565</v>
      </c>
      <c r="N2128" s="15" t="s">
        <v>566</v>
      </c>
      <c r="O2128" s="15" t="s">
        <v>44</v>
      </c>
      <c r="P2128" s="15" t="s">
        <v>6983</v>
      </c>
      <c r="Q2128" s="15" t="s">
        <v>6984</v>
      </c>
      <c r="R2128" s="16">
        <v>44329</v>
      </c>
      <c r="S2128" s="17" t="s">
        <v>7866</v>
      </c>
      <c r="T2128" s="20">
        <f>HYPERLINK("https://vnm.spiral.com.vn//uploaded/20210513/eca93958-bb91-4336-978b-f18a8f456081.JPEG","07:18:37")</f>
      </c>
      <c r="U2128" s="20">
        <f>HYPERLINK("https://vnm.spiral.com.vn//uploaded/20210513/3f61e75d-2e17-48ce-a915-b8208c80125e.JPEG","11:29:33")</f>
      </c>
      <c r="V2128" s="18">
        <v>0.17425925925925925</v>
      </c>
      <c r="W2128" s="15" t="s">
        <v>11194</v>
      </c>
      <c r="X2128" s="15" t="s">
        <v>11195</v>
      </c>
      <c r="Y2128" s="15" t="s">
        <v>35</v>
      </c>
      <c r="Z2128" s="19">
        <v>0</v>
      </c>
      <c r="AA2128" s="15">
        <v>0</v>
      </c>
      <c r="AB2128" s="15" t="s">
        <v>35</v>
      </c>
    </row>
    <row r="2129">
      <c r="A2129" s="15">
        <v>2125</v>
      </c>
      <c r="B2129" s="15" t="s">
        <v>343</v>
      </c>
      <c r="C2129" s="15" t="s">
        <v>2069</v>
      </c>
      <c r="D2129" s="15" t="s">
        <v>35</v>
      </c>
      <c r="E2129" s="15" t="s">
        <v>35</v>
      </c>
      <c r="F2129" s="15" t="s">
        <v>35</v>
      </c>
      <c r="G2129" s="15" t="s">
        <v>36</v>
      </c>
      <c r="H2129" s="15" t="s">
        <v>11196</v>
      </c>
      <c r="I2129" s="15" t="s">
        <v>11197</v>
      </c>
      <c r="J2129" s="15" t="s">
        <v>11198</v>
      </c>
      <c r="K2129" s="15" t="s">
        <v>40</v>
      </c>
      <c r="L2129" s="15" t="s">
        <v>41</v>
      </c>
      <c r="M2129" s="15" t="s">
        <v>595</v>
      </c>
      <c r="N2129" s="15" t="s">
        <v>596</v>
      </c>
      <c r="O2129" s="15" t="s">
        <v>44</v>
      </c>
      <c r="P2129" s="15" t="s">
        <v>8379</v>
      </c>
      <c r="Q2129" s="15" t="s">
        <v>8380</v>
      </c>
      <c r="R2129" s="16">
        <v>44329</v>
      </c>
      <c r="S2129" s="17" t="s">
        <v>7866</v>
      </c>
      <c r="T2129" s="20">
        <f>HYPERLINK("https://vnm.spiral.com.vn//uploaded/20210513/417ABE20-6338-4CD4-836A-303E732C1E96.jpg","07:30:32")</f>
      </c>
      <c r="U2129" s="20">
        <f>HYPERLINK("https://vnm.spiral.com.vn//uploaded/20210513/011869F3-A621-4478-A4D9-3FA6D132E530.jpg","11:29:33")</f>
      </c>
      <c r="V2129" s="18">
        <v>0.1659837962962963</v>
      </c>
      <c r="W2129" s="15" t="s">
        <v>11199</v>
      </c>
      <c r="X2129" s="15" t="s">
        <v>11200</v>
      </c>
      <c r="Y2129" s="15" t="s">
        <v>35</v>
      </c>
      <c r="Z2129" s="19">
        <v>0</v>
      </c>
      <c r="AA2129" s="15">
        <v>0</v>
      </c>
      <c r="AB2129" s="15" t="s">
        <v>35</v>
      </c>
    </row>
    <row r="2130">
      <c r="A2130" s="15">
        <v>2126</v>
      </c>
      <c r="B2130" s="15" t="s">
        <v>49</v>
      </c>
      <c r="C2130" s="15" t="s">
        <v>162</v>
      </c>
      <c r="D2130" s="15" t="s">
        <v>35</v>
      </c>
      <c r="E2130" s="15" t="s">
        <v>35</v>
      </c>
      <c r="F2130" s="15" t="s">
        <v>833</v>
      </c>
      <c r="G2130" s="15" t="s">
        <v>36</v>
      </c>
      <c r="H2130" s="15" t="s">
        <v>11063</v>
      </c>
      <c r="I2130" s="15" t="s">
        <v>11064</v>
      </c>
      <c r="J2130" s="15" t="s">
        <v>11065</v>
      </c>
      <c r="K2130" s="15" t="s">
        <v>40</v>
      </c>
      <c r="L2130" s="15" t="s">
        <v>41</v>
      </c>
      <c r="M2130" s="15" t="s">
        <v>55</v>
      </c>
      <c r="N2130" s="15" t="s">
        <v>56</v>
      </c>
      <c r="O2130" s="15" t="s">
        <v>44</v>
      </c>
      <c r="P2130" s="15" t="s">
        <v>11066</v>
      </c>
      <c r="Q2130" s="15" t="s">
        <v>11067</v>
      </c>
      <c r="R2130" s="16">
        <v>44329</v>
      </c>
      <c r="S2130" s="17" t="s">
        <v>11201</v>
      </c>
      <c r="T2130" s="20">
        <f>HYPERLINK("https://vnm.spiral.com.vn//uploaded/20210513/11e1d38d-b55c-4005-ad01-954ca722fe0a.JPEG","08:23:55")</f>
      </c>
      <c r="U2130" s="20">
        <f>HYPERLINK("https://vnm.spiral.com.vn//uploaded/20210513/e20b93cc-9ec7-40fb-852e-1cd9acda1279.JPEG","11:29:28")</f>
      </c>
      <c r="V2130" s="18">
        <v>0.12885416666666666</v>
      </c>
      <c r="W2130" s="15" t="s">
        <v>11202</v>
      </c>
      <c r="X2130" s="15" t="s">
        <v>11203</v>
      </c>
      <c r="Y2130" s="15" t="s">
        <v>35</v>
      </c>
      <c r="Z2130" s="19">
        <v>0</v>
      </c>
      <c r="AA2130" s="15">
        <v>0</v>
      </c>
      <c r="AB2130" s="15" t="s">
        <v>35</v>
      </c>
    </row>
    <row r="2131">
      <c r="A2131" s="15">
        <v>2127</v>
      </c>
      <c r="B2131" s="15" t="s">
        <v>87</v>
      </c>
      <c r="C2131" s="15" t="s">
        <v>88</v>
      </c>
      <c r="D2131" s="15" t="s">
        <v>135</v>
      </c>
      <c r="E2131" s="15" t="s">
        <v>116</v>
      </c>
      <c r="F2131" s="15" t="s">
        <v>35</v>
      </c>
      <c r="G2131" s="15" t="s">
        <v>74</v>
      </c>
      <c r="H2131" s="15" t="s">
        <v>11204</v>
      </c>
      <c r="I2131" s="15" t="s">
        <v>11205</v>
      </c>
      <c r="J2131" s="15" t="s">
        <v>11206</v>
      </c>
      <c r="K2131" s="15" t="s">
        <v>390</v>
      </c>
      <c r="L2131" s="15" t="s">
        <v>391</v>
      </c>
      <c r="M2131" s="15" t="s">
        <v>392</v>
      </c>
      <c r="N2131" s="15" t="s">
        <v>393</v>
      </c>
      <c r="O2131" s="15" t="s">
        <v>82</v>
      </c>
      <c r="P2131" s="15" t="s">
        <v>1265</v>
      </c>
      <c r="Q2131" s="15" t="s">
        <v>1266</v>
      </c>
      <c r="R2131" s="16">
        <v>44329</v>
      </c>
      <c r="S2131" s="17" t="s">
        <v>70</v>
      </c>
      <c r="T2131" s="20">
        <f>HYPERLINK("https://vnm.spiral.com.vn//uploaded/20210513/7a5d73df-d604-452c-9efb-32fd3ba749ea.JPEG","10:30:08")</f>
      </c>
      <c r="U2131" s="20">
        <f>HYPERLINK("https://vnm.spiral.com.vn//uploaded/20210513/c3d90e39-fbdf-4589-95bb-748b3c7d7f1a.JPEG","11:28:59")</f>
      </c>
      <c r="V2131" s="18">
        <v>0.04086805555555555</v>
      </c>
      <c r="W2131" s="15" t="s">
        <v>11207</v>
      </c>
      <c r="X2131" s="15" t="s">
        <v>11208</v>
      </c>
      <c r="Y2131" s="15" t="s">
        <v>35</v>
      </c>
      <c r="Z2131" s="19">
        <v>0</v>
      </c>
      <c r="AA2131" s="15">
        <v>0</v>
      </c>
      <c r="AB2131" s="15" t="s">
        <v>35</v>
      </c>
    </row>
    <row r="2132">
      <c r="A2132" s="15">
        <v>2128</v>
      </c>
      <c r="B2132" s="15" t="s">
        <v>61</v>
      </c>
      <c r="C2132" s="15" t="s">
        <v>320</v>
      </c>
      <c r="D2132" s="15" t="s">
        <v>35</v>
      </c>
      <c r="E2132" s="15" t="s">
        <v>35</v>
      </c>
      <c r="F2132" s="15" t="s">
        <v>35</v>
      </c>
      <c r="G2132" s="15" t="s">
        <v>36</v>
      </c>
      <c r="H2132" s="15" t="s">
        <v>11209</v>
      </c>
      <c r="I2132" s="15" t="s">
        <v>11210</v>
      </c>
      <c r="J2132" s="15" t="s">
        <v>11211</v>
      </c>
      <c r="K2132" s="15" t="s">
        <v>40</v>
      </c>
      <c r="L2132" s="15" t="s">
        <v>41</v>
      </c>
      <c r="M2132" s="15" t="s">
        <v>205</v>
      </c>
      <c r="N2132" s="15" t="s">
        <v>206</v>
      </c>
      <c r="O2132" s="15" t="s">
        <v>44</v>
      </c>
      <c r="P2132" s="15" t="s">
        <v>5259</v>
      </c>
      <c r="Q2132" s="15" t="s">
        <v>5260</v>
      </c>
      <c r="R2132" s="16">
        <v>44329</v>
      </c>
      <c r="S2132" s="17" t="s">
        <v>8968</v>
      </c>
      <c r="T2132" s="20">
        <f>HYPERLINK("https://vnm.spiral.com.vn//uploaded/20210513/c95d567c-875f-476b-8621-87a9200a0890.JPEG","07:22:03")</f>
      </c>
      <c r="U2132" s="20">
        <f>HYPERLINK("https://vnm.spiral.com.vn//uploaded/20210513/6ae1ec45-eaa9-4dfa-b72b-5b575cec67a9.JPEG","11:28:55")</f>
      </c>
      <c r="V2132" s="18">
        <v>0.1714351851851852</v>
      </c>
      <c r="W2132" s="15" t="s">
        <v>11212</v>
      </c>
      <c r="X2132" s="15" t="s">
        <v>11213</v>
      </c>
      <c r="Y2132" s="15" t="s">
        <v>35</v>
      </c>
      <c r="Z2132" s="19">
        <v>0</v>
      </c>
      <c r="AA2132" s="15">
        <v>0</v>
      </c>
      <c r="AB2132" s="15" t="s">
        <v>35</v>
      </c>
    </row>
    <row r="2133">
      <c r="A2133" s="15">
        <v>2129</v>
      </c>
      <c r="B2133" s="15" t="s">
        <v>103</v>
      </c>
      <c r="C2133" s="15" t="s">
        <v>1078</v>
      </c>
      <c r="D2133" s="15" t="s">
        <v>35</v>
      </c>
      <c r="E2133" s="15" t="s">
        <v>35</v>
      </c>
      <c r="F2133" s="15" t="s">
        <v>35</v>
      </c>
      <c r="G2133" s="15" t="s">
        <v>36</v>
      </c>
      <c r="H2133" s="15" t="s">
        <v>11214</v>
      </c>
      <c r="I2133" s="15" t="s">
        <v>11215</v>
      </c>
      <c r="J2133" s="15" t="s">
        <v>11216</v>
      </c>
      <c r="K2133" s="15" t="s">
        <v>40</v>
      </c>
      <c r="L2133" s="15" t="s">
        <v>41</v>
      </c>
      <c r="M2133" s="15" t="s">
        <v>565</v>
      </c>
      <c r="N2133" s="15" t="s">
        <v>566</v>
      </c>
      <c r="O2133" s="15" t="s">
        <v>44</v>
      </c>
      <c r="P2133" s="15" t="s">
        <v>6485</v>
      </c>
      <c r="Q2133" s="15" t="s">
        <v>6486</v>
      </c>
      <c r="R2133" s="16">
        <v>44329</v>
      </c>
      <c r="S2133" s="17" t="s">
        <v>7866</v>
      </c>
      <c r="T2133" s="20">
        <f>HYPERLINK("https://vnm.spiral.com.vn//uploaded/20210513/161a6068-19f4-4ae8-a901-5126c410a3c9.JPEG","07:19:08")</f>
      </c>
      <c r="U2133" s="20">
        <f>HYPERLINK("https://vnm.spiral.com.vn//uploaded/20210513/a3ae894c-b954-4491-a47a-726e39123d40.JPEG","11:28:50")</f>
      </c>
      <c r="V2133" s="18">
        <v>0.17340277777777777</v>
      </c>
      <c r="W2133" s="15" t="s">
        <v>11217</v>
      </c>
      <c r="X2133" s="15" t="s">
        <v>11218</v>
      </c>
      <c r="Y2133" s="15" t="s">
        <v>35</v>
      </c>
      <c r="Z2133" s="19">
        <v>0</v>
      </c>
      <c r="AA2133" s="15">
        <v>0</v>
      </c>
      <c r="AB2133" s="15" t="s">
        <v>35</v>
      </c>
    </row>
    <row r="2134">
      <c r="A2134" s="15">
        <v>2130</v>
      </c>
      <c r="B2134" s="15" t="s">
        <v>103</v>
      </c>
      <c r="C2134" s="15" t="s">
        <v>186</v>
      </c>
      <c r="D2134" s="15" t="s">
        <v>432</v>
      </c>
      <c r="E2134" s="15" t="s">
        <v>116</v>
      </c>
      <c r="F2134" s="15" t="s">
        <v>35</v>
      </c>
      <c r="G2134" s="15" t="s">
        <v>74</v>
      </c>
      <c r="H2134" s="15" t="s">
        <v>11219</v>
      </c>
      <c r="I2134" s="15" t="s">
        <v>11220</v>
      </c>
      <c r="J2134" s="15" t="s">
        <v>11221</v>
      </c>
      <c r="K2134" s="15" t="s">
        <v>190</v>
      </c>
      <c r="L2134" s="15" t="s">
        <v>191</v>
      </c>
      <c r="M2134" s="15" t="s">
        <v>436</v>
      </c>
      <c r="N2134" s="15" t="s">
        <v>437</v>
      </c>
      <c r="O2134" s="15" t="s">
        <v>98</v>
      </c>
      <c r="P2134" s="15" t="s">
        <v>438</v>
      </c>
      <c r="Q2134" s="15" t="s">
        <v>439</v>
      </c>
      <c r="R2134" s="16">
        <v>44329</v>
      </c>
      <c r="S2134" s="17" t="s">
        <v>70</v>
      </c>
      <c r="T2134" s="20">
        <f>HYPERLINK("https://vnm.spiral.com.vn//uploaded/20210513/06090A44-4304-46CD-A378-6F20FFA07C04.jpg","10:10:10")</f>
      </c>
      <c r="U2134" s="20">
        <f>HYPERLINK("https://vnm.spiral.com.vn//uploaded/20210513/EC5A5433-11DA-4805-90B4-D00541529FD3.jpg","11:28:30")</f>
      </c>
      <c r="V2134" s="18">
        <v>0.05439814814814815</v>
      </c>
      <c r="W2134" s="15" t="s">
        <v>11222</v>
      </c>
      <c r="X2134" s="15" t="s">
        <v>11223</v>
      </c>
      <c r="Y2134" s="15" t="s">
        <v>35</v>
      </c>
      <c r="Z2134" s="19">
        <v>0</v>
      </c>
      <c r="AA2134" s="15">
        <v>0</v>
      </c>
      <c r="AB2134" s="15" t="s">
        <v>35</v>
      </c>
    </row>
    <row r="2135">
      <c r="A2135" s="15">
        <v>2131</v>
      </c>
      <c r="B2135" s="15" t="s">
        <v>49</v>
      </c>
      <c r="C2135" s="15" t="s">
        <v>369</v>
      </c>
      <c r="D2135" s="15" t="s">
        <v>35</v>
      </c>
      <c r="E2135" s="15" t="s">
        <v>35</v>
      </c>
      <c r="F2135" s="15" t="s">
        <v>370</v>
      </c>
      <c r="G2135" s="15" t="s">
        <v>36</v>
      </c>
      <c r="H2135" s="15" t="s">
        <v>11224</v>
      </c>
      <c r="I2135" s="15" t="s">
        <v>11225</v>
      </c>
      <c r="J2135" s="15" t="s">
        <v>11226</v>
      </c>
      <c r="K2135" s="15" t="s">
        <v>40</v>
      </c>
      <c r="L2135" s="15" t="s">
        <v>41</v>
      </c>
      <c r="M2135" s="15" t="s">
        <v>55</v>
      </c>
      <c r="N2135" s="15" t="s">
        <v>56</v>
      </c>
      <c r="O2135" s="15" t="s">
        <v>44</v>
      </c>
      <c r="P2135" s="15" t="s">
        <v>3897</v>
      </c>
      <c r="Q2135" s="15" t="s">
        <v>3898</v>
      </c>
      <c r="R2135" s="16">
        <v>44329</v>
      </c>
      <c r="S2135" s="17" t="s">
        <v>7866</v>
      </c>
      <c r="T2135" s="20">
        <f>HYPERLINK("https://vnm.spiral.com.vn//uploaded/20210513/915ada85-3f40-4a3c-a159-c44e3939f634.JPEG","07:23:57")</f>
      </c>
      <c r="U2135" s="20">
        <f>HYPERLINK("https://vnm.spiral.com.vn//uploaded/20210513/91a092c6-193e-46d6-8ad7-3eade1c0cb45.JPEG","11:28:22")</f>
      </c>
      <c r="V2135" s="18">
        <v>0.16973379629629629</v>
      </c>
      <c r="W2135" s="15" t="s">
        <v>11227</v>
      </c>
      <c r="X2135" s="15" t="s">
        <v>11228</v>
      </c>
      <c r="Y2135" s="15" t="s">
        <v>35</v>
      </c>
      <c r="Z2135" s="19">
        <v>0</v>
      </c>
      <c r="AA2135" s="15">
        <v>0</v>
      </c>
      <c r="AB2135" s="15" t="s">
        <v>35</v>
      </c>
    </row>
    <row r="2136">
      <c r="A2136" s="15">
        <v>2132</v>
      </c>
      <c r="B2136" s="15" t="s">
        <v>87</v>
      </c>
      <c r="C2136" s="15" t="s">
        <v>88</v>
      </c>
      <c r="D2136" s="15" t="s">
        <v>135</v>
      </c>
      <c r="E2136" s="15" t="s">
        <v>116</v>
      </c>
      <c r="F2136" s="15" t="s">
        <v>35</v>
      </c>
      <c r="G2136" s="15" t="s">
        <v>74</v>
      </c>
      <c r="H2136" s="15" t="s">
        <v>11229</v>
      </c>
      <c r="I2136" s="15" t="s">
        <v>11230</v>
      </c>
      <c r="J2136" s="15" t="s">
        <v>11231</v>
      </c>
      <c r="K2136" s="15" t="s">
        <v>139</v>
      </c>
      <c r="L2136" s="15" t="s">
        <v>140</v>
      </c>
      <c r="M2136" s="15" t="s">
        <v>141</v>
      </c>
      <c r="N2136" s="15" t="s">
        <v>142</v>
      </c>
      <c r="O2136" s="15" t="s">
        <v>82</v>
      </c>
      <c r="P2136" s="15" t="s">
        <v>143</v>
      </c>
      <c r="Q2136" s="15" t="s">
        <v>144</v>
      </c>
      <c r="R2136" s="16">
        <v>44329</v>
      </c>
      <c r="S2136" s="17" t="s">
        <v>70</v>
      </c>
      <c r="T2136" s="20">
        <f>HYPERLINK("https://vnm.spiral.com.vn//uploaded/20210513/90e86310-a353-4f35-b168-373c23e83c4b.JPEG","10:21:18")</f>
      </c>
      <c r="U2136" s="20">
        <f>HYPERLINK("https://vnm.spiral.com.vn//uploaded/20210513/0af30c2e-1730-4e40-8ec4-2b8c24e6a279.JPEG","11:28:16")</f>
      </c>
      <c r="V2136" s="18">
        <v>0.04650462962962963</v>
      </c>
      <c r="W2136" s="15" t="s">
        <v>11232</v>
      </c>
      <c r="X2136" s="15" t="s">
        <v>11233</v>
      </c>
      <c r="Y2136" s="15" t="s">
        <v>35</v>
      </c>
      <c r="Z2136" s="19">
        <v>0</v>
      </c>
      <c r="AA2136" s="15">
        <v>0</v>
      </c>
      <c r="AB2136" s="15" t="s">
        <v>35</v>
      </c>
    </row>
    <row r="2137">
      <c r="A2137" s="15">
        <v>2133</v>
      </c>
      <c r="B2137" s="15" t="s">
        <v>103</v>
      </c>
      <c r="C2137" s="15" t="s">
        <v>104</v>
      </c>
      <c r="D2137" s="15" t="s">
        <v>135</v>
      </c>
      <c r="E2137" s="15" t="s">
        <v>116</v>
      </c>
      <c r="F2137" s="15" t="s">
        <v>35</v>
      </c>
      <c r="G2137" s="15" t="s">
        <v>74</v>
      </c>
      <c r="H2137" s="15" t="s">
        <v>11234</v>
      </c>
      <c r="I2137" s="15" t="s">
        <v>11235</v>
      </c>
      <c r="J2137" s="15" t="s">
        <v>11236</v>
      </c>
      <c r="K2137" s="15" t="s">
        <v>460</v>
      </c>
      <c r="L2137" s="15" t="s">
        <v>461</v>
      </c>
      <c r="M2137" s="15" t="s">
        <v>462</v>
      </c>
      <c r="N2137" s="15" t="s">
        <v>463</v>
      </c>
      <c r="O2137" s="15" t="s">
        <v>82</v>
      </c>
      <c r="P2137" s="15" t="s">
        <v>464</v>
      </c>
      <c r="Q2137" s="15" t="s">
        <v>465</v>
      </c>
      <c r="R2137" s="16">
        <v>44329</v>
      </c>
      <c r="S2137" s="17" t="s">
        <v>70</v>
      </c>
      <c r="T2137" s="20">
        <f>HYPERLINK("https://vnm.spiral.com.vn//uploaded/20210513/889a2ccd-9fcc-4217-8816-d9316e11a20f.JPEG","10:37:06")</f>
      </c>
      <c r="U2137" s="20">
        <f>HYPERLINK("https://vnm.spiral.com.vn//uploaded/20210513/88d76285-ac20-4445-9c88-514f21b33522.JPEG","11:28:09")</f>
      </c>
      <c r="V2137" s="18">
        <v>0.035451388888888886</v>
      </c>
      <c r="W2137" s="15" t="s">
        <v>11237</v>
      </c>
      <c r="X2137" s="15" t="s">
        <v>11238</v>
      </c>
      <c r="Y2137" s="15" t="s">
        <v>35</v>
      </c>
      <c r="Z2137" s="19">
        <v>0</v>
      </c>
      <c r="AA2137" s="15">
        <v>0</v>
      </c>
      <c r="AB2137" s="15" t="s">
        <v>35</v>
      </c>
    </row>
    <row r="2138">
      <c r="A2138" s="15">
        <v>2134</v>
      </c>
      <c r="B2138" s="15" t="s">
        <v>343</v>
      </c>
      <c r="C2138" s="15" t="s">
        <v>2135</v>
      </c>
      <c r="D2138" s="15" t="s">
        <v>35</v>
      </c>
      <c r="E2138" s="15" t="s">
        <v>35</v>
      </c>
      <c r="F2138" s="15" t="s">
        <v>2706</v>
      </c>
      <c r="G2138" s="15" t="s">
        <v>36</v>
      </c>
      <c r="H2138" s="15" t="s">
        <v>7549</v>
      </c>
      <c r="I2138" s="15" t="s">
        <v>7550</v>
      </c>
      <c r="J2138" s="15" t="s">
        <v>7551</v>
      </c>
      <c r="K2138" s="15" t="s">
        <v>40</v>
      </c>
      <c r="L2138" s="15" t="s">
        <v>41</v>
      </c>
      <c r="M2138" s="15" t="s">
        <v>409</v>
      </c>
      <c r="N2138" s="15" t="s">
        <v>410</v>
      </c>
      <c r="O2138" s="15" t="s">
        <v>44</v>
      </c>
      <c r="P2138" s="15" t="s">
        <v>7552</v>
      </c>
      <c r="Q2138" s="15" t="s">
        <v>7553</v>
      </c>
      <c r="R2138" s="16">
        <v>44329</v>
      </c>
      <c r="S2138" s="17" t="s">
        <v>7866</v>
      </c>
      <c r="T2138" s="20">
        <f>HYPERLINK("https://vnm.spiral.com.vn//uploaded/20210513/2A7BB364-4427-4850-929E-61E702FC5019.jpg","07:34:14")</f>
      </c>
      <c r="U2138" s="20">
        <f>HYPERLINK("https://vnm.spiral.com.vn//uploaded/20210513/A539037D-98A5-46F8-9CCC-3FF959CFCA90.jpg","11:28:04")</f>
      </c>
      <c r="V2138" s="18">
        <v>0.16238425925925926</v>
      </c>
      <c r="W2138" s="15" t="s">
        <v>11239</v>
      </c>
      <c r="X2138" s="15" t="s">
        <v>11240</v>
      </c>
      <c r="Y2138" s="15" t="s">
        <v>35</v>
      </c>
      <c r="Z2138" s="19">
        <v>0</v>
      </c>
      <c r="AA2138" s="15">
        <v>0</v>
      </c>
      <c r="AB2138" s="15" t="s">
        <v>35</v>
      </c>
    </row>
    <row r="2139">
      <c r="A2139" s="15">
        <v>2135</v>
      </c>
      <c r="B2139" s="15" t="s">
        <v>33</v>
      </c>
      <c r="C2139" s="15" t="s">
        <v>2999</v>
      </c>
      <c r="D2139" s="15" t="s">
        <v>35</v>
      </c>
      <c r="E2139" s="15" t="s">
        <v>35</v>
      </c>
      <c r="F2139" s="15" t="s">
        <v>35</v>
      </c>
      <c r="G2139" s="15" t="s">
        <v>36</v>
      </c>
      <c r="H2139" s="15" t="s">
        <v>7464</v>
      </c>
      <c r="I2139" s="15" t="s">
        <v>7465</v>
      </c>
      <c r="J2139" s="15" t="s">
        <v>7466</v>
      </c>
      <c r="K2139" s="15" t="s">
        <v>40</v>
      </c>
      <c r="L2139" s="15" t="s">
        <v>41</v>
      </c>
      <c r="M2139" s="15" t="s">
        <v>42</v>
      </c>
      <c r="N2139" s="15" t="s">
        <v>43</v>
      </c>
      <c r="O2139" s="15" t="s">
        <v>44</v>
      </c>
      <c r="P2139" s="15" t="s">
        <v>7467</v>
      </c>
      <c r="Q2139" s="15" t="s">
        <v>7468</v>
      </c>
      <c r="R2139" s="16">
        <v>44329</v>
      </c>
      <c r="S2139" s="17" t="s">
        <v>7866</v>
      </c>
      <c r="T2139" s="20">
        <f>HYPERLINK("https://vnm.spiral.com.vn//uploaded/20210513/d59777cf-a0ac-47ef-ab29-cd23343716eb.JPEG","07:07:03")</f>
      </c>
      <c r="U2139" s="20">
        <f>HYPERLINK("https://vnm.spiral.com.vn//uploaded/20210513/c75eeee2-910f-4d35-9477-85612bb14268.JPEG","11:27:50")</f>
      </c>
      <c r="V2139" s="18">
        <v>0.18109953703703704</v>
      </c>
      <c r="W2139" s="15" t="s">
        <v>11241</v>
      </c>
      <c r="X2139" s="15" t="s">
        <v>11242</v>
      </c>
      <c r="Y2139" s="15" t="s">
        <v>35</v>
      </c>
      <c r="Z2139" s="19">
        <v>0</v>
      </c>
      <c r="AA2139" s="15">
        <v>0</v>
      </c>
      <c r="AB2139" s="15" t="s">
        <v>35</v>
      </c>
    </row>
    <row r="2140">
      <c r="A2140" s="15">
        <v>2136</v>
      </c>
      <c r="B2140" s="15" t="s">
        <v>33</v>
      </c>
      <c r="C2140" s="15" t="s">
        <v>34</v>
      </c>
      <c r="D2140" s="15" t="s">
        <v>35</v>
      </c>
      <c r="E2140" s="15" t="s">
        <v>35</v>
      </c>
      <c r="F2140" s="15" t="s">
        <v>35</v>
      </c>
      <c r="G2140" s="15" t="s">
        <v>36</v>
      </c>
      <c r="H2140" s="15" t="s">
        <v>11243</v>
      </c>
      <c r="I2140" s="15" t="s">
        <v>11244</v>
      </c>
      <c r="J2140" s="15" t="s">
        <v>11245</v>
      </c>
      <c r="K2140" s="15" t="s">
        <v>40</v>
      </c>
      <c r="L2140" s="15" t="s">
        <v>41</v>
      </c>
      <c r="M2140" s="15" t="s">
        <v>42</v>
      </c>
      <c r="N2140" s="15" t="s">
        <v>43</v>
      </c>
      <c r="O2140" s="15" t="s">
        <v>44</v>
      </c>
      <c r="P2140" s="15" t="s">
        <v>8188</v>
      </c>
      <c r="Q2140" s="15" t="s">
        <v>898</v>
      </c>
      <c r="R2140" s="16">
        <v>44329</v>
      </c>
      <c r="S2140" s="17" t="s">
        <v>7866</v>
      </c>
      <c r="T2140" s="20">
        <f>HYPERLINK("https://vnm.spiral.com.vn//uploaded/20210513/5f261e56-fb24-448e-a570-0a3c9865c06f.JPEG","07:22:54")</f>
      </c>
      <c r="U2140" s="20">
        <f>HYPERLINK("https://vnm.spiral.com.vn//uploaded/20210513/54cb7af9-1e1f-48c9-88cb-df6cd1d2ba47.JPEG","11:27:43")</f>
      </c>
      <c r="V2140" s="18">
        <v>0.17001157407407408</v>
      </c>
      <c r="W2140" s="15" t="s">
        <v>11246</v>
      </c>
      <c r="X2140" s="15" t="s">
        <v>11247</v>
      </c>
      <c r="Y2140" s="15" t="s">
        <v>35</v>
      </c>
      <c r="Z2140" s="19">
        <v>0</v>
      </c>
      <c r="AA2140" s="15">
        <v>0</v>
      </c>
      <c r="AB2140" s="15" t="s">
        <v>35</v>
      </c>
    </row>
    <row r="2141">
      <c r="A2141" s="15">
        <v>2137</v>
      </c>
      <c r="B2141" s="15" t="s">
        <v>87</v>
      </c>
      <c r="C2141" s="15" t="s">
        <v>88</v>
      </c>
      <c r="D2141" s="15" t="s">
        <v>135</v>
      </c>
      <c r="E2141" s="15" t="s">
        <v>116</v>
      </c>
      <c r="F2141" s="15" t="s">
        <v>35</v>
      </c>
      <c r="G2141" s="15" t="s">
        <v>74</v>
      </c>
      <c r="H2141" s="15" t="s">
        <v>11248</v>
      </c>
      <c r="I2141" s="15" t="s">
        <v>11249</v>
      </c>
      <c r="J2141" s="15" t="s">
        <v>11250</v>
      </c>
      <c r="K2141" s="15" t="s">
        <v>139</v>
      </c>
      <c r="L2141" s="15" t="s">
        <v>140</v>
      </c>
      <c r="M2141" s="15" t="s">
        <v>530</v>
      </c>
      <c r="N2141" s="15" t="s">
        <v>531</v>
      </c>
      <c r="O2141" s="15" t="s">
        <v>82</v>
      </c>
      <c r="P2141" s="15" t="s">
        <v>2017</v>
      </c>
      <c r="Q2141" s="15" t="s">
        <v>2018</v>
      </c>
      <c r="R2141" s="16">
        <v>44329</v>
      </c>
      <c r="S2141" s="17" t="s">
        <v>70</v>
      </c>
      <c r="T2141" s="20">
        <f>HYPERLINK("https://vnm.spiral.com.vn//uploaded/20210513/1E242BEB-ACFA-47B8-B2BE-7C75ACB5938F.jpg","10:26:57")</f>
      </c>
      <c r="U2141" s="20">
        <f>HYPERLINK("https://vnm.spiral.com.vn//uploaded/20210513/BFDF754D-87A8-4AC4-BE23-9CC16AA56066.jpg","11:27:39")</f>
      </c>
      <c r="V2141" s="18">
        <v>0.042152777777777775</v>
      </c>
      <c r="W2141" s="15" t="s">
        <v>11251</v>
      </c>
      <c r="X2141" s="15" t="s">
        <v>11252</v>
      </c>
      <c r="Y2141" s="15" t="s">
        <v>35</v>
      </c>
      <c r="Z2141" s="19">
        <v>0</v>
      </c>
      <c r="AA2141" s="15">
        <v>0</v>
      </c>
      <c r="AB2141" s="15" t="s">
        <v>35</v>
      </c>
    </row>
    <row r="2142">
      <c r="A2142" s="15">
        <v>2138</v>
      </c>
      <c r="B2142" s="15" t="s">
        <v>33</v>
      </c>
      <c r="C2142" s="15" t="s">
        <v>2999</v>
      </c>
      <c r="D2142" s="15" t="s">
        <v>35</v>
      </c>
      <c r="E2142" s="15" t="s">
        <v>35</v>
      </c>
      <c r="F2142" s="15" t="s">
        <v>35</v>
      </c>
      <c r="G2142" s="15" t="s">
        <v>36</v>
      </c>
      <c r="H2142" s="15" t="s">
        <v>7136</v>
      </c>
      <c r="I2142" s="15" t="s">
        <v>7137</v>
      </c>
      <c r="J2142" s="15" t="s">
        <v>7138</v>
      </c>
      <c r="K2142" s="15" t="s">
        <v>40</v>
      </c>
      <c r="L2142" s="15" t="s">
        <v>41</v>
      </c>
      <c r="M2142" s="15" t="s">
        <v>42</v>
      </c>
      <c r="N2142" s="15" t="s">
        <v>43</v>
      </c>
      <c r="O2142" s="15" t="s">
        <v>44</v>
      </c>
      <c r="P2142" s="15" t="s">
        <v>7139</v>
      </c>
      <c r="Q2142" s="15" t="s">
        <v>7140</v>
      </c>
      <c r="R2142" s="16">
        <v>44329</v>
      </c>
      <c r="S2142" s="17" t="s">
        <v>7866</v>
      </c>
      <c r="T2142" s="20">
        <f>HYPERLINK("https://vnm.spiral.com.vn//uploaded/20210513/b86753ee-6ae7-40c2-b0fd-3cb035af1f55.JPEG","07:34:07")</f>
      </c>
      <c r="U2142" s="20">
        <f>HYPERLINK("https://vnm.spiral.com.vn//uploaded/20210513/c4f8b286-7070-4610-8263-b7c4ee71d4ba.JPEG","11:27:30")</f>
      </c>
      <c r="V2142" s="18">
        <v>0.16207175925925926</v>
      </c>
      <c r="W2142" s="15" t="s">
        <v>11253</v>
      </c>
      <c r="X2142" s="15" t="s">
        <v>11254</v>
      </c>
      <c r="Y2142" s="15" t="s">
        <v>35</v>
      </c>
      <c r="Z2142" s="19">
        <v>0</v>
      </c>
      <c r="AA2142" s="15">
        <v>0</v>
      </c>
      <c r="AB2142" s="15" t="s">
        <v>35</v>
      </c>
    </row>
    <row r="2143">
      <c r="A2143" s="15">
        <v>2139</v>
      </c>
      <c r="B2143" s="15" t="s">
        <v>49</v>
      </c>
      <c r="C2143" s="15" t="s">
        <v>756</v>
      </c>
      <c r="D2143" s="15" t="s">
        <v>35</v>
      </c>
      <c r="E2143" s="15" t="s">
        <v>35</v>
      </c>
      <c r="F2143" s="15" t="s">
        <v>6964</v>
      </c>
      <c r="G2143" s="15" t="s">
        <v>36</v>
      </c>
      <c r="H2143" s="15" t="s">
        <v>8336</v>
      </c>
      <c r="I2143" s="15" t="s">
        <v>8337</v>
      </c>
      <c r="J2143" s="15" t="s">
        <v>8338</v>
      </c>
      <c r="K2143" s="15" t="s">
        <v>40</v>
      </c>
      <c r="L2143" s="15" t="s">
        <v>41</v>
      </c>
      <c r="M2143" s="15" t="s">
        <v>55</v>
      </c>
      <c r="N2143" s="15" t="s">
        <v>56</v>
      </c>
      <c r="O2143" s="15" t="s">
        <v>44</v>
      </c>
      <c r="P2143" s="15" t="s">
        <v>8339</v>
      </c>
      <c r="Q2143" s="15" t="s">
        <v>8340</v>
      </c>
      <c r="R2143" s="16">
        <v>44329</v>
      </c>
      <c r="S2143" s="17" t="s">
        <v>7866</v>
      </c>
      <c r="T2143" s="20">
        <f>HYPERLINK("https://vnm.spiral.com.vn//uploaded/20210513/3497969f-cd40-4680-bc58-81bc07f85fab.JPEG","07:14:06")</f>
      </c>
      <c r="U2143" s="20">
        <f>HYPERLINK("https://vnm.spiral.com.vn//uploaded/20210513/555b7775-d8f9-48ac-b09a-9f2448fef9a4.JPEG","11:27:27")</f>
      </c>
      <c r="V2143" s="18">
        <v>0.1759375</v>
      </c>
      <c r="W2143" s="15" t="s">
        <v>11255</v>
      </c>
      <c r="X2143" s="15" t="s">
        <v>11256</v>
      </c>
      <c r="Y2143" s="15" t="s">
        <v>35</v>
      </c>
      <c r="Z2143" s="19">
        <v>0</v>
      </c>
      <c r="AA2143" s="15">
        <v>0</v>
      </c>
      <c r="AB2143" s="15" t="s">
        <v>35</v>
      </c>
    </row>
    <row r="2144">
      <c r="A2144" s="15">
        <v>2140</v>
      </c>
      <c r="B2144" s="15" t="s">
        <v>33</v>
      </c>
      <c r="C2144" s="15" t="s">
        <v>2883</v>
      </c>
      <c r="D2144" s="15" t="s">
        <v>35</v>
      </c>
      <c r="E2144" s="15" t="s">
        <v>35</v>
      </c>
      <c r="F2144" s="15" t="s">
        <v>35</v>
      </c>
      <c r="G2144" s="15" t="s">
        <v>36</v>
      </c>
      <c r="H2144" s="15" t="s">
        <v>7401</v>
      </c>
      <c r="I2144" s="15" t="s">
        <v>7402</v>
      </c>
      <c r="J2144" s="15" t="s">
        <v>7403</v>
      </c>
      <c r="K2144" s="15" t="s">
        <v>40</v>
      </c>
      <c r="L2144" s="15" t="s">
        <v>41</v>
      </c>
      <c r="M2144" s="15" t="s">
        <v>42</v>
      </c>
      <c r="N2144" s="15" t="s">
        <v>43</v>
      </c>
      <c r="O2144" s="15" t="s">
        <v>44</v>
      </c>
      <c r="P2144" s="15" t="s">
        <v>7404</v>
      </c>
      <c r="Q2144" s="15" t="s">
        <v>7405</v>
      </c>
      <c r="R2144" s="16">
        <v>44329</v>
      </c>
      <c r="S2144" s="17" t="s">
        <v>7866</v>
      </c>
      <c r="T2144" s="20">
        <f>HYPERLINK("https://vnm.spiral.com.vn//uploaded/20210513/a83fc4e2-745a-4b71-9f88-6e87ebbda9c7.JPEG","07:12:39")</f>
      </c>
      <c r="U2144" s="20">
        <f>HYPERLINK("https://vnm.spiral.com.vn//uploaded/20210513/9f30b7ae-b2b4-4a35-aa2a-45318b18319e.JPEG","11:27:17")</f>
      </c>
      <c r="V2144" s="18">
        <v>0.1768287037037037</v>
      </c>
      <c r="W2144" s="15" t="s">
        <v>11257</v>
      </c>
      <c r="X2144" s="15" t="s">
        <v>11258</v>
      </c>
      <c r="Y2144" s="15" t="s">
        <v>35</v>
      </c>
      <c r="Z2144" s="19">
        <v>0</v>
      </c>
      <c r="AA2144" s="15">
        <v>0</v>
      </c>
      <c r="AB2144" s="15" t="s">
        <v>35</v>
      </c>
    </row>
    <row r="2145">
      <c r="A2145" s="15">
        <v>2141</v>
      </c>
      <c r="B2145" s="15" t="s">
        <v>103</v>
      </c>
      <c r="C2145" s="15" t="s">
        <v>104</v>
      </c>
      <c r="D2145" s="15" t="s">
        <v>35</v>
      </c>
      <c r="E2145" s="15" t="s">
        <v>35</v>
      </c>
      <c r="F2145" s="15" t="s">
        <v>35</v>
      </c>
      <c r="G2145" s="15" t="s">
        <v>35</v>
      </c>
      <c r="H2145" s="15" t="s">
        <v>5267</v>
      </c>
      <c r="I2145" s="15" t="s">
        <v>5268</v>
      </c>
      <c r="J2145" s="15" t="s">
        <v>5269</v>
      </c>
      <c r="K2145" s="15" t="s">
        <v>40</v>
      </c>
      <c r="L2145" s="15" t="s">
        <v>41</v>
      </c>
      <c r="M2145" s="15" t="s">
        <v>108</v>
      </c>
      <c r="N2145" s="15" t="s">
        <v>109</v>
      </c>
      <c r="O2145" s="15" t="s">
        <v>44</v>
      </c>
      <c r="P2145" s="15" t="s">
        <v>5270</v>
      </c>
      <c r="Q2145" s="15" t="s">
        <v>5271</v>
      </c>
      <c r="R2145" s="16">
        <v>44329</v>
      </c>
      <c r="S2145" s="17" t="s">
        <v>7866</v>
      </c>
      <c r="T2145" s="20">
        <f>HYPERLINK("https://vnm.spiral.com.vn//uploaded/20210513/C421AC42-A883-407F-9C93-378C4C9D60A9.jpg","07:28:57")</f>
      </c>
      <c r="U2145" s="20">
        <f>HYPERLINK("https://vnm.spiral.com.vn//uploaded/20210513/1109BD3A-C3FD-4730-A03B-CC533B18B6B5.jpg","11:27:14")</f>
      </c>
      <c r="V2145" s="18">
        <v>0.16547453703703704</v>
      </c>
      <c r="W2145" s="15" t="s">
        <v>11259</v>
      </c>
      <c r="X2145" s="15" t="s">
        <v>11260</v>
      </c>
      <c r="Y2145" s="15" t="s">
        <v>35</v>
      </c>
      <c r="Z2145" s="19">
        <v>0</v>
      </c>
      <c r="AA2145" s="15">
        <v>0</v>
      </c>
      <c r="AB2145" s="15" t="s">
        <v>35</v>
      </c>
    </row>
    <row r="2146">
      <c r="A2146" s="15">
        <v>2142</v>
      </c>
      <c r="B2146" s="15" t="s">
        <v>87</v>
      </c>
      <c r="C2146" s="15" t="s">
        <v>88</v>
      </c>
      <c r="D2146" s="15" t="s">
        <v>74</v>
      </c>
      <c r="E2146" s="15" t="s">
        <v>90</v>
      </c>
      <c r="F2146" s="15" t="s">
        <v>35</v>
      </c>
      <c r="G2146" s="15" t="s">
        <v>74</v>
      </c>
      <c r="H2146" s="15" t="s">
        <v>11261</v>
      </c>
      <c r="I2146" s="15" t="s">
        <v>11262</v>
      </c>
      <c r="J2146" s="15" t="s">
        <v>11263</v>
      </c>
      <c r="K2146" s="15" t="s">
        <v>190</v>
      </c>
      <c r="L2146" s="15" t="s">
        <v>191</v>
      </c>
      <c r="M2146" s="15" t="s">
        <v>1031</v>
      </c>
      <c r="N2146" s="15" t="s">
        <v>1032</v>
      </c>
      <c r="O2146" s="15" t="s">
        <v>82</v>
      </c>
      <c r="P2146" s="15" t="s">
        <v>2961</v>
      </c>
      <c r="Q2146" s="15" t="s">
        <v>2962</v>
      </c>
      <c r="R2146" s="16">
        <v>44329</v>
      </c>
      <c r="S2146" s="17" t="s">
        <v>70</v>
      </c>
      <c r="T2146" s="20">
        <f>HYPERLINK("https://vnm.spiral.com.vn//uploaded/20210513/BE306BDC-22C7-4B74-B15C-F0BB1AB38DF6.jpg","09:53:51")</f>
      </c>
      <c r="U2146" s="20">
        <f>HYPERLINK("https://vnm.spiral.com.vn//uploaded/20210513/847424AB-69E7-4EA4-ACA0-848ABAF78827.jpg","11:27:10")</f>
      </c>
      <c r="V2146" s="18">
        <v>0.06480324074074074</v>
      </c>
      <c r="W2146" s="15" t="s">
        <v>11264</v>
      </c>
      <c r="X2146" s="15" t="s">
        <v>11265</v>
      </c>
      <c r="Y2146" s="15" t="s">
        <v>35</v>
      </c>
      <c r="Z2146" s="19">
        <v>0</v>
      </c>
      <c r="AA2146" s="15">
        <v>0</v>
      </c>
      <c r="AB2146" s="15" t="s">
        <v>35</v>
      </c>
    </row>
    <row r="2147">
      <c r="A2147" s="15">
        <v>2143</v>
      </c>
      <c r="B2147" s="15" t="s">
        <v>61</v>
      </c>
      <c r="C2147" s="15" t="s">
        <v>1106</v>
      </c>
      <c r="D2147" s="15" t="s">
        <v>35</v>
      </c>
      <c r="E2147" s="15" t="s">
        <v>35</v>
      </c>
      <c r="F2147" s="15" t="s">
        <v>35</v>
      </c>
      <c r="G2147" s="15" t="s">
        <v>36</v>
      </c>
      <c r="H2147" s="15" t="s">
        <v>4845</v>
      </c>
      <c r="I2147" s="15" t="s">
        <v>4846</v>
      </c>
      <c r="J2147" s="15" t="s">
        <v>4847</v>
      </c>
      <c r="K2147" s="15" t="s">
        <v>40</v>
      </c>
      <c r="L2147" s="15" t="s">
        <v>41</v>
      </c>
      <c r="M2147" s="15" t="s">
        <v>66</v>
      </c>
      <c r="N2147" s="15" t="s">
        <v>67</v>
      </c>
      <c r="O2147" s="15" t="s">
        <v>44</v>
      </c>
      <c r="P2147" s="15" t="s">
        <v>4848</v>
      </c>
      <c r="Q2147" s="15" t="s">
        <v>4849</v>
      </c>
      <c r="R2147" s="16">
        <v>44329</v>
      </c>
      <c r="S2147" s="17" t="s">
        <v>7866</v>
      </c>
      <c r="T2147" s="20">
        <f>HYPERLINK("https://vnm.spiral.com.vn//uploaded/20210513/624ae409-3c98-4a42-b6ee-5ba9b2eea8c0.JPEG","07:25:23")</f>
      </c>
      <c r="U2147" s="20">
        <f>HYPERLINK("https://vnm.spiral.com.vn//uploaded/20210513/d7cc5ded-3512-430e-b3e8-d4f1288e8fff.JPEG","11:26:48")</f>
      </c>
      <c r="V2147" s="18">
        <v>0.16765046296296296</v>
      </c>
      <c r="W2147" s="15" t="s">
        <v>11266</v>
      </c>
      <c r="X2147" s="15" t="s">
        <v>11267</v>
      </c>
      <c r="Y2147" s="15" t="s">
        <v>35</v>
      </c>
      <c r="Z2147" s="19">
        <v>0</v>
      </c>
      <c r="AA2147" s="15">
        <v>0</v>
      </c>
      <c r="AB2147" s="15" t="s">
        <v>35</v>
      </c>
    </row>
    <row r="2148">
      <c r="A2148" s="15">
        <v>2144</v>
      </c>
      <c r="B2148" s="15" t="s">
        <v>87</v>
      </c>
      <c r="C2148" s="15" t="s">
        <v>88</v>
      </c>
      <c r="D2148" s="15" t="s">
        <v>35</v>
      </c>
      <c r="E2148" s="15" t="s">
        <v>35</v>
      </c>
      <c r="F2148" s="15" t="s">
        <v>35</v>
      </c>
      <c r="G2148" s="15" t="s">
        <v>74</v>
      </c>
      <c r="H2148" s="15" t="s">
        <v>11268</v>
      </c>
      <c r="I2148" s="15" t="s">
        <v>11269</v>
      </c>
      <c r="J2148" s="15" t="s">
        <v>11270</v>
      </c>
      <c r="K2148" s="15" t="s">
        <v>888</v>
      </c>
      <c r="L2148" s="15" t="s">
        <v>889</v>
      </c>
      <c r="M2148" s="15" t="s">
        <v>890</v>
      </c>
      <c r="N2148" s="15" t="s">
        <v>891</v>
      </c>
      <c r="O2148" s="15" t="s">
        <v>82</v>
      </c>
      <c r="P2148" s="15" t="s">
        <v>2094</v>
      </c>
      <c r="Q2148" s="15" t="s">
        <v>2095</v>
      </c>
      <c r="R2148" s="16">
        <v>44329</v>
      </c>
      <c r="S2148" s="17" t="s">
        <v>70</v>
      </c>
      <c r="T2148" s="20">
        <f>HYPERLINK("https://vnm.spiral.com.vn//uploaded/20210513/44250E12-F85D-4465-BB61-CBBEFA0F6F2B.jpg","11:06:51")</f>
      </c>
      <c r="U2148" s="20">
        <f>HYPERLINK("https://vnm.spiral.com.vn//uploaded/20210513/94D596E9-EF7E-4E3C-A46A-ABD4CA55C084.jpg","11:26:40")</f>
      </c>
      <c r="V2148" s="18">
        <v>0.013761574074074074</v>
      </c>
      <c r="W2148" s="15" t="s">
        <v>11271</v>
      </c>
      <c r="X2148" s="15" t="s">
        <v>11272</v>
      </c>
      <c r="Y2148" s="15" t="s">
        <v>35</v>
      </c>
      <c r="Z2148" s="19">
        <v>0</v>
      </c>
      <c r="AA2148" s="15">
        <v>0</v>
      </c>
      <c r="AB2148" s="15" t="s">
        <v>35</v>
      </c>
    </row>
    <row r="2149">
      <c r="A2149" s="15">
        <v>2145</v>
      </c>
      <c r="B2149" s="15" t="s">
        <v>343</v>
      </c>
      <c r="C2149" s="15" t="s">
        <v>7476</v>
      </c>
      <c r="D2149" s="15" t="s">
        <v>35</v>
      </c>
      <c r="E2149" s="15" t="s">
        <v>35</v>
      </c>
      <c r="F2149" s="15" t="s">
        <v>11273</v>
      </c>
      <c r="G2149" s="15" t="s">
        <v>36</v>
      </c>
      <c r="H2149" s="15" t="s">
        <v>11274</v>
      </c>
      <c r="I2149" s="15" t="s">
        <v>11275</v>
      </c>
      <c r="J2149" s="15" t="s">
        <v>11276</v>
      </c>
      <c r="K2149" s="15" t="s">
        <v>40</v>
      </c>
      <c r="L2149" s="15" t="s">
        <v>41</v>
      </c>
      <c r="M2149" s="15" t="s">
        <v>409</v>
      </c>
      <c r="N2149" s="15" t="s">
        <v>410</v>
      </c>
      <c r="O2149" s="15" t="s">
        <v>44</v>
      </c>
      <c r="P2149" s="15" t="s">
        <v>11277</v>
      </c>
      <c r="Q2149" s="15" t="s">
        <v>11278</v>
      </c>
      <c r="R2149" s="16">
        <v>44329</v>
      </c>
      <c r="S2149" s="17" t="s">
        <v>11279</v>
      </c>
      <c r="T2149" s="20">
        <f>HYPERLINK("https://vnm.spiral.com.vn//uploaded/20210513/47D8CE31-7A7D-4013-B599-B4CCBDD54E88.jpg","11:26:27")</f>
      </c>
      <c r="U2149" s="18"/>
      <c r="V2149" s="18" t="s">
        <v>35</v>
      </c>
      <c r="W2149" s="15" t="s">
        <v>11280</v>
      </c>
      <c r="X2149" s="15" t="s">
        <v>35</v>
      </c>
      <c r="Y2149" s="15" t="s">
        <v>35</v>
      </c>
      <c r="Z2149" s="19">
        <v>0</v>
      </c>
      <c r="AA2149" s="15">
        <v>0</v>
      </c>
      <c r="AB2149" s="15" t="s">
        <v>35</v>
      </c>
    </row>
    <row r="2150">
      <c r="A2150" s="15">
        <v>2146</v>
      </c>
      <c r="B2150" s="15" t="s">
        <v>87</v>
      </c>
      <c r="C2150" s="15" t="s">
        <v>88</v>
      </c>
      <c r="D2150" s="15" t="s">
        <v>135</v>
      </c>
      <c r="E2150" s="15" t="s">
        <v>116</v>
      </c>
      <c r="F2150" s="15" t="s">
        <v>35</v>
      </c>
      <c r="G2150" s="15" t="s">
        <v>74</v>
      </c>
      <c r="H2150" s="15" t="s">
        <v>11281</v>
      </c>
      <c r="I2150" s="15" t="s">
        <v>11282</v>
      </c>
      <c r="J2150" s="15" t="s">
        <v>11283</v>
      </c>
      <c r="K2150" s="15" t="s">
        <v>390</v>
      </c>
      <c r="L2150" s="15" t="s">
        <v>391</v>
      </c>
      <c r="M2150" s="15" t="s">
        <v>392</v>
      </c>
      <c r="N2150" s="15" t="s">
        <v>393</v>
      </c>
      <c r="O2150" s="15" t="s">
        <v>82</v>
      </c>
      <c r="P2150" s="15" t="s">
        <v>5125</v>
      </c>
      <c r="Q2150" s="15" t="s">
        <v>5126</v>
      </c>
      <c r="R2150" s="16">
        <v>44329</v>
      </c>
      <c r="S2150" s="17" t="s">
        <v>70</v>
      </c>
      <c r="T2150" s="20">
        <f>HYPERLINK("https://vnm.spiral.com.vn//uploaded/20210513/c44f8b82-b409-4ad5-8c53-8a10ae364769.JPEG","10:41:44")</f>
      </c>
      <c r="U2150" s="20">
        <f>HYPERLINK("https://vnm.spiral.com.vn//uploaded/20210513/7789a9ae-9f5a-428b-ada8-3bae5c37f576.JPEG","11:26:09")</f>
      </c>
      <c r="V2150" s="18">
        <v>0.030844907407407408</v>
      </c>
      <c r="W2150" s="15" t="s">
        <v>11284</v>
      </c>
      <c r="X2150" s="15" t="s">
        <v>11285</v>
      </c>
      <c r="Y2150" s="15" t="s">
        <v>35</v>
      </c>
      <c r="Z2150" s="19">
        <v>0</v>
      </c>
      <c r="AA2150" s="15">
        <v>0</v>
      </c>
      <c r="AB2150" s="15" t="s">
        <v>35</v>
      </c>
    </row>
    <row r="2151">
      <c r="A2151" s="15">
        <v>2147</v>
      </c>
      <c r="B2151" s="15" t="s">
        <v>49</v>
      </c>
      <c r="C2151" s="15" t="s">
        <v>369</v>
      </c>
      <c r="D2151" s="15" t="s">
        <v>35</v>
      </c>
      <c r="E2151" s="15" t="s">
        <v>35</v>
      </c>
      <c r="F2151" s="15" t="s">
        <v>5927</v>
      </c>
      <c r="G2151" s="15" t="s">
        <v>36</v>
      </c>
      <c r="H2151" s="15" t="s">
        <v>5928</v>
      </c>
      <c r="I2151" s="15" t="s">
        <v>5929</v>
      </c>
      <c r="J2151" s="15" t="s">
        <v>5930</v>
      </c>
      <c r="K2151" s="15" t="s">
        <v>40</v>
      </c>
      <c r="L2151" s="15" t="s">
        <v>41</v>
      </c>
      <c r="M2151" s="15" t="s">
        <v>55</v>
      </c>
      <c r="N2151" s="15" t="s">
        <v>56</v>
      </c>
      <c r="O2151" s="15" t="s">
        <v>44</v>
      </c>
      <c r="P2151" s="15" t="s">
        <v>5931</v>
      </c>
      <c r="Q2151" s="15" t="s">
        <v>5932</v>
      </c>
      <c r="R2151" s="16">
        <v>44329</v>
      </c>
      <c r="S2151" s="17" t="s">
        <v>317</v>
      </c>
      <c r="T2151" s="20">
        <f>HYPERLINK("https://vnm.spiral.com.vn//uploaded/20210513/73b4a4ad-215d-4d3f-8889-588eb9348d67.JPEG","07:45:38")</f>
      </c>
      <c r="U2151" s="20">
        <f>HYPERLINK("https://vnm.spiral.com.vn//uploaded/20210513/ddd503bc-add8-4a74-b33d-5f3736e29860.JPEG","11:26:06")</f>
      </c>
      <c r="V2151" s="18">
        <v>0.15310185185185185</v>
      </c>
      <c r="W2151" s="15" t="s">
        <v>11286</v>
      </c>
      <c r="X2151" s="15" t="s">
        <v>11287</v>
      </c>
      <c r="Y2151" s="15" t="s">
        <v>35</v>
      </c>
      <c r="Z2151" s="19">
        <v>0</v>
      </c>
      <c r="AA2151" s="15">
        <v>0</v>
      </c>
      <c r="AB2151" s="15" t="s">
        <v>35</v>
      </c>
    </row>
    <row r="2152">
      <c r="A2152" s="15">
        <v>2148</v>
      </c>
      <c r="B2152" s="15" t="s">
        <v>87</v>
      </c>
      <c r="C2152" s="15" t="s">
        <v>88</v>
      </c>
      <c r="D2152" s="15" t="s">
        <v>610</v>
      </c>
      <c r="E2152" s="15" t="s">
        <v>90</v>
      </c>
      <c r="F2152" s="15" t="s">
        <v>35</v>
      </c>
      <c r="G2152" s="15" t="s">
        <v>74</v>
      </c>
      <c r="H2152" s="15" t="s">
        <v>11288</v>
      </c>
      <c r="I2152" s="15" t="s">
        <v>11289</v>
      </c>
      <c r="J2152" s="15" t="s">
        <v>11290</v>
      </c>
      <c r="K2152" s="15" t="s">
        <v>94</v>
      </c>
      <c r="L2152" s="15" t="s">
        <v>95</v>
      </c>
      <c r="M2152" s="15" t="s">
        <v>614</v>
      </c>
      <c r="N2152" s="15" t="s">
        <v>615</v>
      </c>
      <c r="O2152" s="15" t="s">
        <v>98</v>
      </c>
      <c r="P2152" s="15" t="s">
        <v>1769</v>
      </c>
      <c r="Q2152" s="15" t="s">
        <v>1770</v>
      </c>
      <c r="R2152" s="16">
        <v>44329</v>
      </c>
      <c r="S2152" s="17" t="s">
        <v>70</v>
      </c>
      <c r="T2152" s="20">
        <f>HYPERLINK("https://vnm.spiral.com.vn//uploaded/20210513/0545F934-533D-4FD9-A3A0-641F7008D189.jpg","10:42:06")</f>
      </c>
      <c r="U2152" s="20">
        <f>HYPERLINK("https://vnm.spiral.com.vn//uploaded/20210513/9928A79F-0932-43B3-981F-E0E21C3A9388.jpg","11:25:57")</f>
      </c>
      <c r="V2152" s="18">
        <v>0.03045138888888889</v>
      </c>
      <c r="W2152" s="15" t="s">
        <v>11291</v>
      </c>
      <c r="X2152" s="15" t="s">
        <v>11292</v>
      </c>
      <c r="Y2152" s="15" t="s">
        <v>35</v>
      </c>
      <c r="Z2152" s="19">
        <v>0</v>
      </c>
      <c r="AA2152" s="15">
        <v>0</v>
      </c>
      <c r="AB2152" s="15" t="s">
        <v>35</v>
      </c>
    </row>
    <row r="2153">
      <c r="A2153" s="15">
        <v>2149</v>
      </c>
      <c r="B2153" s="15" t="s">
        <v>87</v>
      </c>
      <c r="C2153" s="15" t="s">
        <v>88</v>
      </c>
      <c r="D2153" s="15" t="s">
        <v>610</v>
      </c>
      <c r="E2153" s="15" t="s">
        <v>90</v>
      </c>
      <c r="F2153" s="15" t="s">
        <v>35</v>
      </c>
      <c r="G2153" s="15" t="s">
        <v>74</v>
      </c>
      <c r="H2153" s="15" t="s">
        <v>11293</v>
      </c>
      <c r="I2153" s="15" t="s">
        <v>11294</v>
      </c>
      <c r="J2153" s="15" t="s">
        <v>11295</v>
      </c>
      <c r="K2153" s="15" t="s">
        <v>94</v>
      </c>
      <c r="L2153" s="15" t="s">
        <v>95</v>
      </c>
      <c r="M2153" s="15" t="s">
        <v>614</v>
      </c>
      <c r="N2153" s="15" t="s">
        <v>615</v>
      </c>
      <c r="O2153" s="15" t="s">
        <v>82</v>
      </c>
      <c r="P2153" s="15" t="s">
        <v>1341</v>
      </c>
      <c r="Q2153" s="15" t="s">
        <v>1342</v>
      </c>
      <c r="R2153" s="16">
        <v>44329</v>
      </c>
      <c r="S2153" s="17" t="s">
        <v>70</v>
      </c>
      <c r="T2153" s="20">
        <f>HYPERLINK("https://vnm.spiral.com.vn//uploaded/20210513/A878F870-C14A-40AF-80D3-D64641F4DDB1.jpg","10:53:58")</f>
      </c>
      <c r="U2153" s="20">
        <f>HYPERLINK("https://vnm.spiral.com.vn//uploaded/20210513/418B6AD6-E985-477B-B896-884BC301929E.jpg","11:25:52")</f>
      </c>
      <c r="V2153" s="18">
        <v>0.022152777777777778</v>
      </c>
      <c r="W2153" s="15" t="s">
        <v>11296</v>
      </c>
      <c r="X2153" s="15" t="s">
        <v>11297</v>
      </c>
      <c r="Y2153" s="15" t="s">
        <v>35</v>
      </c>
      <c r="Z2153" s="19">
        <v>0</v>
      </c>
      <c r="AA2153" s="15">
        <v>0</v>
      </c>
      <c r="AB2153" s="15" t="s">
        <v>35</v>
      </c>
    </row>
    <row r="2154">
      <c r="A2154" s="15">
        <v>2150</v>
      </c>
      <c r="B2154" s="15" t="s">
        <v>61</v>
      </c>
      <c r="C2154" s="15" t="s">
        <v>62</v>
      </c>
      <c r="D2154" s="15" t="s">
        <v>135</v>
      </c>
      <c r="E2154" s="15" t="s">
        <v>116</v>
      </c>
      <c r="F2154" s="15" t="s">
        <v>35</v>
      </c>
      <c r="G2154" s="15" t="s">
        <v>74</v>
      </c>
      <c r="H2154" s="15" t="s">
        <v>11298</v>
      </c>
      <c r="I2154" s="15" t="s">
        <v>11299</v>
      </c>
      <c r="J2154" s="15" t="s">
        <v>11300</v>
      </c>
      <c r="K2154" s="15" t="s">
        <v>1586</v>
      </c>
      <c r="L2154" s="15" t="s">
        <v>1587</v>
      </c>
      <c r="M2154" s="15" t="s">
        <v>1588</v>
      </c>
      <c r="N2154" s="15" t="s">
        <v>1589</v>
      </c>
      <c r="O2154" s="15" t="s">
        <v>82</v>
      </c>
      <c r="P2154" s="15" t="s">
        <v>8743</v>
      </c>
      <c r="Q2154" s="15" t="s">
        <v>8744</v>
      </c>
      <c r="R2154" s="16">
        <v>44329</v>
      </c>
      <c r="S2154" s="17" t="s">
        <v>70</v>
      </c>
      <c r="T2154" s="20">
        <f>HYPERLINK("https://vnm.spiral.com.vn//uploaded/20210513/F3DEDB76-00D9-48AC-B5DB-4927BA6CF449.jpg","10:36:13")</f>
      </c>
      <c r="U2154" s="20">
        <f>HYPERLINK("https://vnm.spiral.com.vn//uploaded/20210513/82E39D09-2B0B-4A17-BEB4-AE6F1703B4D2.jpg","11:25:49")</f>
      </c>
      <c r="V2154" s="18">
        <v>0.034444444444444444</v>
      </c>
      <c r="W2154" s="15" t="s">
        <v>11301</v>
      </c>
      <c r="X2154" s="15" t="s">
        <v>11302</v>
      </c>
      <c r="Y2154" s="15" t="s">
        <v>35</v>
      </c>
      <c r="Z2154" s="19">
        <v>0</v>
      </c>
      <c r="AA2154" s="15">
        <v>0</v>
      </c>
      <c r="AB2154" s="15" t="s">
        <v>35</v>
      </c>
    </row>
    <row r="2155">
      <c r="A2155" s="15">
        <v>2151</v>
      </c>
      <c r="B2155" s="15" t="s">
        <v>343</v>
      </c>
      <c r="C2155" s="15" t="s">
        <v>344</v>
      </c>
      <c r="D2155" s="15" t="s">
        <v>536</v>
      </c>
      <c r="E2155" s="15" t="s">
        <v>116</v>
      </c>
      <c r="F2155" s="15" t="s">
        <v>35</v>
      </c>
      <c r="G2155" s="15" t="s">
        <v>74</v>
      </c>
      <c r="H2155" s="15" t="s">
        <v>11303</v>
      </c>
      <c r="I2155" s="15" t="s">
        <v>11304</v>
      </c>
      <c r="J2155" s="15" t="s">
        <v>11305</v>
      </c>
      <c r="K2155" s="15" t="s">
        <v>997</v>
      </c>
      <c r="L2155" s="15" t="s">
        <v>998</v>
      </c>
      <c r="M2155" s="15" t="s">
        <v>1325</v>
      </c>
      <c r="N2155" s="15" t="s">
        <v>1326</v>
      </c>
      <c r="O2155" s="15" t="s">
        <v>82</v>
      </c>
      <c r="P2155" s="15" t="s">
        <v>1327</v>
      </c>
      <c r="Q2155" s="15" t="s">
        <v>1328</v>
      </c>
      <c r="R2155" s="16">
        <v>44329</v>
      </c>
      <c r="S2155" s="17" t="s">
        <v>70</v>
      </c>
      <c r="T2155" s="20">
        <f>HYPERLINK("https://vnm.spiral.com.vn//uploaded/20210513/021AFC09-C255-4BE8-B521-8FFD49998B20.jpg","08:50:42")</f>
      </c>
      <c r="U2155" s="20">
        <f>HYPERLINK("https://vnm.spiral.com.vn//uploaded/20210513/1621E95E-CA55-4DAD-8307-968B1C74F935.jpg","11:25:48")</f>
      </c>
      <c r="V2155" s="18">
        <v>0.10770833333333334</v>
      </c>
      <c r="W2155" s="15" t="s">
        <v>11306</v>
      </c>
      <c r="X2155" s="15" t="s">
        <v>11307</v>
      </c>
      <c r="Y2155" s="15" t="s">
        <v>35</v>
      </c>
      <c r="Z2155" s="19">
        <v>0</v>
      </c>
      <c r="AA2155" s="15">
        <v>0</v>
      </c>
      <c r="AB2155" s="15" t="s">
        <v>35</v>
      </c>
    </row>
    <row r="2156">
      <c r="A2156" s="15">
        <v>2152</v>
      </c>
      <c r="B2156" s="15" t="s">
        <v>103</v>
      </c>
      <c r="C2156" s="15" t="s">
        <v>1078</v>
      </c>
      <c r="D2156" s="15" t="s">
        <v>35</v>
      </c>
      <c r="E2156" s="15" t="s">
        <v>35</v>
      </c>
      <c r="F2156" s="15" t="s">
        <v>35</v>
      </c>
      <c r="G2156" s="15" t="s">
        <v>36</v>
      </c>
      <c r="H2156" s="15" t="s">
        <v>8589</v>
      </c>
      <c r="I2156" s="15" t="s">
        <v>8590</v>
      </c>
      <c r="J2156" s="15" t="s">
        <v>8591</v>
      </c>
      <c r="K2156" s="15" t="s">
        <v>40</v>
      </c>
      <c r="L2156" s="15" t="s">
        <v>41</v>
      </c>
      <c r="M2156" s="15" t="s">
        <v>565</v>
      </c>
      <c r="N2156" s="15" t="s">
        <v>566</v>
      </c>
      <c r="O2156" s="15" t="s">
        <v>44</v>
      </c>
      <c r="P2156" s="15" t="s">
        <v>8592</v>
      </c>
      <c r="Q2156" s="15" t="s">
        <v>8593</v>
      </c>
      <c r="R2156" s="16">
        <v>44329</v>
      </c>
      <c r="S2156" s="17" t="s">
        <v>8968</v>
      </c>
      <c r="T2156" s="20">
        <f>HYPERLINK("https://vnm.spiral.com.vn//uploaded/20210513/25e7df26-f03b-4bf9-9a06-66dab8e44660.JPEG","07:20:24")</f>
      </c>
      <c r="U2156" s="20">
        <f>HYPERLINK("https://vnm.spiral.com.vn//uploaded/20210513/c2f33e60-cf6a-4765-99c6-6cab2cf3093b.JPEG","11:25:31")</f>
      </c>
      <c r="V2156" s="18">
        <v>0.17021990740740742</v>
      </c>
      <c r="W2156" s="15" t="s">
        <v>11308</v>
      </c>
      <c r="X2156" s="15" t="s">
        <v>11309</v>
      </c>
      <c r="Y2156" s="15" t="s">
        <v>35</v>
      </c>
      <c r="Z2156" s="19">
        <v>0</v>
      </c>
      <c r="AA2156" s="15">
        <v>0</v>
      </c>
      <c r="AB2156" s="15" t="s">
        <v>35</v>
      </c>
    </row>
    <row r="2157">
      <c r="A2157" s="15">
        <v>2153</v>
      </c>
      <c r="B2157" s="15" t="s">
        <v>87</v>
      </c>
      <c r="C2157" s="15" t="s">
        <v>88</v>
      </c>
      <c r="D2157" s="15" t="s">
        <v>432</v>
      </c>
      <c r="E2157" s="15" t="s">
        <v>116</v>
      </c>
      <c r="F2157" s="15" t="s">
        <v>35</v>
      </c>
      <c r="G2157" s="15" t="s">
        <v>74</v>
      </c>
      <c r="H2157" s="15" t="s">
        <v>11310</v>
      </c>
      <c r="I2157" s="15" t="s">
        <v>11311</v>
      </c>
      <c r="J2157" s="15" t="s">
        <v>11312</v>
      </c>
      <c r="K2157" s="15" t="s">
        <v>94</v>
      </c>
      <c r="L2157" s="15" t="s">
        <v>95</v>
      </c>
      <c r="M2157" s="15" t="s">
        <v>625</v>
      </c>
      <c r="N2157" s="15" t="s">
        <v>626</v>
      </c>
      <c r="O2157" s="15" t="s">
        <v>98</v>
      </c>
      <c r="P2157" s="15" t="s">
        <v>1022</v>
      </c>
      <c r="Q2157" s="15" t="s">
        <v>1023</v>
      </c>
      <c r="R2157" s="16">
        <v>44329</v>
      </c>
      <c r="S2157" s="17" t="s">
        <v>70</v>
      </c>
      <c r="T2157" s="20">
        <f>HYPERLINK("https://vnm.spiral.com.vn//uploaded/20210513/62ff53b5-5b55-46dc-bae0-02294eec2446.JPEG","10:52:21")</f>
      </c>
      <c r="U2157" s="20">
        <f>HYPERLINK("https://vnm.spiral.com.vn//uploaded/20210513/c6152061-4867-4c53-a016-9376f10b8f97.JPEG","11:25:12")</f>
      </c>
      <c r="V2157" s="18">
        <v>0.0228125</v>
      </c>
      <c r="W2157" s="15" t="s">
        <v>11313</v>
      </c>
      <c r="X2157" s="15" t="s">
        <v>11314</v>
      </c>
      <c r="Y2157" s="15" t="s">
        <v>35</v>
      </c>
      <c r="Z2157" s="19">
        <v>0</v>
      </c>
      <c r="AA2157" s="15">
        <v>0</v>
      </c>
      <c r="AB2157" s="15" t="s">
        <v>35</v>
      </c>
    </row>
    <row r="2158">
      <c r="A2158" s="15">
        <v>2154</v>
      </c>
      <c r="B2158" s="15" t="s">
        <v>246</v>
      </c>
      <c r="C2158" s="15" t="s">
        <v>782</v>
      </c>
      <c r="D2158" s="15" t="s">
        <v>148</v>
      </c>
      <c r="E2158" s="15" t="s">
        <v>90</v>
      </c>
      <c r="F2158" s="15" t="s">
        <v>35</v>
      </c>
      <c r="G2158" s="15" t="s">
        <v>74</v>
      </c>
      <c r="H2158" s="15" t="s">
        <v>2084</v>
      </c>
      <c r="I2158" s="15" t="s">
        <v>2085</v>
      </c>
      <c r="J2158" s="15" t="s">
        <v>2086</v>
      </c>
      <c r="K2158" s="15" t="s">
        <v>263</v>
      </c>
      <c r="L2158" s="15" t="s">
        <v>264</v>
      </c>
      <c r="M2158" s="15" t="s">
        <v>280</v>
      </c>
      <c r="N2158" s="15" t="s">
        <v>281</v>
      </c>
      <c r="O2158" s="15" t="s">
        <v>156</v>
      </c>
      <c r="P2158" s="15" t="s">
        <v>2087</v>
      </c>
      <c r="Q2158" s="15" t="s">
        <v>283</v>
      </c>
      <c r="R2158" s="16">
        <v>44329</v>
      </c>
      <c r="S2158" s="17" t="s">
        <v>10687</v>
      </c>
      <c r="T2158" s="20">
        <f>HYPERLINK("https://vnm.spiral.com.vn//uploaded/20210513/ea8d007a-0b25-4e87-aa02-e80a0a4e4157.JPEG","06:56:52")</f>
      </c>
      <c r="U2158" s="20">
        <f>HYPERLINK("https://vnm.spiral.com.vn//uploaded/20210513/0060e813-cac4-4576-938f-757f3150c5cb.JPEG","11:25:04")</f>
      </c>
      <c r="V2158" s="18">
        <v>0.18625</v>
      </c>
      <c r="W2158" s="15" t="s">
        <v>11315</v>
      </c>
      <c r="X2158" s="15" t="s">
        <v>11316</v>
      </c>
      <c r="Y2158" s="15" t="s">
        <v>35</v>
      </c>
      <c r="Z2158" s="19">
        <v>0</v>
      </c>
      <c r="AA2158" s="15">
        <v>0</v>
      </c>
      <c r="AB2158" s="15" t="s">
        <v>35</v>
      </c>
    </row>
    <row r="2159">
      <c r="A2159" s="15">
        <v>2155</v>
      </c>
      <c r="B2159" s="15" t="s">
        <v>33</v>
      </c>
      <c r="C2159" s="15" t="s">
        <v>492</v>
      </c>
      <c r="D2159" s="15" t="s">
        <v>357</v>
      </c>
      <c r="E2159" s="15" t="s">
        <v>35</v>
      </c>
      <c r="F2159" s="15" t="s">
        <v>35</v>
      </c>
      <c r="G2159" s="15" t="s">
        <v>74</v>
      </c>
      <c r="H2159" s="15" t="s">
        <v>11317</v>
      </c>
      <c r="I2159" s="15" t="s">
        <v>11318</v>
      </c>
      <c r="J2159" s="15" t="s">
        <v>11319</v>
      </c>
      <c r="K2159" s="15" t="s">
        <v>540</v>
      </c>
      <c r="L2159" s="15" t="s">
        <v>541</v>
      </c>
      <c r="M2159" s="15" t="s">
        <v>78</v>
      </c>
      <c r="N2159" s="15" t="s">
        <v>79</v>
      </c>
      <c r="O2159" s="15" t="s">
        <v>82</v>
      </c>
      <c r="P2159" s="15" t="s">
        <v>1102</v>
      </c>
      <c r="Q2159" s="15" t="s">
        <v>1103</v>
      </c>
      <c r="R2159" s="16">
        <v>44329</v>
      </c>
      <c r="S2159" s="17" t="s">
        <v>70</v>
      </c>
      <c r="T2159" s="20">
        <f>HYPERLINK("https://vnm.spiral.com.vn//uploaded/20210513/621474ef-d8ea-4d57-a882-e3ecb1d218e0.JPEG","10:38:42")</f>
      </c>
      <c r="U2159" s="20">
        <f>HYPERLINK("https://vnm.spiral.com.vn//uploaded/20210513/324ea411-3772-4fb7-8241-8a0c6ad19463.JPEG","11:25:03")</f>
      </c>
      <c r="V2159" s="18">
        <v>0.0321875</v>
      </c>
      <c r="W2159" s="15" t="s">
        <v>11320</v>
      </c>
      <c r="X2159" s="15" t="s">
        <v>11321</v>
      </c>
      <c r="Y2159" s="15" t="s">
        <v>35</v>
      </c>
      <c r="Z2159" s="19">
        <v>0</v>
      </c>
      <c r="AA2159" s="15">
        <v>0</v>
      </c>
      <c r="AB2159" s="15" t="s">
        <v>35</v>
      </c>
    </row>
    <row r="2160">
      <c r="A2160" s="15">
        <v>2156</v>
      </c>
      <c r="B2160" s="15" t="s">
        <v>87</v>
      </c>
      <c r="C2160" s="15" t="s">
        <v>88</v>
      </c>
      <c r="D2160" s="15" t="s">
        <v>432</v>
      </c>
      <c r="E2160" s="15" t="s">
        <v>116</v>
      </c>
      <c r="F2160" s="15" t="s">
        <v>35</v>
      </c>
      <c r="G2160" s="15" t="s">
        <v>74</v>
      </c>
      <c r="H2160" s="15" t="s">
        <v>11310</v>
      </c>
      <c r="I2160" s="15" t="s">
        <v>11311</v>
      </c>
      <c r="J2160" s="15" t="s">
        <v>11312</v>
      </c>
      <c r="K2160" s="15" t="s">
        <v>625</v>
      </c>
      <c r="L2160" s="15" t="s">
        <v>626</v>
      </c>
      <c r="M2160" s="15" t="s">
        <v>1022</v>
      </c>
      <c r="N2160" s="15" t="s">
        <v>1023</v>
      </c>
      <c r="O2160" s="15" t="s">
        <v>82</v>
      </c>
      <c r="P2160" s="15" t="s">
        <v>2209</v>
      </c>
      <c r="Q2160" s="15" t="s">
        <v>2210</v>
      </c>
      <c r="R2160" s="16">
        <v>44329</v>
      </c>
      <c r="S2160" s="17" t="s">
        <v>70</v>
      </c>
      <c r="T2160" s="20">
        <f>HYPERLINK("https://vnm.spiral.com.vn//uploaded/20210513/e49d823b-faf8-4f23-bad6-2422dc067d89.jpg","10:52:57")</f>
      </c>
      <c r="U2160" s="20">
        <f>HYPERLINK("https://vnm.spiral.com.vn//uploaded/20210513/bbfc68bb-1ee7-448c-9fb5-773c43c93236.jpg","11:24:55")</f>
      </c>
      <c r="V2160" s="18">
        <v>0.022199074074074072</v>
      </c>
      <c r="W2160" s="15" t="s">
        <v>11322</v>
      </c>
      <c r="X2160" s="15" t="s">
        <v>11323</v>
      </c>
      <c r="Y2160" s="15" t="s">
        <v>35</v>
      </c>
      <c r="Z2160" s="19">
        <v>0</v>
      </c>
      <c r="AA2160" s="15">
        <v>0</v>
      </c>
      <c r="AB2160" s="15" t="s">
        <v>35</v>
      </c>
    </row>
    <row r="2161">
      <c r="A2161" s="15">
        <v>2157</v>
      </c>
      <c r="B2161" s="15" t="s">
        <v>61</v>
      </c>
      <c r="C2161" s="15" t="s">
        <v>442</v>
      </c>
      <c r="D2161" s="15" t="s">
        <v>35</v>
      </c>
      <c r="E2161" s="15" t="s">
        <v>35</v>
      </c>
      <c r="F2161" s="15" t="s">
        <v>35</v>
      </c>
      <c r="G2161" s="15" t="s">
        <v>36</v>
      </c>
      <c r="H2161" s="15" t="s">
        <v>9386</v>
      </c>
      <c r="I2161" s="15" t="s">
        <v>9387</v>
      </c>
      <c r="J2161" s="15" t="s">
        <v>9388</v>
      </c>
      <c r="K2161" s="15" t="s">
        <v>40</v>
      </c>
      <c r="L2161" s="15" t="s">
        <v>41</v>
      </c>
      <c r="M2161" s="15" t="s">
        <v>205</v>
      </c>
      <c r="N2161" s="15" t="s">
        <v>206</v>
      </c>
      <c r="O2161" s="15" t="s">
        <v>44</v>
      </c>
      <c r="P2161" s="15" t="s">
        <v>9389</v>
      </c>
      <c r="Q2161" s="15" t="s">
        <v>9390</v>
      </c>
      <c r="R2161" s="16">
        <v>44329</v>
      </c>
      <c r="S2161" s="17" t="s">
        <v>8968</v>
      </c>
      <c r="T2161" s="20">
        <f>HYPERLINK("https://vnm.spiral.com.vn//uploaded/20210513/B8657DE5-854E-439A-889D-F427FC7DB8AA.jpg","06:50:41")</f>
      </c>
      <c r="U2161" s="20">
        <f>HYPERLINK("https://vnm.spiral.com.vn//uploaded/20210513/F13DEAFA-825E-4175-BB07-2906C6F89DEB.jpg","11:24:49")</f>
      </c>
      <c r="V2161" s="18">
        <v>0.19037037037037038</v>
      </c>
      <c r="W2161" s="15" t="s">
        <v>11324</v>
      </c>
      <c r="X2161" s="15" t="s">
        <v>11325</v>
      </c>
      <c r="Y2161" s="15" t="s">
        <v>35</v>
      </c>
      <c r="Z2161" s="19">
        <v>0</v>
      </c>
      <c r="AA2161" s="15">
        <v>0</v>
      </c>
      <c r="AB2161" s="15" t="s">
        <v>35</v>
      </c>
    </row>
    <row r="2162">
      <c r="A2162" s="15">
        <v>2158</v>
      </c>
      <c r="B2162" s="15" t="s">
        <v>87</v>
      </c>
      <c r="C2162" s="15" t="s">
        <v>88</v>
      </c>
      <c r="D2162" s="15" t="s">
        <v>357</v>
      </c>
      <c r="E2162" s="15" t="s">
        <v>90</v>
      </c>
      <c r="F2162" s="15" t="s">
        <v>35</v>
      </c>
      <c r="G2162" s="15" t="s">
        <v>74</v>
      </c>
      <c r="H2162" s="15" t="s">
        <v>11326</v>
      </c>
      <c r="I2162" s="15" t="s">
        <v>11327</v>
      </c>
      <c r="J2162" s="15" t="s">
        <v>11328</v>
      </c>
      <c r="K2162" s="15" t="s">
        <v>94</v>
      </c>
      <c r="L2162" s="15" t="s">
        <v>95</v>
      </c>
      <c r="M2162" s="15" t="s">
        <v>1554</v>
      </c>
      <c r="N2162" s="15" t="s">
        <v>1555</v>
      </c>
      <c r="O2162" s="15" t="s">
        <v>82</v>
      </c>
      <c r="P2162" s="15" t="s">
        <v>1556</v>
      </c>
      <c r="Q2162" s="15" t="s">
        <v>1557</v>
      </c>
      <c r="R2162" s="16">
        <v>44329</v>
      </c>
      <c r="S2162" s="17" t="s">
        <v>70</v>
      </c>
      <c r="T2162" s="20">
        <f>HYPERLINK("https://vnm.spiral.com.vn//uploaded/20210513/369CAAF8-3536-4D2C-8949-2C1ADF781D49.jpg","07:53:41")</f>
      </c>
      <c r="U2162" s="20">
        <f>HYPERLINK("https://vnm.spiral.com.vn//uploaded/20210513/9AA6079B-C12D-4584-BA18-D12CD120D8D4.jpg","11:24:45")</f>
      </c>
      <c r="V2162" s="18">
        <v>0.14657407407407408</v>
      </c>
      <c r="W2162" s="15" t="s">
        <v>11329</v>
      </c>
      <c r="X2162" s="15" t="s">
        <v>11330</v>
      </c>
      <c r="Y2162" s="15" t="s">
        <v>35</v>
      </c>
      <c r="Z2162" s="19">
        <v>0</v>
      </c>
      <c r="AA2162" s="15">
        <v>0</v>
      </c>
      <c r="AB2162" s="15" t="s">
        <v>35</v>
      </c>
    </row>
    <row r="2163">
      <c r="A2163" s="15">
        <v>2159</v>
      </c>
      <c r="B2163" s="15" t="s">
        <v>61</v>
      </c>
      <c r="C2163" s="15" t="s">
        <v>303</v>
      </c>
      <c r="D2163" s="15" t="s">
        <v>35</v>
      </c>
      <c r="E2163" s="15" t="s">
        <v>35</v>
      </c>
      <c r="F2163" s="15" t="s">
        <v>35</v>
      </c>
      <c r="G2163" s="15" t="s">
        <v>36</v>
      </c>
      <c r="H2163" s="15" t="s">
        <v>7812</v>
      </c>
      <c r="I2163" s="15" t="s">
        <v>7813</v>
      </c>
      <c r="J2163" s="15" t="s">
        <v>7814</v>
      </c>
      <c r="K2163" s="15" t="s">
        <v>40</v>
      </c>
      <c r="L2163" s="15" t="s">
        <v>41</v>
      </c>
      <c r="M2163" s="15" t="s">
        <v>205</v>
      </c>
      <c r="N2163" s="15" t="s">
        <v>206</v>
      </c>
      <c r="O2163" s="15" t="s">
        <v>44</v>
      </c>
      <c r="P2163" s="15" t="s">
        <v>7815</v>
      </c>
      <c r="Q2163" s="15" t="s">
        <v>7816</v>
      </c>
      <c r="R2163" s="16">
        <v>44329</v>
      </c>
      <c r="S2163" s="17" t="s">
        <v>7866</v>
      </c>
      <c r="T2163" s="20">
        <f>HYPERLINK("https://vnm.spiral.com.vn//uploaded/20210513/77123811-F837-44B4-87CF-FB32E152F73E.jpg","06:58:54")</f>
      </c>
      <c r="U2163" s="20">
        <f>HYPERLINK("https://vnm.spiral.com.vn//uploaded/20210513/2821F60F-4FFD-410E-8013-24AF60C17F11.jpg","11:24:23")</f>
      </c>
      <c r="V2163" s="18">
        <v>0.18436342592592592</v>
      </c>
      <c r="W2163" s="15" t="s">
        <v>11331</v>
      </c>
      <c r="X2163" s="15" t="s">
        <v>11332</v>
      </c>
      <c r="Y2163" s="15" t="s">
        <v>35</v>
      </c>
      <c r="Z2163" s="19">
        <v>0</v>
      </c>
      <c r="AA2163" s="15">
        <v>0</v>
      </c>
      <c r="AB2163" s="15" t="s">
        <v>35</v>
      </c>
    </row>
    <row r="2164">
      <c r="A2164" s="15">
        <v>2160</v>
      </c>
      <c r="B2164" s="15" t="s">
        <v>246</v>
      </c>
      <c r="C2164" s="15" t="s">
        <v>782</v>
      </c>
      <c r="D2164" s="15" t="s">
        <v>35</v>
      </c>
      <c r="E2164" s="15" t="s">
        <v>35</v>
      </c>
      <c r="F2164" s="15" t="s">
        <v>1707</v>
      </c>
      <c r="G2164" s="15" t="s">
        <v>36</v>
      </c>
      <c r="H2164" s="15" t="s">
        <v>8418</v>
      </c>
      <c r="I2164" s="15" t="s">
        <v>8419</v>
      </c>
      <c r="J2164" s="15" t="s">
        <v>8420</v>
      </c>
      <c r="K2164" s="15" t="s">
        <v>40</v>
      </c>
      <c r="L2164" s="15" t="s">
        <v>41</v>
      </c>
      <c r="M2164" s="15" t="s">
        <v>252</v>
      </c>
      <c r="N2164" s="15" t="s">
        <v>253</v>
      </c>
      <c r="O2164" s="15" t="s">
        <v>44</v>
      </c>
      <c r="P2164" s="15" t="s">
        <v>8421</v>
      </c>
      <c r="Q2164" s="15" t="s">
        <v>8422</v>
      </c>
      <c r="R2164" s="16">
        <v>44329</v>
      </c>
      <c r="S2164" s="17" t="s">
        <v>7866</v>
      </c>
      <c r="T2164" s="20">
        <f>HYPERLINK("https://vnm.spiral.com.vn//uploaded/20210513/7B4741E3-8E0D-4CDC-A7F1-E88B30E0C19B.jpg","07:14:50")</f>
      </c>
      <c r="U2164" s="20">
        <f>HYPERLINK("https://vnm.spiral.com.vn//uploaded/20210513/A25C843D-F498-493B-BDE5-38E3D6EE5060.jpg","11:24:10")</f>
      </c>
      <c r="V2164" s="18">
        <v>0.17314814814814813</v>
      </c>
      <c r="W2164" s="15" t="s">
        <v>11333</v>
      </c>
      <c r="X2164" s="15" t="s">
        <v>11334</v>
      </c>
      <c r="Y2164" s="15" t="s">
        <v>35</v>
      </c>
      <c r="Z2164" s="19">
        <v>0</v>
      </c>
      <c r="AA2164" s="15">
        <v>0</v>
      </c>
      <c r="AB2164" s="15" t="s">
        <v>35</v>
      </c>
    </row>
    <row r="2165">
      <c r="A2165" s="15">
        <v>2161</v>
      </c>
      <c r="B2165" s="15" t="s">
        <v>87</v>
      </c>
      <c r="C2165" s="15" t="s">
        <v>88</v>
      </c>
      <c r="D2165" s="15" t="s">
        <v>135</v>
      </c>
      <c r="E2165" s="15" t="s">
        <v>116</v>
      </c>
      <c r="F2165" s="15" t="s">
        <v>35</v>
      </c>
      <c r="G2165" s="15" t="s">
        <v>74</v>
      </c>
      <c r="H2165" s="15" t="s">
        <v>11335</v>
      </c>
      <c r="I2165" s="15" t="s">
        <v>11336</v>
      </c>
      <c r="J2165" s="15" t="s">
        <v>11337</v>
      </c>
      <c r="K2165" s="15" t="s">
        <v>139</v>
      </c>
      <c r="L2165" s="15" t="s">
        <v>140</v>
      </c>
      <c r="M2165" s="15" t="s">
        <v>141</v>
      </c>
      <c r="N2165" s="15" t="s">
        <v>142</v>
      </c>
      <c r="O2165" s="15" t="s">
        <v>82</v>
      </c>
      <c r="P2165" s="15" t="s">
        <v>1741</v>
      </c>
      <c r="Q2165" s="15" t="s">
        <v>1742</v>
      </c>
      <c r="R2165" s="16">
        <v>44329</v>
      </c>
      <c r="S2165" s="17" t="s">
        <v>70</v>
      </c>
      <c r="T2165" s="20">
        <f>HYPERLINK("https://vnm.spiral.com.vn//uploaded/20210513/1A93374F-EEF5-4E37-8702-042E6A4465B7.jpg","10:48:06")</f>
      </c>
      <c r="U2165" s="20">
        <f>HYPERLINK("https://vnm.spiral.com.vn//uploaded/20210513/B4FA618D-A35D-4163-AC4A-E2FDFF4559E0.jpg","11:23:54")</f>
      </c>
      <c r="V2165" s="18">
        <v>0.02486111111111111</v>
      </c>
      <c r="W2165" s="15" t="s">
        <v>11338</v>
      </c>
      <c r="X2165" s="15" t="s">
        <v>11339</v>
      </c>
      <c r="Y2165" s="15" t="s">
        <v>35</v>
      </c>
      <c r="Z2165" s="19">
        <v>0</v>
      </c>
      <c r="AA2165" s="15">
        <v>0</v>
      </c>
      <c r="AB2165" s="15" t="s">
        <v>35</v>
      </c>
    </row>
    <row r="2166">
      <c r="A2166" s="15">
        <v>2162</v>
      </c>
      <c r="B2166" s="15" t="s">
        <v>103</v>
      </c>
      <c r="C2166" s="15" t="s">
        <v>186</v>
      </c>
      <c r="D2166" s="15" t="s">
        <v>35</v>
      </c>
      <c r="E2166" s="15" t="s">
        <v>35</v>
      </c>
      <c r="F2166" s="15" t="s">
        <v>35</v>
      </c>
      <c r="G2166" s="15" t="s">
        <v>36</v>
      </c>
      <c r="H2166" s="15" t="s">
        <v>7900</v>
      </c>
      <c r="I2166" s="15" t="s">
        <v>7901</v>
      </c>
      <c r="J2166" s="15" t="s">
        <v>7902</v>
      </c>
      <c r="K2166" s="15" t="s">
        <v>40</v>
      </c>
      <c r="L2166" s="15" t="s">
        <v>41</v>
      </c>
      <c r="M2166" s="15" t="s">
        <v>565</v>
      </c>
      <c r="N2166" s="15" t="s">
        <v>566</v>
      </c>
      <c r="O2166" s="15" t="s">
        <v>44</v>
      </c>
      <c r="P2166" s="15" t="s">
        <v>7903</v>
      </c>
      <c r="Q2166" s="15" t="s">
        <v>7904</v>
      </c>
      <c r="R2166" s="16">
        <v>44329</v>
      </c>
      <c r="S2166" s="17" t="s">
        <v>10687</v>
      </c>
      <c r="T2166" s="20">
        <f>HYPERLINK("https://vnm.spiral.com.vn//uploaded/20210513/5fee578b-ef22-4bc0-9bb6-68ec21f82039.JPEG","06:57:16")</f>
      </c>
      <c r="U2166" s="20">
        <f>HYPERLINK("https://vnm.spiral.com.vn//uploaded/20210513/7ae84063-16f9-4b07-be3f-7b1b72635ab7.JPEG","11:23:42")</f>
      </c>
      <c r="V2166" s="18">
        <v>0.18502314814814816</v>
      </c>
      <c r="W2166" s="15" t="s">
        <v>11340</v>
      </c>
      <c r="X2166" s="15" t="s">
        <v>11341</v>
      </c>
      <c r="Y2166" s="15" t="s">
        <v>35</v>
      </c>
      <c r="Z2166" s="19">
        <v>0</v>
      </c>
      <c r="AA2166" s="15">
        <v>0</v>
      </c>
      <c r="AB2166" s="15" t="s">
        <v>35</v>
      </c>
    </row>
    <row r="2167">
      <c r="A2167" s="15">
        <v>2163</v>
      </c>
      <c r="B2167" s="15" t="s">
        <v>343</v>
      </c>
      <c r="C2167" s="15" t="s">
        <v>344</v>
      </c>
      <c r="D2167" s="15" t="s">
        <v>1644</v>
      </c>
      <c r="E2167" s="15" t="s">
        <v>35</v>
      </c>
      <c r="F2167" s="15" t="s">
        <v>35</v>
      </c>
      <c r="G2167" s="15" t="s">
        <v>74</v>
      </c>
      <c r="H2167" s="15" t="s">
        <v>11342</v>
      </c>
      <c r="I2167" s="15" t="s">
        <v>11343</v>
      </c>
      <c r="J2167" s="15" t="s">
        <v>11344</v>
      </c>
      <c r="K2167" s="15" t="s">
        <v>584</v>
      </c>
      <c r="L2167" s="15" t="s">
        <v>585</v>
      </c>
      <c r="M2167" s="15" t="s">
        <v>827</v>
      </c>
      <c r="N2167" s="15" t="s">
        <v>828</v>
      </c>
      <c r="O2167" s="15" t="s">
        <v>82</v>
      </c>
      <c r="P2167" s="15" t="s">
        <v>2471</v>
      </c>
      <c r="Q2167" s="15" t="s">
        <v>2472</v>
      </c>
      <c r="R2167" s="16">
        <v>44329</v>
      </c>
      <c r="S2167" s="17" t="s">
        <v>70</v>
      </c>
      <c r="T2167" s="20">
        <f>HYPERLINK("https://vnm.spiral.com.vn//uploaded/20210513/4EFE42C5-E9D4-45D8-B707-A746B36B9876.jpg","11:06:25")</f>
      </c>
      <c r="U2167" s="20">
        <f>HYPERLINK("https://vnm.spiral.com.vn//uploaded/20210513/46D08E1A-285F-47B4-9AD9-072C9B657768.jpg","11:23:20")</f>
      </c>
      <c r="V2167" s="18">
        <v>0.011747685185185186</v>
      </c>
      <c r="W2167" s="15" t="s">
        <v>11345</v>
      </c>
      <c r="X2167" s="15" t="s">
        <v>10823</v>
      </c>
      <c r="Y2167" s="15" t="s">
        <v>35</v>
      </c>
      <c r="Z2167" s="19">
        <v>0</v>
      </c>
      <c r="AA2167" s="15">
        <v>0</v>
      </c>
      <c r="AB2167" s="15" t="s">
        <v>35</v>
      </c>
    </row>
    <row r="2168">
      <c r="A2168" s="15">
        <v>2164</v>
      </c>
      <c r="B2168" s="15" t="s">
        <v>246</v>
      </c>
      <c r="C2168" s="15" t="s">
        <v>782</v>
      </c>
      <c r="D2168" s="15" t="s">
        <v>35</v>
      </c>
      <c r="E2168" s="15" t="s">
        <v>35</v>
      </c>
      <c r="F2168" s="15" t="s">
        <v>1707</v>
      </c>
      <c r="G2168" s="15" t="s">
        <v>36</v>
      </c>
      <c r="H2168" s="15" t="s">
        <v>8460</v>
      </c>
      <c r="I2168" s="15" t="s">
        <v>4029</v>
      </c>
      <c r="J2168" s="15" t="s">
        <v>8461</v>
      </c>
      <c r="K2168" s="15" t="s">
        <v>40</v>
      </c>
      <c r="L2168" s="15" t="s">
        <v>41</v>
      </c>
      <c r="M2168" s="15" t="s">
        <v>252</v>
      </c>
      <c r="N2168" s="15" t="s">
        <v>253</v>
      </c>
      <c r="O2168" s="15" t="s">
        <v>44</v>
      </c>
      <c r="P2168" s="15" t="s">
        <v>8462</v>
      </c>
      <c r="Q2168" s="15" t="s">
        <v>8463</v>
      </c>
      <c r="R2168" s="16">
        <v>44329</v>
      </c>
      <c r="S2168" s="17" t="s">
        <v>7866</v>
      </c>
      <c r="T2168" s="20">
        <f>HYPERLINK("https://vnm.spiral.com.vn//uploaded/20210513/f02be739-1fdd-42aa-ae84-1a830ae193e5.JPEG","07:21:10")</f>
      </c>
      <c r="U2168" s="20">
        <f>HYPERLINK("https://vnm.spiral.com.vn//uploaded/20210513/f61f8cad-1f3c-4e80-9f69-a30017b39e78.JPEG","11:23:16")</f>
      </c>
      <c r="V2168" s="18">
        <v>0.168125</v>
      </c>
      <c r="W2168" s="15" t="s">
        <v>11346</v>
      </c>
      <c r="X2168" s="15" t="s">
        <v>11347</v>
      </c>
      <c r="Y2168" s="15" t="s">
        <v>35</v>
      </c>
      <c r="Z2168" s="19">
        <v>0</v>
      </c>
      <c r="AA2168" s="15">
        <v>0</v>
      </c>
      <c r="AB2168" s="15" t="s">
        <v>35</v>
      </c>
    </row>
    <row r="2169">
      <c r="A2169" s="15">
        <v>2165</v>
      </c>
      <c r="B2169" s="15" t="s">
        <v>103</v>
      </c>
      <c r="C2169" s="15" t="s">
        <v>104</v>
      </c>
      <c r="D2169" s="15" t="s">
        <v>304</v>
      </c>
      <c r="E2169" s="15" t="s">
        <v>305</v>
      </c>
      <c r="F2169" s="15" t="s">
        <v>35</v>
      </c>
      <c r="G2169" s="15" t="s">
        <v>74</v>
      </c>
      <c r="H2169" s="15" t="s">
        <v>9277</v>
      </c>
      <c r="I2169" s="15" t="s">
        <v>9278</v>
      </c>
      <c r="J2169" s="15" t="s">
        <v>9279</v>
      </c>
      <c r="K2169" s="15" t="s">
        <v>460</v>
      </c>
      <c r="L2169" s="15" t="s">
        <v>461</v>
      </c>
      <c r="M2169" s="15" t="s">
        <v>2395</v>
      </c>
      <c r="N2169" s="15" t="s">
        <v>2396</v>
      </c>
      <c r="O2169" s="15" t="s">
        <v>156</v>
      </c>
      <c r="P2169" s="15" t="s">
        <v>11348</v>
      </c>
      <c r="Q2169" s="15" t="s">
        <v>11349</v>
      </c>
      <c r="R2169" s="16">
        <v>44329</v>
      </c>
      <c r="S2169" s="17" t="s">
        <v>11350</v>
      </c>
      <c r="T2169" s="20">
        <f>HYPERLINK("https://vnm.spiral.com.vn//uploaded/20210513/8A3B6DB8-7AF2-4291-A28E-7B81DF590EE0.jpg","11:23:01")</f>
      </c>
      <c r="U2169" s="18"/>
      <c r="V2169" s="18" t="s">
        <v>35</v>
      </c>
      <c r="W2169" s="15" t="s">
        <v>11351</v>
      </c>
      <c r="X2169" s="15" t="s">
        <v>35</v>
      </c>
      <c r="Y2169" s="15" t="s">
        <v>35</v>
      </c>
      <c r="Z2169" s="19">
        <v>0</v>
      </c>
      <c r="AA2169" s="15">
        <v>0</v>
      </c>
      <c r="AB2169" s="15" t="s">
        <v>35</v>
      </c>
    </row>
    <row r="2170">
      <c r="A2170" s="15">
        <v>2166</v>
      </c>
      <c r="B2170" s="15" t="s">
        <v>103</v>
      </c>
      <c r="C2170" s="15" t="s">
        <v>104</v>
      </c>
      <c r="D2170" s="15" t="s">
        <v>135</v>
      </c>
      <c r="E2170" s="15" t="s">
        <v>116</v>
      </c>
      <c r="F2170" s="15" t="s">
        <v>35</v>
      </c>
      <c r="G2170" s="15" t="s">
        <v>74</v>
      </c>
      <c r="H2170" s="15" t="s">
        <v>11352</v>
      </c>
      <c r="I2170" s="15" t="s">
        <v>11353</v>
      </c>
      <c r="J2170" s="15" t="s">
        <v>11354</v>
      </c>
      <c r="K2170" s="15" t="s">
        <v>460</v>
      </c>
      <c r="L2170" s="15" t="s">
        <v>461</v>
      </c>
      <c r="M2170" s="15" t="s">
        <v>462</v>
      </c>
      <c r="N2170" s="15" t="s">
        <v>463</v>
      </c>
      <c r="O2170" s="15" t="s">
        <v>82</v>
      </c>
      <c r="P2170" s="15" t="s">
        <v>2930</v>
      </c>
      <c r="Q2170" s="15" t="s">
        <v>2931</v>
      </c>
      <c r="R2170" s="16">
        <v>44329</v>
      </c>
      <c r="S2170" s="17" t="s">
        <v>70</v>
      </c>
      <c r="T2170" s="20">
        <f>HYPERLINK("https://vnm.spiral.com.vn//uploaded/20210513/4a61ee80-c34d-4730-b10c-a611f47cb92d.JPEG","10:12:17")</f>
      </c>
      <c r="U2170" s="20">
        <f>HYPERLINK("https://vnm.spiral.com.vn//uploaded/20210513/4a56a5ed-e3eb-4861-960d-0f29472f602e.JPEG","11:22:55")</f>
      </c>
      <c r="V2170" s="18">
        <v>0.04905092592592593</v>
      </c>
      <c r="W2170" s="15" t="s">
        <v>11355</v>
      </c>
      <c r="X2170" s="15" t="s">
        <v>11356</v>
      </c>
      <c r="Y2170" s="15" t="s">
        <v>35</v>
      </c>
      <c r="Z2170" s="19">
        <v>0</v>
      </c>
      <c r="AA2170" s="15">
        <v>0</v>
      </c>
      <c r="AB2170" s="15" t="s">
        <v>35</v>
      </c>
    </row>
    <row r="2171">
      <c r="A2171" s="15">
        <v>2167</v>
      </c>
      <c r="B2171" s="15" t="s">
        <v>87</v>
      </c>
      <c r="C2171" s="15" t="s">
        <v>88</v>
      </c>
      <c r="D2171" s="15" t="s">
        <v>35</v>
      </c>
      <c r="E2171" s="15" t="s">
        <v>35</v>
      </c>
      <c r="F2171" s="15" t="s">
        <v>2789</v>
      </c>
      <c r="G2171" s="15" t="s">
        <v>36</v>
      </c>
      <c r="H2171" s="15" t="s">
        <v>6163</v>
      </c>
      <c r="I2171" s="15" t="s">
        <v>6164</v>
      </c>
      <c r="J2171" s="15" t="s">
        <v>6165</v>
      </c>
      <c r="K2171" s="15" t="s">
        <v>40</v>
      </c>
      <c r="L2171" s="15" t="s">
        <v>41</v>
      </c>
      <c r="M2171" s="15" t="s">
        <v>289</v>
      </c>
      <c r="N2171" s="15" t="s">
        <v>290</v>
      </c>
      <c r="O2171" s="15" t="s">
        <v>44</v>
      </c>
      <c r="P2171" s="15" t="s">
        <v>6166</v>
      </c>
      <c r="Q2171" s="15" t="s">
        <v>6167</v>
      </c>
      <c r="R2171" s="16">
        <v>44329</v>
      </c>
      <c r="S2171" s="17" t="s">
        <v>8968</v>
      </c>
      <c r="T2171" s="20">
        <f>HYPERLINK("https://vnm.spiral.com.vn//uploaded/20210513/F6FD4F9E-9B9F-4034-9624-14F1AB4E54EE.jpg","07:21:25")</f>
      </c>
      <c r="U2171" s="20">
        <f>HYPERLINK("https://vnm.spiral.com.vn//uploaded/20210513/F7ABDACE-5EC2-4B2A-A731-83946EB8C209.jpg","11:22:49")</f>
      </c>
      <c r="V2171" s="18">
        <v>0.1676388888888889</v>
      </c>
      <c r="W2171" s="15" t="s">
        <v>11357</v>
      </c>
      <c r="X2171" s="15" t="s">
        <v>11358</v>
      </c>
      <c r="Y2171" s="15" t="s">
        <v>35</v>
      </c>
      <c r="Z2171" s="19">
        <v>0</v>
      </c>
      <c r="AA2171" s="15">
        <v>0</v>
      </c>
      <c r="AB2171" s="15" t="s">
        <v>35</v>
      </c>
    </row>
    <row r="2172">
      <c r="A2172" s="15">
        <v>2168</v>
      </c>
      <c r="B2172" s="15" t="s">
        <v>87</v>
      </c>
      <c r="C2172" s="15" t="s">
        <v>88</v>
      </c>
      <c r="D2172" s="15" t="s">
        <v>1910</v>
      </c>
      <c r="E2172" s="15" t="s">
        <v>1910</v>
      </c>
      <c r="F2172" s="15" t="s">
        <v>35</v>
      </c>
      <c r="G2172" s="15" t="s">
        <v>74</v>
      </c>
      <c r="H2172" s="15" t="s">
        <v>11359</v>
      </c>
      <c r="I2172" s="15" t="s">
        <v>11360</v>
      </c>
      <c r="J2172" s="15" t="s">
        <v>11361</v>
      </c>
      <c r="K2172" s="15" t="s">
        <v>888</v>
      </c>
      <c r="L2172" s="15" t="s">
        <v>889</v>
      </c>
      <c r="M2172" s="15" t="s">
        <v>924</v>
      </c>
      <c r="N2172" s="15" t="s">
        <v>925</v>
      </c>
      <c r="O2172" s="15" t="s">
        <v>82</v>
      </c>
      <c r="P2172" s="15" t="s">
        <v>1893</v>
      </c>
      <c r="Q2172" s="15" t="s">
        <v>1894</v>
      </c>
      <c r="R2172" s="16">
        <v>44329</v>
      </c>
      <c r="S2172" s="17" t="s">
        <v>70</v>
      </c>
      <c r="T2172" s="20">
        <f>HYPERLINK("https://vnm.spiral.com.vn//uploaded/20210513/2C020C1C-FEF1-47BA-931E-22B012B87006.jpg","11:00:23")</f>
      </c>
      <c r="U2172" s="20">
        <f>HYPERLINK("https://vnm.spiral.com.vn//uploaded/20210513/301A1CB7-8FBF-46FA-A083-0DBBECD55EFA.jpg","11:22:47")</f>
      </c>
      <c r="V2172" s="18">
        <v>0.015555555555555555</v>
      </c>
      <c r="W2172" s="15" t="s">
        <v>11362</v>
      </c>
      <c r="X2172" s="15" t="s">
        <v>11363</v>
      </c>
      <c r="Y2172" s="15" t="s">
        <v>35</v>
      </c>
      <c r="Z2172" s="19">
        <v>0</v>
      </c>
      <c r="AA2172" s="15">
        <v>0</v>
      </c>
      <c r="AB2172" s="15" t="s">
        <v>35</v>
      </c>
    </row>
    <row r="2173">
      <c r="A2173" s="15">
        <v>2169</v>
      </c>
      <c r="B2173" s="15" t="s">
        <v>87</v>
      </c>
      <c r="C2173" s="15" t="s">
        <v>88</v>
      </c>
      <c r="D2173" s="15" t="s">
        <v>135</v>
      </c>
      <c r="E2173" s="15" t="s">
        <v>116</v>
      </c>
      <c r="F2173" s="15" t="s">
        <v>35</v>
      </c>
      <c r="G2173" s="15" t="s">
        <v>74</v>
      </c>
      <c r="H2173" s="15" t="s">
        <v>11364</v>
      </c>
      <c r="I2173" s="15" t="s">
        <v>11365</v>
      </c>
      <c r="J2173" s="15" t="s">
        <v>11366</v>
      </c>
      <c r="K2173" s="15" t="s">
        <v>390</v>
      </c>
      <c r="L2173" s="15" t="s">
        <v>391</v>
      </c>
      <c r="M2173" s="15" t="s">
        <v>392</v>
      </c>
      <c r="N2173" s="15" t="s">
        <v>393</v>
      </c>
      <c r="O2173" s="15" t="s">
        <v>82</v>
      </c>
      <c r="P2173" s="15" t="s">
        <v>5400</v>
      </c>
      <c r="Q2173" s="15" t="s">
        <v>5401</v>
      </c>
      <c r="R2173" s="16">
        <v>44329</v>
      </c>
      <c r="S2173" s="17" t="s">
        <v>70</v>
      </c>
      <c r="T2173" s="20">
        <f>HYPERLINK("https://vnm.spiral.com.vn//uploaded/20210513/EB03C9FB-08C5-4829-BEDE-EB39A2F8CF98.jpg","11:01:25")</f>
      </c>
      <c r="U2173" s="20">
        <f>HYPERLINK("https://vnm.spiral.com.vn//uploaded/20210513/EB727D9B-AF9D-4CDE-9966-5B10B921C379.jpg","11:22:44")</f>
      </c>
      <c r="V2173" s="18">
        <v>0.01480324074074074</v>
      </c>
      <c r="W2173" s="15" t="s">
        <v>11367</v>
      </c>
      <c r="X2173" s="15" t="s">
        <v>11368</v>
      </c>
      <c r="Y2173" s="15" t="s">
        <v>35</v>
      </c>
      <c r="Z2173" s="19">
        <v>0</v>
      </c>
      <c r="AA2173" s="15">
        <v>0</v>
      </c>
      <c r="AB2173" s="15" t="s">
        <v>35</v>
      </c>
    </row>
    <row r="2174">
      <c r="A2174" s="15">
        <v>2170</v>
      </c>
      <c r="B2174" s="15" t="s">
        <v>61</v>
      </c>
      <c r="C2174" s="15" t="s">
        <v>303</v>
      </c>
      <c r="D2174" s="15" t="s">
        <v>610</v>
      </c>
      <c r="E2174" s="15" t="s">
        <v>90</v>
      </c>
      <c r="F2174" s="15" t="s">
        <v>35</v>
      </c>
      <c r="G2174" s="15" t="s">
        <v>74</v>
      </c>
      <c r="H2174" s="15" t="s">
        <v>11369</v>
      </c>
      <c r="I2174" s="15" t="s">
        <v>11370</v>
      </c>
      <c r="J2174" s="15" t="s">
        <v>11371</v>
      </c>
      <c r="K2174" s="15" t="s">
        <v>309</v>
      </c>
      <c r="L2174" s="15" t="s">
        <v>310</v>
      </c>
      <c r="M2174" s="15" t="s">
        <v>311</v>
      </c>
      <c r="N2174" s="15" t="s">
        <v>312</v>
      </c>
      <c r="O2174" s="15" t="s">
        <v>82</v>
      </c>
      <c r="P2174" s="15" t="s">
        <v>8750</v>
      </c>
      <c r="Q2174" s="15" t="s">
        <v>8751</v>
      </c>
      <c r="R2174" s="16">
        <v>44329</v>
      </c>
      <c r="S2174" s="17" t="s">
        <v>70</v>
      </c>
      <c r="T2174" s="20">
        <f>HYPERLINK("https://vnm.spiral.com.vn//uploaded/20210513/F97891A4-A4E2-4A88-B218-E2116D27776E.jpg","07:41:03")</f>
      </c>
      <c r="U2174" s="20">
        <f>HYPERLINK("https://vnm.spiral.com.vn//uploaded/20210513/CC636948-45EE-478F-AFA4-F2F2C535DD49.jpg","11:22:32")</f>
      </c>
      <c r="V2174" s="18">
        <v>0.15380787037037036</v>
      </c>
      <c r="W2174" s="15" t="s">
        <v>11372</v>
      </c>
      <c r="X2174" s="15" t="s">
        <v>11373</v>
      </c>
      <c r="Y2174" s="15" t="s">
        <v>35</v>
      </c>
      <c r="Z2174" s="19">
        <v>0</v>
      </c>
      <c r="AA2174" s="15">
        <v>0</v>
      </c>
      <c r="AB2174" s="15" t="s">
        <v>35</v>
      </c>
    </row>
    <row r="2175">
      <c r="A2175" s="15">
        <v>2171</v>
      </c>
      <c r="B2175" s="15" t="s">
        <v>103</v>
      </c>
      <c r="C2175" s="15" t="s">
        <v>186</v>
      </c>
      <c r="D2175" s="15" t="s">
        <v>35</v>
      </c>
      <c r="E2175" s="15" t="s">
        <v>35</v>
      </c>
      <c r="F2175" s="15" t="s">
        <v>35</v>
      </c>
      <c r="G2175" s="15" t="s">
        <v>36</v>
      </c>
      <c r="H2175" s="15" t="s">
        <v>3758</v>
      </c>
      <c r="I2175" s="15" t="s">
        <v>3759</v>
      </c>
      <c r="J2175" s="15" t="s">
        <v>3760</v>
      </c>
      <c r="K2175" s="15" t="s">
        <v>40</v>
      </c>
      <c r="L2175" s="15" t="s">
        <v>41</v>
      </c>
      <c r="M2175" s="15" t="s">
        <v>565</v>
      </c>
      <c r="N2175" s="15" t="s">
        <v>566</v>
      </c>
      <c r="O2175" s="15" t="s">
        <v>44</v>
      </c>
      <c r="P2175" s="15" t="s">
        <v>3761</v>
      </c>
      <c r="Q2175" s="15" t="s">
        <v>3762</v>
      </c>
      <c r="R2175" s="16">
        <v>44329</v>
      </c>
      <c r="S2175" s="17" t="s">
        <v>8968</v>
      </c>
      <c r="T2175" s="20">
        <f>HYPERLINK("https://vnm.spiral.com.vn//uploaded/20210513/42D16C1D-0EBC-41AB-8A0E-BC34C78E82B3.jpg","11:22:19")</f>
      </c>
      <c r="U2175" s="20">
        <f>HYPERLINK("https://vnm.spiral.com.vn//uploaded/20210513/400E2619-5095-40C9-BE1E-FD1457E9A642.jpg","11:22:28")</f>
      </c>
      <c r="V2175" s="18">
        <v>0.00010416666666666667</v>
      </c>
      <c r="W2175" s="15" t="s">
        <v>11374</v>
      </c>
      <c r="X2175" s="15" t="s">
        <v>11374</v>
      </c>
      <c r="Y2175" s="15" t="s">
        <v>35</v>
      </c>
      <c r="Z2175" s="19">
        <v>0</v>
      </c>
      <c r="AA2175" s="15">
        <v>0</v>
      </c>
      <c r="AB2175" s="15" t="s">
        <v>35</v>
      </c>
    </row>
    <row r="2176">
      <c r="A2176" s="15">
        <v>2172</v>
      </c>
      <c r="B2176" s="15" t="s">
        <v>343</v>
      </c>
      <c r="C2176" s="15" t="s">
        <v>344</v>
      </c>
      <c r="D2176" s="15" t="s">
        <v>35</v>
      </c>
      <c r="E2176" s="15" t="s">
        <v>35</v>
      </c>
      <c r="F2176" s="15" t="s">
        <v>35</v>
      </c>
      <c r="G2176" s="15" t="s">
        <v>74</v>
      </c>
      <c r="H2176" s="15" t="s">
        <v>11375</v>
      </c>
      <c r="I2176" s="15" t="s">
        <v>11376</v>
      </c>
      <c r="J2176" s="15" t="s">
        <v>11377</v>
      </c>
      <c r="K2176" s="15" t="s">
        <v>584</v>
      </c>
      <c r="L2176" s="15" t="s">
        <v>585</v>
      </c>
      <c r="M2176" s="15" t="s">
        <v>827</v>
      </c>
      <c r="N2176" s="15" t="s">
        <v>828</v>
      </c>
      <c r="O2176" s="15" t="s">
        <v>82</v>
      </c>
      <c r="P2176" s="15" t="s">
        <v>2319</v>
      </c>
      <c r="Q2176" s="15" t="s">
        <v>2320</v>
      </c>
      <c r="R2176" s="16">
        <v>44329</v>
      </c>
      <c r="S2176" s="17" t="s">
        <v>70</v>
      </c>
      <c r="T2176" s="20">
        <f>HYPERLINK("https://vnm.spiral.com.vn//uploaded/20210513/2E370F17-FDDD-4F72-88CF-EDFFC331CF3F.jpg","11:06:57")</f>
      </c>
      <c r="U2176" s="20">
        <f>HYPERLINK("https://vnm.spiral.com.vn//uploaded/20210513/6DE7F117-0254-48A8-ADA9-57104C61E589.jpg","11:22:15")</f>
      </c>
      <c r="V2176" s="18">
        <v>0.010625</v>
      </c>
      <c r="W2176" s="15" t="s">
        <v>11378</v>
      </c>
      <c r="X2176" s="15" t="s">
        <v>11379</v>
      </c>
      <c r="Y2176" s="15" t="s">
        <v>35</v>
      </c>
      <c r="Z2176" s="19">
        <v>0</v>
      </c>
      <c r="AA2176" s="15">
        <v>0</v>
      </c>
      <c r="AB2176" s="15" t="s">
        <v>35</v>
      </c>
    </row>
    <row r="2177">
      <c r="A2177" s="15">
        <v>2173</v>
      </c>
      <c r="B2177" s="15" t="s">
        <v>61</v>
      </c>
      <c r="C2177" s="15" t="s">
        <v>147</v>
      </c>
      <c r="D2177" s="15" t="s">
        <v>35</v>
      </c>
      <c r="E2177" s="15" t="s">
        <v>35</v>
      </c>
      <c r="F2177" s="15" t="s">
        <v>35</v>
      </c>
      <c r="G2177" s="15" t="s">
        <v>36</v>
      </c>
      <c r="H2177" s="15" t="s">
        <v>6937</v>
      </c>
      <c r="I2177" s="15" t="s">
        <v>6938</v>
      </c>
      <c r="J2177" s="15" t="s">
        <v>6939</v>
      </c>
      <c r="K2177" s="15" t="s">
        <v>40</v>
      </c>
      <c r="L2177" s="15" t="s">
        <v>41</v>
      </c>
      <c r="M2177" s="15" t="s">
        <v>66</v>
      </c>
      <c r="N2177" s="15" t="s">
        <v>67</v>
      </c>
      <c r="O2177" s="15" t="s">
        <v>44</v>
      </c>
      <c r="P2177" s="15" t="s">
        <v>6940</v>
      </c>
      <c r="Q2177" s="15" t="s">
        <v>6941</v>
      </c>
      <c r="R2177" s="16">
        <v>44329</v>
      </c>
      <c r="S2177" s="17" t="s">
        <v>7099</v>
      </c>
      <c r="T2177" s="20">
        <f>HYPERLINK("https://vnm.spiral.com.vn//uploaded/20210513/8e6c0a6e-e955-4fab-9fb0-c287e2034b94.JPEG","07:28:05")</f>
      </c>
      <c r="U2177" s="20">
        <f>HYPERLINK("https://vnm.spiral.com.vn//uploaded/20210513/b836f2e1-9da1-4565-b830-1700aebf02bf.JPEG","11:22:07")</f>
      </c>
      <c r="V2177" s="18">
        <v>0.16252314814814814</v>
      </c>
      <c r="W2177" s="15" t="s">
        <v>11380</v>
      </c>
      <c r="X2177" s="15" t="s">
        <v>11381</v>
      </c>
      <c r="Y2177" s="15" t="s">
        <v>35</v>
      </c>
      <c r="Z2177" s="19">
        <v>0</v>
      </c>
      <c r="AA2177" s="15">
        <v>0</v>
      </c>
      <c r="AB2177" s="15" t="s">
        <v>35</v>
      </c>
    </row>
    <row r="2178">
      <c r="A2178" s="15">
        <v>2174</v>
      </c>
      <c r="B2178" s="15" t="s">
        <v>87</v>
      </c>
      <c r="C2178" s="15" t="s">
        <v>88</v>
      </c>
      <c r="D2178" s="15" t="s">
        <v>357</v>
      </c>
      <c r="E2178" s="15" t="s">
        <v>90</v>
      </c>
      <c r="F2178" s="15" t="s">
        <v>35</v>
      </c>
      <c r="G2178" s="15" t="s">
        <v>74</v>
      </c>
      <c r="H2178" s="15" t="s">
        <v>11382</v>
      </c>
      <c r="I2178" s="15" t="s">
        <v>11383</v>
      </c>
      <c r="J2178" s="15" t="s">
        <v>11384</v>
      </c>
      <c r="K2178" s="15" t="s">
        <v>1570</v>
      </c>
      <c r="L2178" s="15" t="s">
        <v>1571</v>
      </c>
      <c r="M2178" s="15" t="s">
        <v>2024</v>
      </c>
      <c r="N2178" s="15" t="s">
        <v>2025</v>
      </c>
      <c r="O2178" s="15" t="s">
        <v>82</v>
      </c>
      <c r="P2178" s="15" t="s">
        <v>2521</v>
      </c>
      <c r="Q2178" s="15" t="s">
        <v>2522</v>
      </c>
      <c r="R2178" s="16">
        <v>44329</v>
      </c>
      <c r="S2178" s="17" t="s">
        <v>70</v>
      </c>
      <c r="T2178" s="20">
        <f>HYPERLINK("https://vnm.spiral.com.vn//uploaded/20210513/6b6c4eed-6833-4d00-8bbf-4413c6f4b05f.JPEG","11:05:33")</f>
      </c>
      <c r="U2178" s="20">
        <f>HYPERLINK("https://vnm.spiral.com.vn//uploaded/20210513/d2753420-4eb2-432a-afaf-dc787dd833bd.JPEG","11:21:46")</f>
      </c>
      <c r="V2178" s="18">
        <v>0.011261574074074075</v>
      </c>
      <c r="W2178" s="15" t="s">
        <v>11385</v>
      </c>
      <c r="X2178" s="15" t="s">
        <v>11386</v>
      </c>
      <c r="Y2178" s="15" t="s">
        <v>35</v>
      </c>
      <c r="Z2178" s="19">
        <v>0</v>
      </c>
      <c r="AA2178" s="15">
        <v>0</v>
      </c>
      <c r="AB2178" s="15" t="s">
        <v>35</v>
      </c>
    </row>
    <row r="2179">
      <c r="A2179" s="15">
        <v>2175</v>
      </c>
      <c r="B2179" s="15" t="s">
        <v>33</v>
      </c>
      <c r="C2179" s="15" t="s">
        <v>211</v>
      </c>
      <c r="D2179" s="15" t="s">
        <v>35</v>
      </c>
      <c r="E2179" s="15" t="s">
        <v>35</v>
      </c>
      <c r="F2179" s="15" t="s">
        <v>35</v>
      </c>
      <c r="G2179" s="15" t="s">
        <v>36</v>
      </c>
      <c r="H2179" s="15" t="s">
        <v>7986</v>
      </c>
      <c r="I2179" s="15" t="s">
        <v>7987</v>
      </c>
      <c r="J2179" s="15" t="s">
        <v>7988</v>
      </c>
      <c r="K2179" s="15" t="s">
        <v>40</v>
      </c>
      <c r="L2179" s="15" t="s">
        <v>41</v>
      </c>
      <c r="M2179" s="15" t="s">
        <v>42</v>
      </c>
      <c r="N2179" s="15" t="s">
        <v>43</v>
      </c>
      <c r="O2179" s="15" t="s">
        <v>44</v>
      </c>
      <c r="P2179" s="15" t="s">
        <v>7989</v>
      </c>
      <c r="Q2179" s="15" t="s">
        <v>7990</v>
      </c>
      <c r="R2179" s="16">
        <v>44329</v>
      </c>
      <c r="S2179" s="17" t="s">
        <v>7866</v>
      </c>
      <c r="T2179" s="20">
        <f>HYPERLINK("https://vnm.spiral.com.vn//uploaded/20210513/f5adf4c2-aee2-4ce4-a071-93d76b87da62.JPEG","07:28:11")</f>
      </c>
      <c r="U2179" s="20">
        <f>HYPERLINK("https://vnm.spiral.com.vn//uploaded/20210513/e8f08f2b-3847-431a-bebd-73ae9088fc2b.JPEG","11:21:40")</f>
      </c>
      <c r="V2179" s="18">
        <v>0.1621412037037037</v>
      </c>
      <c r="W2179" s="15" t="s">
        <v>11387</v>
      </c>
      <c r="X2179" s="15" t="s">
        <v>7991</v>
      </c>
      <c r="Y2179" s="15" t="s">
        <v>35</v>
      </c>
      <c r="Z2179" s="19">
        <v>0</v>
      </c>
      <c r="AA2179" s="15">
        <v>0</v>
      </c>
      <c r="AB2179" s="15" t="s">
        <v>35</v>
      </c>
    </row>
    <row r="2180">
      <c r="A2180" s="15">
        <v>2176</v>
      </c>
      <c r="B2180" s="15" t="s">
        <v>103</v>
      </c>
      <c r="C2180" s="15" t="s">
        <v>1078</v>
      </c>
      <c r="D2180" s="15" t="s">
        <v>135</v>
      </c>
      <c r="E2180" s="15" t="s">
        <v>116</v>
      </c>
      <c r="F2180" s="15" t="s">
        <v>35</v>
      </c>
      <c r="G2180" s="15" t="s">
        <v>74</v>
      </c>
      <c r="H2180" s="15" t="s">
        <v>11388</v>
      </c>
      <c r="I2180" s="15" t="s">
        <v>11389</v>
      </c>
      <c r="J2180" s="15" t="s">
        <v>11390</v>
      </c>
      <c r="K2180" s="15" t="s">
        <v>436</v>
      </c>
      <c r="L2180" s="15" t="s">
        <v>437</v>
      </c>
      <c r="M2180" s="15" t="s">
        <v>1429</v>
      </c>
      <c r="N2180" s="15" t="s">
        <v>1430</v>
      </c>
      <c r="O2180" s="15" t="s">
        <v>82</v>
      </c>
      <c r="P2180" s="15" t="s">
        <v>2234</v>
      </c>
      <c r="Q2180" s="15" t="s">
        <v>2235</v>
      </c>
      <c r="R2180" s="16">
        <v>44329</v>
      </c>
      <c r="S2180" s="17" t="s">
        <v>70</v>
      </c>
      <c r="T2180" s="20">
        <f>HYPERLINK("https://vnm.spiral.com.vn//uploaded/20210513/2FB3BEB8-9407-4D8A-AE03-EAC5CFA5D806.jpg","10:14:01")</f>
      </c>
      <c r="U2180" s="20">
        <f>HYPERLINK("https://vnm.spiral.com.vn//uploaded/20210513/37F57A05-3BFA-47C4-A960-547D79FA25AC.jpg","11:21:31")</f>
      </c>
      <c r="V2180" s="18">
        <v>0.046875</v>
      </c>
      <c r="W2180" s="15" t="s">
        <v>11391</v>
      </c>
      <c r="X2180" s="15" t="s">
        <v>11392</v>
      </c>
      <c r="Y2180" s="15" t="s">
        <v>35</v>
      </c>
      <c r="Z2180" s="19">
        <v>0</v>
      </c>
      <c r="AA2180" s="15">
        <v>0</v>
      </c>
      <c r="AB2180" s="15" t="s">
        <v>35</v>
      </c>
    </row>
    <row r="2181">
      <c r="A2181" s="15">
        <v>2177</v>
      </c>
      <c r="B2181" s="15" t="s">
        <v>87</v>
      </c>
      <c r="C2181" s="15" t="s">
        <v>88</v>
      </c>
      <c r="D2181" s="15" t="s">
        <v>432</v>
      </c>
      <c r="E2181" s="15" t="s">
        <v>116</v>
      </c>
      <c r="F2181" s="15" t="s">
        <v>35</v>
      </c>
      <c r="G2181" s="15" t="s">
        <v>74</v>
      </c>
      <c r="H2181" s="15" t="s">
        <v>11393</v>
      </c>
      <c r="I2181" s="15" t="s">
        <v>11394</v>
      </c>
      <c r="J2181" s="15" t="s">
        <v>11395</v>
      </c>
      <c r="K2181" s="15" t="s">
        <v>625</v>
      </c>
      <c r="L2181" s="15" t="s">
        <v>626</v>
      </c>
      <c r="M2181" s="15" t="s">
        <v>1022</v>
      </c>
      <c r="N2181" s="15" t="s">
        <v>1023</v>
      </c>
      <c r="O2181" s="15" t="s">
        <v>82</v>
      </c>
      <c r="P2181" s="15" t="s">
        <v>1024</v>
      </c>
      <c r="Q2181" s="15" t="s">
        <v>1025</v>
      </c>
      <c r="R2181" s="16">
        <v>44329</v>
      </c>
      <c r="S2181" s="17" t="s">
        <v>70</v>
      </c>
      <c r="T2181" s="20">
        <f>HYPERLINK("https://vnm.spiral.com.vn//uploaded/20210513/1341DD62-034F-4003-8E5A-0483929D903B.jpg","10:35:46")</f>
      </c>
      <c r="U2181" s="20">
        <f>HYPERLINK("https://vnm.spiral.com.vn//uploaded/20210513/7EFE0DA8-6D2A-48E9-A28E-86BE5EE9A2F1.jpg","11:20:55")</f>
      </c>
      <c r="V2181" s="18">
        <v>0.03135416666666667</v>
      </c>
      <c r="W2181" s="15" t="s">
        <v>11396</v>
      </c>
      <c r="X2181" s="15" t="s">
        <v>11397</v>
      </c>
      <c r="Y2181" s="15" t="s">
        <v>35</v>
      </c>
      <c r="Z2181" s="19">
        <v>0</v>
      </c>
      <c r="AA2181" s="15">
        <v>0</v>
      </c>
      <c r="AB2181" s="15" t="s">
        <v>35</v>
      </c>
    </row>
    <row r="2182">
      <c r="A2182" s="15">
        <v>2178</v>
      </c>
      <c r="B2182" s="15" t="s">
        <v>49</v>
      </c>
      <c r="C2182" s="15" t="s">
        <v>1715</v>
      </c>
      <c r="D2182" s="15" t="s">
        <v>135</v>
      </c>
      <c r="E2182" s="15" t="s">
        <v>116</v>
      </c>
      <c r="F2182" s="15" t="s">
        <v>35</v>
      </c>
      <c r="G2182" s="15" t="s">
        <v>74</v>
      </c>
      <c r="H2182" s="15" t="s">
        <v>11398</v>
      </c>
      <c r="I2182" s="15" t="s">
        <v>11399</v>
      </c>
      <c r="J2182" s="15" t="s">
        <v>11400</v>
      </c>
      <c r="K2182" s="15" t="s">
        <v>166</v>
      </c>
      <c r="L2182" s="15" t="s">
        <v>167</v>
      </c>
      <c r="M2182" s="15" t="s">
        <v>168</v>
      </c>
      <c r="N2182" s="15" t="s">
        <v>169</v>
      </c>
      <c r="O2182" s="15" t="s">
        <v>82</v>
      </c>
      <c r="P2182" s="15" t="s">
        <v>2590</v>
      </c>
      <c r="Q2182" s="15" t="s">
        <v>2591</v>
      </c>
      <c r="R2182" s="16">
        <v>44329</v>
      </c>
      <c r="S2182" s="17" t="s">
        <v>70</v>
      </c>
      <c r="T2182" s="20">
        <f>HYPERLINK("https://vnm.spiral.com.vn//uploaded/20210513/bf5dedee-03d9-4b2c-b015-9e61c9ade283.JPEG","10:46:38")</f>
      </c>
      <c r="U2182" s="20">
        <f>HYPERLINK("https://vnm.spiral.com.vn//uploaded/20210513/c55ccbce-7b8d-4c16-8b9e-20a3aff486b3.JPEG","11:20:47")</f>
      </c>
      <c r="V2182" s="18">
        <v>0.023715277777777776</v>
      </c>
      <c r="W2182" s="15" t="s">
        <v>11401</v>
      </c>
      <c r="X2182" s="15" t="s">
        <v>11402</v>
      </c>
      <c r="Y2182" s="15" t="s">
        <v>35</v>
      </c>
      <c r="Z2182" s="19">
        <v>0</v>
      </c>
      <c r="AA2182" s="15">
        <v>0</v>
      </c>
      <c r="AB2182" s="15" t="s">
        <v>35</v>
      </c>
    </row>
    <row r="2183">
      <c r="A2183" s="15">
        <v>2179</v>
      </c>
      <c r="B2183" s="15" t="s">
        <v>343</v>
      </c>
      <c r="C2183" s="15" t="s">
        <v>344</v>
      </c>
      <c r="D2183" s="15" t="s">
        <v>35</v>
      </c>
      <c r="E2183" s="15" t="s">
        <v>35</v>
      </c>
      <c r="F2183" s="15" t="s">
        <v>35</v>
      </c>
      <c r="G2183" s="15" t="s">
        <v>74</v>
      </c>
      <c r="H2183" s="15" t="s">
        <v>11403</v>
      </c>
      <c r="I2183" s="15" t="s">
        <v>11404</v>
      </c>
      <c r="J2183" s="15" t="s">
        <v>11405</v>
      </c>
      <c r="K2183" s="15" t="s">
        <v>584</v>
      </c>
      <c r="L2183" s="15" t="s">
        <v>585</v>
      </c>
      <c r="M2183" s="15" t="s">
        <v>827</v>
      </c>
      <c r="N2183" s="15" t="s">
        <v>828</v>
      </c>
      <c r="O2183" s="15" t="s">
        <v>82</v>
      </c>
      <c r="P2183" s="15" t="s">
        <v>7778</v>
      </c>
      <c r="Q2183" s="15" t="s">
        <v>7779</v>
      </c>
      <c r="R2183" s="16">
        <v>44329</v>
      </c>
      <c r="S2183" s="17" t="s">
        <v>70</v>
      </c>
      <c r="T2183" s="20">
        <f>HYPERLINK("https://vnm.spiral.com.vn//uploaded/20210513/7edcc7c9-ff88-493b-b547-d514d88eab6d.JPEG","11:02:13")</f>
      </c>
      <c r="U2183" s="20">
        <f>HYPERLINK("https://vnm.spiral.com.vn//uploaded/20210513/0090e143-8a4b-481e-a922-1855bb3f1733.JPEG","11:20:05")</f>
      </c>
      <c r="V2183" s="18">
        <v>0.012407407407407407</v>
      </c>
      <c r="W2183" s="15" t="s">
        <v>11406</v>
      </c>
      <c r="X2183" s="15" t="s">
        <v>11406</v>
      </c>
      <c r="Y2183" s="15" t="s">
        <v>35</v>
      </c>
      <c r="Z2183" s="19">
        <v>0</v>
      </c>
      <c r="AA2183" s="15">
        <v>0</v>
      </c>
      <c r="AB2183" s="15" t="s">
        <v>35</v>
      </c>
    </row>
    <row r="2184">
      <c r="A2184" s="15">
        <v>2180</v>
      </c>
      <c r="B2184" s="15" t="s">
        <v>103</v>
      </c>
      <c r="C2184" s="15" t="s">
        <v>2116</v>
      </c>
      <c r="D2184" s="15" t="s">
        <v>135</v>
      </c>
      <c r="E2184" s="15" t="s">
        <v>116</v>
      </c>
      <c r="F2184" s="15" t="s">
        <v>35</v>
      </c>
      <c r="G2184" s="15" t="s">
        <v>74</v>
      </c>
      <c r="H2184" s="15" t="s">
        <v>11407</v>
      </c>
      <c r="I2184" s="15" t="s">
        <v>11408</v>
      </c>
      <c r="J2184" s="15" t="s">
        <v>11409</v>
      </c>
      <c r="K2184" s="15" t="s">
        <v>178</v>
      </c>
      <c r="L2184" s="15" t="s">
        <v>179</v>
      </c>
      <c r="M2184" s="15" t="s">
        <v>2120</v>
      </c>
      <c r="N2184" s="15" t="s">
        <v>2121</v>
      </c>
      <c r="O2184" s="15" t="s">
        <v>82</v>
      </c>
      <c r="P2184" s="15" t="s">
        <v>2186</v>
      </c>
      <c r="Q2184" s="15" t="s">
        <v>2187</v>
      </c>
      <c r="R2184" s="16">
        <v>44329</v>
      </c>
      <c r="S2184" s="17" t="s">
        <v>70</v>
      </c>
      <c r="T2184" s="20">
        <f>HYPERLINK("https://vnm.spiral.com.vn//uploaded/20210513/ebd7aa5d-2983-4df9-85c7-18dd59f63c7c.JPEG","10:37:31")</f>
      </c>
      <c r="U2184" s="20">
        <f>HYPERLINK("https://vnm.spiral.com.vn//uploaded/20210513/2a3cbbc8-3a12-4afd-b581-3e99ea591935.JPEG","11:19:49")</f>
      </c>
      <c r="V2184" s="18">
        <v>0.029375</v>
      </c>
      <c r="W2184" s="15" t="s">
        <v>11410</v>
      </c>
      <c r="X2184" s="15" t="s">
        <v>11411</v>
      </c>
      <c r="Y2184" s="15" t="s">
        <v>35</v>
      </c>
      <c r="Z2184" s="19">
        <v>0</v>
      </c>
      <c r="AA2184" s="15">
        <v>0</v>
      </c>
      <c r="AB2184" s="15" t="s">
        <v>35</v>
      </c>
    </row>
    <row r="2185">
      <c r="A2185" s="15">
        <v>2181</v>
      </c>
      <c r="B2185" s="15" t="s">
        <v>49</v>
      </c>
      <c r="C2185" s="15" t="s">
        <v>50</v>
      </c>
      <c r="D2185" s="15" t="s">
        <v>35</v>
      </c>
      <c r="E2185" s="15" t="s">
        <v>35</v>
      </c>
      <c r="F2185" s="15" t="s">
        <v>35</v>
      </c>
      <c r="G2185" s="15" t="s">
        <v>35</v>
      </c>
      <c r="H2185" s="15" t="s">
        <v>8044</v>
      </c>
      <c r="I2185" s="15" t="s">
        <v>8045</v>
      </c>
      <c r="J2185" s="15" t="s">
        <v>8046</v>
      </c>
      <c r="K2185" s="15" t="s">
        <v>40</v>
      </c>
      <c r="L2185" s="15" t="s">
        <v>41</v>
      </c>
      <c r="M2185" s="15" t="s">
        <v>55</v>
      </c>
      <c r="N2185" s="15" t="s">
        <v>56</v>
      </c>
      <c r="O2185" s="15" t="s">
        <v>44</v>
      </c>
      <c r="P2185" s="15" t="s">
        <v>8047</v>
      </c>
      <c r="Q2185" s="15" t="s">
        <v>8048</v>
      </c>
      <c r="R2185" s="16">
        <v>44329</v>
      </c>
      <c r="S2185" s="17" t="s">
        <v>7099</v>
      </c>
      <c r="T2185" s="20">
        <f>HYPERLINK("https://vnm.spiral.com.vn//uploaded/20210513/a75d1e55-b61a-4c43-bf1d-38838d4cbadf.JPEG","07:58:05")</f>
      </c>
      <c r="U2185" s="20">
        <f>HYPERLINK("https://vnm.spiral.com.vn//uploaded/20210513/eaea3a04-4587-4229-8d39-2413b711ef67.JPEG","11:19:29")</f>
      </c>
      <c r="V2185" s="18">
        <v>0.1398611111111111</v>
      </c>
      <c r="W2185" s="15" t="s">
        <v>11412</v>
      </c>
      <c r="X2185" s="15" t="s">
        <v>11413</v>
      </c>
      <c r="Y2185" s="15" t="s">
        <v>35</v>
      </c>
      <c r="Z2185" s="19">
        <v>0</v>
      </c>
      <c r="AA2185" s="15">
        <v>0</v>
      </c>
      <c r="AB2185" s="15" t="s">
        <v>35</v>
      </c>
    </row>
    <row r="2186">
      <c r="A2186" s="15">
        <v>2182</v>
      </c>
      <c r="B2186" s="15" t="s">
        <v>61</v>
      </c>
      <c r="C2186" s="15" t="s">
        <v>228</v>
      </c>
      <c r="D2186" s="15" t="s">
        <v>35</v>
      </c>
      <c r="E2186" s="15" t="s">
        <v>35</v>
      </c>
      <c r="F2186" s="15" t="s">
        <v>35</v>
      </c>
      <c r="G2186" s="15" t="s">
        <v>36</v>
      </c>
      <c r="H2186" s="15" t="s">
        <v>11414</v>
      </c>
      <c r="I2186" s="15" t="s">
        <v>11415</v>
      </c>
      <c r="J2186" s="15" t="s">
        <v>11416</v>
      </c>
      <c r="K2186" s="15" t="s">
        <v>40</v>
      </c>
      <c r="L2186" s="15" t="s">
        <v>41</v>
      </c>
      <c r="M2186" s="15" t="s">
        <v>205</v>
      </c>
      <c r="N2186" s="15" t="s">
        <v>206</v>
      </c>
      <c r="O2186" s="15" t="s">
        <v>44</v>
      </c>
      <c r="P2186" s="15" t="s">
        <v>11417</v>
      </c>
      <c r="Q2186" s="15" t="s">
        <v>11418</v>
      </c>
      <c r="R2186" s="16">
        <v>44329</v>
      </c>
      <c r="S2186" s="17" t="s">
        <v>1112</v>
      </c>
      <c r="T2186" s="20">
        <f>HYPERLINK("https://vnm.spiral.com.vn//uploaded/20210513/4b98bd4d-1662-4c8c-a007-f65708b82cac.JPEG","08:30:04")</f>
      </c>
      <c r="U2186" s="20">
        <f>HYPERLINK("https://vnm.spiral.com.vn//uploaded/20210513/0a43207a-ef38-4bcd-a15d-e10750de5394.JPEG","11:19:18")</f>
      </c>
      <c r="V2186" s="18">
        <v>0.11752314814814815</v>
      </c>
      <c r="W2186" s="15" t="s">
        <v>11419</v>
      </c>
      <c r="X2186" s="15" t="s">
        <v>11420</v>
      </c>
      <c r="Y2186" s="15" t="s">
        <v>35</v>
      </c>
      <c r="Z2186" s="19">
        <v>0</v>
      </c>
      <c r="AA2186" s="15">
        <v>0</v>
      </c>
      <c r="AB2186" s="15" t="s">
        <v>35</v>
      </c>
    </row>
    <row r="2187">
      <c r="A2187" s="15">
        <v>2183</v>
      </c>
      <c r="B2187" s="15" t="s">
        <v>246</v>
      </c>
      <c r="C2187" s="15" t="s">
        <v>259</v>
      </c>
      <c r="D2187" s="15" t="s">
        <v>35</v>
      </c>
      <c r="E2187" s="15" t="s">
        <v>35</v>
      </c>
      <c r="F2187" s="15" t="s">
        <v>4355</v>
      </c>
      <c r="G2187" s="15" t="s">
        <v>36</v>
      </c>
      <c r="H2187" s="15" t="s">
        <v>5681</v>
      </c>
      <c r="I2187" s="15" t="s">
        <v>5682</v>
      </c>
      <c r="J2187" s="15" t="s">
        <v>5683</v>
      </c>
      <c r="K2187" s="15" t="s">
        <v>40</v>
      </c>
      <c r="L2187" s="15" t="s">
        <v>41</v>
      </c>
      <c r="M2187" s="15" t="s">
        <v>252</v>
      </c>
      <c r="N2187" s="15" t="s">
        <v>253</v>
      </c>
      <c r="O2187" s="15" t="s">
        <v>44</v>
      </c>
      <c r="P2187" s="15" t="s">
        <v>5684</v>
      </c>
      <c r="Q2187" s="15" t="s">
        <v>5685</v>
      </c>
      <c r="R2187" s="16">
        <v>44329</v>
      </c>
      <c r="S2187" s="17" t="s">
        <v>7866</v>
      </c>
      <c r="T2187" s="20">
        <f>HYPERLINK("https://vnm.spiral.com.vn//uploaded/20210513/5361DF44-304F-45BF-BA3C-E3CD70A4576E.jpg","07:33:03")</f>
      </c>
      <c r="U2187" s="20">
        <f>HYPERLINK("https://vnm.spiral.com.vn//uploaded/20210513/987EB1A8-656E-4898-BF8B-0E5520D2D611.jpg","11:18:58")</f>
      </c>
      <c r="V2187" s="18">
        <v>0.15688657407407408</v>
      </c>
      <c r="W2187" s="15" t="s">
        <v>11421</v>
      </c>
      <c r="X2187" s="15" t="s">
        <v>11422</v>
      </c>
      <c r="Y2187" s="15" t="s">
        <v>35</v>
      </c>
      <c r="Z2187" s="19">
        <v>0</v>
      </c>
      <c r="AA2187" s="15">
        <v>0</v>
      </c>
      <c r="AB2187" s="15" t="s">
        <v>35</v>
      </c>
    </row>
    <row r="2188">
      <c r="A2188" s="15">
        <v>2184</v>
      </c>
      <c r="B2188" s="15" t="s">
        <v>87</v>
      </c>
      <c r="C2188" s="15" t="s">
        <v>88</v>
      </c>
      <c r="D2188" s="15" t="s">
        <v>35</v>
      </c>
      <c r="E2188" s="15" t="s">
        <v>35</v>
      </c>
      <c r="F2188" s="15" t="s">
        <v>35</v>
      </c>
      <c r="G2188" s="15" t="s">
        <v>74</v>
      </c>
      <c r="H2188" s="15" t="s">
        <v>11423</v>
      </c>
      <c r="I2188" s="15" t="s">
        <v>11424</v>
      </c>
      <c r="J2188" s="15" t="s">
        <v>11425</v>
      </c>
      <c r="K2188" s="15" t="s">
        <v>190</v>
      </c>
      <c r="L2188" s="15" t="s">
        <v>191</v>
      </c>
      <c r="M2188" s="15" t="s">
        <v>888</v>
      </c>
      <c r="N2188" s="15" t="s">
        <v>889</v>
      </c>
      <c r="O2188" s="15" t="s">
        <v>98</v>
      </c>
      <c r="P2188" s="15" t="s">
        <v>1666</v>
      </c>
      <c r="Q2188" s="15" t="s">
        <v>1667</v>
      </c>
      <c r="R2188" s="16">
        <v>44329</v>
      </c>
      <c r="S2188" s="17" t="s">
        <v>35</v>
      </c>
      <c r="T2188" s="20">
        <f>HYPERLINK("https://vnm.spiral.com.vn//uploaded/20210513/d5e265f0-d321-41d8-98de-94453ecb98b0.JPEG","10:55:35")</f>
      </c>
      <c r="U2188" s="20">
        <f>HYPERLINK("https://vnm.spiral.com.vn//uploaded/20210513/dc5e3819-e82a-476c-9a5e-e6c264299433.JPEG","11:18:55")</f>
      </c>
      <c r="V2188" s="18">
        <v>0.016203703703703703</v>
      </c>
      <c r="W2188" s="15" t="s">
        <v>11426</v>
      </c>
      <c r="X2188" s="15" t="s">
        <v>11427</v>
      </c>
      <c r="Y2188" s="15" t="s">
        <v>35</v>
      </c>
      <c r="Z2188" s="19">
        <v>0</v>
      </c>
      <c r="AA2188" s="15">
        <v>0</v>
      </c>
      <c r="AB2188" s="15" t="s">
        <v>35</v>
      </c>
    </row>
    <row r="2189">
      <c r="A2189" s="15">
        <v>2185</v>
      </c>
      <c r="B2189" s="15" t="s">
        <v>87</v>
      </c>
      <c r="C2189" s="15" t="s">
        <v>88</v>
      </c>
      <c r="D2189" s="15" t="s">
        <v>35</v>
      </c>
      <c r="E2189" s="15" t="s">
        <v>35</v>
      </c>
      <c r="F2189" s="15" t="s">
        <v>35</v>
      </c>
      <c r="G2189" s="15" t="s">
        <v>74</v>
      </c>
      <c r="H2189" s="15" t="s">
        <v>11428</v>
      </c>
      <c r="I2189" s="15" t="s">
        <v>11429</v>
      </c>
      <c r="J2189" s="15" t="s">
        <v>11430</v>
      </c>
      <c r="K2189" s="15" t="s">
        <v>888</v>
      </c>
      <c r="L2189" s="15" t="s">
        <v>889</v>
      </c>
      <c r="M2189" s="15" t="s">
        <v>924</v>
      </c>
      <c r="N2189" s="15" t="s">
        <v>925</v>
      </c>
      <c r="O2189" s="15" t="s">
        <v>82</v>
      </c>
      <c r="P2189" s="15" t="s">
        <v>1906</v>
      </c>
      <c r="Q2189" s="15" t="s">
        <v>1907</v>
      </c>
      <c r="R2189" s="16">
        <v>44329</v>
      </c>
      <c r="S2189" s="17" t="s">
        <v>70</v>
      </c>
      <c r="T2189" s="20">
        <f>HYPERLINK("https://vnm.spiral.com.vn//uploaded/20210513/ac689e9c-6c7c-48e2-b63d-e9816bca3bda.JPEG","10:50:24")</f>
      </c>
      <c r="U2189" s="20">
        <f>HYPERLINK("https://vnm.spiral.com.vn//uploaded/20210513/9b425d7c-ad27-40de-b729-897e577f1715.JPEG","11:18:51")</f>
      </c>
      <c r="V2189" s="18">
        <v>0.019756944444444445</v>
      </c>
      <c r="W2189" s="15" t="s">
        <v>11431</v>
      </c>
      <c r="X2189" s="15" t="s">
        <v>11432</v>
      </c>
      <c r="Y2189" s="15" t="s">
        <v>35</v>
      </c>
      <c r="Z2189" s="19">
        <v>0</v>
      </c>
      <c r="AA2189" s="15">
        <v>0</v>
      </c>
      <c r="AB2189" s="15" t="s">
        <v>35</v>
      </c>
    </row>
    <row r="2190">
      <c r="A2190" s="15">
        <v>2186</v>
      </c>
      <c r="B2190" s="15" t="s">
        <v>87</v>
      </c>
      <c r="C2190" s="15" t="s">
        <v>88</v>
      </c>
      <c r="D2190" s="15" t="s">
        <v>35</v>
      </c>
      <c r="E2190" s="15" t="s">
        <v>35</v>
      </c>
      <c r="F2190" s="15" t="s">
        <v>2773</v>
      </c>
      <c r="G2190" s="15" t="s">
        <v>36</v>
      </c>
      <c r="H2190" s="15" t="s">
        <v>11433</v>
      </c>
      <c r="I2190" s="15" t="s">
        <v>11434</v>
      </c>
      <c r="J2190" s="15" t="s">
        <v>11435</v>
      </c>
      <c r="K2190" s="15" t="s">
        <v>40</v>
      </c>
      <c r="L2190" s="15" t="s">
        <v>41</v>
      </c>
      <c r="M2190" s="15" t="s">
        <v>810</v>
      </c>
      <c r="N2190" s="15" t="s">
        <v>811</v>
      </c>
      <c r="O2190" s="15" t="s">
        <v>44</v>
      </c>
      <c r="P2190" s="15" t="s">
        <v>11436</v>
      </c>
      <c r="Q2190" s="15" t="s">
        <v>11437</v>
      </c>
      <c r="R2190" s="16">
        <v>44329</v>
      </c>
      <c r="S2190" s="17" t="s">
        <v>6144</v>
      </c>
      <c r="T2190" s="20">
        <f>HYPERLINK("https://vnm.spiral.com.vn//uploaded/20210513/111426ab-5005-49b7-ba4a-2edd0a6e797b.JPEG","11:18:50")</f>
      </c>
      <c r="U2190" s="18"/>
      <c r="V2190" s="18" t="s">
        <v>35</v>
      </c>
      <c r="W2190" s="15" t="s">
        <v>11438</v>
      </c>
      <c r="X2190" s="15" t="s">
        <v>35</v>
      </c>
      <c r="Y2190" s="15" t="s">
        <v>35</v>
      </c>
      <c r="Z2190" s="19">
        <v>0</v>
      </c>
      <c r="AA2190" s="15">
        <v>0</v>
      </c>
      <c r="AB2190" s="15" t="s">
        <v>35</v>
      </c>
    </row>
    <row r="2191">
      <c r="A2191" s="15">
        <v>2187</v>
      </c>
      <c r="B2191" s="15" t="s">
        <v>61</v>
      </c>
      <c r="C2191" s="15" t="s">
        <v>442</v>
      </c>
      <c r="D2191" s="15" t="s">
        <v>35</v>
      </c>
      <c r="E2191" s="15" t="s">
        <v>35</v>
      </c>
      <c r="F2191" s="15" t="s">
        <v>35</v>
      </c>
      <c r="G2191" s="15" t="s">
        <v>36</v>
      </c>
      <c r="H2191" s="15" t="s">
        <v>7313</v>
      </c>
      <c r="I2191" s="15" t="s">
        <v>7314</v>
      </c>
      <c r="J2191" s="15" t="s">
        <v>7315</v>
      </c>
      <c r="K2191" s="15" t="s">
        <v>40</v>
      </c>
      <c r="L2191" s="15" t="s">
        <v>41</v>
      </c>
      <c r="M2191" s="15" t="s">
        <v>205</v>
      </c>
      <c r="N2191" s="15" t="s">
        <v>206</v>
      </c>
      <c r="O2191" s="15" t="s">
        <v>44</v>
      </c>
      <c r="P2191" s="15" t="s">
        <v>7316</v>
      </c>
      <c r="Q2191" s="15" t="s">
        <v>7317</v>
      </c>
      <c r="R2191" s="16">
        <v>44329</v>
      </c>
      <c r="S2191" s="17" t="s">
        <v>7866</v>
      </c>
      <c r="T2191" s="20">
        <f>HYPERLINK("https://vnm.spiral.com.vn//uploaded/20210513/a72b8d9b-bbb1-4a70-a9d8-a4a0acf62d40.JPEG","07:18:53")</f>
      </c>
      <c r="U2191" s="20">
        <f>HYPERLINK("https://vnm.spiral.com.vn//uploaded/20210513/c6359fb0-4f1e-4092-bf38-03a028bf52c9.JPEG","11:18:41")</f>
      </c>
      <c r="V2191" s="18">
        <v>0.16652777777777777</v>
      </c>
      <c r="W2191" s="15" t="s">
        <v>11439</v>
      </c>
      <c r="X2191" s="15" t="s">
        <v>11440</v>
      </c>
      <c r="Y2191" s="15" t="s">
        <v>35</v>
      </c>
      <c r="Z2191" s="19">
        <v>0</v>
      </c>
      <c r="AA2191" s="15">
        <v>0</v>
      </c>
      <c r="AB2191" s="15" t="s">
        <v>35</v>
      </c>
    </row>
    <row r="2192">
      <c r="A2192" s="15">
        <v>2188</v>
      </c>
      <c r="B2192" s="15" t="s">
        <v>87</v>
      </c>
      <c r="C2192" s="15" t="s">
        <v>88</v>
      </c>
      <c r="D2192" s="15" t="s">
        <v>610</v>
      </c>
      <c r="E2192" s="15" t="s">
        <v>90</v>
      </c>
      <c r="F2192" s="15" t="s">
        <v>35</v>
      </c>
      <c r="G2192" s="15" t="s">
        <v>74</v>
      </c>
      <c r="H2192" s="15" t="s">
        <v>1775</v>
      </c>
      <c r="I2192" s="15" t="s">
        <v>1776</v>
      </c>
      <c r="J2192" s="15" t="s">
        <v>1777</v>
      </c>
      <c r="K2192" s="15" t="s">
        <v>94</v>
      </c>
      <c r="L2192" s="15" t="s">
        <v>95</v>
      </c>
      <c r="M2192" s="15" t="s">
        <v>614</v>
      </c>
      <c r="N2192" s="15" t="s">
        <v>615</v>
      </c>
      <c r="O2192" s="15" t="s">
        <v>82</v>
      </c>
      <c r="P2192" s="15" t="s">
        <v>2583</v>
      </c>
      <c r="Q2192" s="15" t="s">
        <v>2584</v>
      </c>
      <c r="R2192" s="16">
        <v>44329</v>
      </c>
      <c r="S2192" s="17" t="s">
        <v>70</v>
      </c>
      <c r="T2192" s="20">
        <f>HYPERLINK("https://vnm.spiral.com.vn//uploaded/20210513/b509924a-06e2-4c3e-ae7b-7294b48e50a3.JPEG","10:26:48")</f>
      </c>
      <c r="U2192" s="20">
        <f>HYPERLINK("https://vnm.spiral.com.vn//uploaded/20210513/2019bf99-da6a-49f2-850f-05a378072f55.JPEG","11:18:34")</f>
      </c>
      <c r="V2192" s="18">
        <v>0.03594907407407407</v>
      </c>
      <c r="W2192" s="15" t="s">
        <v>11441</v>
      </c>
      <c r="X2192" s="15" t="s">
        <v>11442</v>
      </c>
      <c r="Y2192" s="15" t="s">
        <v>35</v>
      </c>
      <c r="Z2192" s="19">
        <v>0</v>
      </c>
      <c r="AA2192" s="15">
        <v>0</v>
      </c>
      <c r="AB2192" s="15" t="s">
        <v>35</v>
      </c>
    </row>
    <row r="2193">
      <c r="A2193" s="15">
        <v>2189</v>
      </c>
      <c r="B2193" s="15" t="s">
        <v>343</v>
      </c>
      <c r="C2193" s="15" t="s">
        <v>344</v>
      </c>
      <c r="D2193" s="15" t="s">
        <v>432</v>
      </c>
      <c r="E2193" s="15" t="s">
        <v>116</v>
      </c>
      <c r="F2193" s="15" t="s">
        <v>35</v>
      </c>
      <c r="G2193" s="15" t="s">
        <v>74</v>
      </c>
      <c r="H2193" s="15" t="s">
        <v>11443</v>
      </c>
      <c r="I2193" s="15" t="s">
        <v>11444</v>
      </c>
      <c r="J2193" s="15" t="s">
        <v>11445</v>
      </c>
      <c r="K2193" s="15" t="s">
        <v>512</v>
      </c>
      <c r="L2193" s="15" t="s">
        <v>513</v>
      </c>
      <c r="M2193" s="15" t="s">
        <v>514</v>
      </c>
      <c r="N2193" s="15" t="s">
        <v>515</v>
      </c>
      <c r="O2193" s="15" t="s">
        <v>82</v>
      </c>
      <c r="P2193" s="15" t="s">
        <v>516</v>
      </c>
      <c r="Q2193" s="15" t="s">
        <v>517</v>
      </c>
      <c r="R2193" s="16">
        <v>44329</v>
      </c>
      <c r="S2193" s="17" t="s">
        <v>70</v>
      </c>
      <c r="T2193" s="20">
        <f>HYPERLINK("https://vnm.spiral.com.vn//uploaded/20210513/e29e9965-3faa-4865-8016-d1b70401ea84.JPEG","09:53:43")</f>
      </c>
      <c r="U2193" s="20">
        <f>HYPERLINK("https://vnm.spiral.com.vn//uploaded/20210513/925743cb-7f34-4b1a-af70-6c6a69080afa.JPEG","11:18:32")</f>
      </c>
      <c r="V2193" s="18">
        <v>0.05890046296296296</v>
      </c>
      <c r="W2193" s="15" t="s">
        <v>11446</v>
      </c>
      <c r="X2193" s="15" t="s">
        <v>11447</v>
      </c>
      <c r="Y2193" s="15" t="s">
        <v>35</v>
      </c>
      <c r="Z2193" s="19">
        <v>0</v>
      </c>
      <c r="AA2193" s="15">
        <v>0</v>
      </c>
      <c r="AB2193" s="15" t="s">
        <v>35</v>
      </c>
    </row>
    <row r="2194">
      <c r="A2194" s="15">
        <v>2190</v>
      </c>
      <c r="B2194" s="15" t="s">
        <v>33</v>
      </c>
      <c r="C2194" s="15" t="s">
        <v>951</v>
      </c>
      <c r="D2194" s="15" t="s">
        <v>35</v>
      </c>
      <c r="E2194" s="15" t="s">
        <v>35</v>
      </c>
      <c r="F2194" s="15" t="s">
        <v>35</v>
      </c>
      <c r="G2194" s="15" t="s">
        <v>36</v>
      </c>
      <c r="H2194" s="15" t="s">
        <v>6488</v>
      </c>
      <c r="I2194" s="15" t="s">
        <v>6489</v>
      </c>
      <c r="J2194" s="15" t="s">
        <v>6490</v>
      </c>
      <c r="K2194" s="15" t="s">
        <v>40</v>
      </c>
      <c r="L2194" s="15" t="s">
        <v>41</v>
      </c>
      <c r="M2194" s="15" t="s">
        <v>42</v>
      </c>
      <c r="N2194" s="15" t="s">
        <v>43</v>
      </c>
      <c r="O2194" s="15" t="s">
        <v>44</v>
      </c>
      <c r="P2194" s="15" t="s">
        <v>6491</v>
      </c>
      <c r="Q2194" s="15" t="s">
        <v>3286</v>
      </c>
      <c r="R2194" s="16">
        <v>44329</v>
      </c>
      <c r="S2194" s="17" t="s">
        <v>8968</v>
      </c>
      <c r="T2194" s="20">
        <f>HYPERLINK("https://vnm.spiral.com.vn//uploaded/20210513/86242591-e5c2-49c5-890f-6cb0e0715c1a.JPEG","07:07:38")</f>
      </c>
      <c r="U2194" s="20">
        <f>HYPERLINK("https://vnm.spiral.com.vn//uploaded/20210513/ba4049fd-d850-43b4-8df4-b469c87ceccf.JPEG","11:18:18")</f>
      </c>
      <c r="V2194" s="18">
        <v>0.17407407407407408</v>
      </c>
      <c r="W2194" s="15" t="s">
        <v>11448</v>
      </c>
      <c r="X2194" s="15" t="s">
        <v>11449</v>
      </c>
      <c r="Y2194" s="15" t="s">
        <v>35</v>
      </c>
      <c r="Z2194" s="19">
        <v>0</v>
      </c>
      <c r="AA2194" s="15">
        <v>0</v>
      </c>
      <c r="AB2194" s="15" t="s">
        <v>35</v>
      </c>
    </row>
    <row r="2195">
      <c r="A2195" s="15">
        <v>2191</v>
      </c>
      <c r="B2195" s="15" t="s">
        <v>61</v>
      </c>
      <c r="C2195" s="15" t="s">
        <v>147</v>
      </c>
      <c r="D2195" s="15" t="s">
        <v>89</v>
      </c>
      <c r="E2195" s="15" t="s">
        <v>90</v>
      </c>
      <c r="F2195" s="15" t="s">
        <v>35</v>
      </c>
      <c r="G2195" s="15" t="s">
        <v>74</v>
      </c>
      <c r="H2195" s="15" t="s">
        <v>11450</v>
      </c>
      <c r="I2195" s="15" t="s">
        <v>11451</v>
      </c>
      <c r="J2195" s="15" t="s">
        <v>11452</v>
      </c>
      <c r="K2195" s="15" t="s">
        <v>152</v>
      </c>
      <c r="L2195" s="15" t="s">
        <v>153</v>
      </c>
      <c r="M2195" s="15" t="s">
        <v>154</v>
      </c>
      <c r="N2195" s="15" t="s">
        <v>155</v>
      </c>
      <c r="O2195" s="15" t="s">
        <v>156</v>
      </c>
      <c r="P2195" s="15" t="s">
        <v>11453</v>
      </c>
      <c r="Q2195" s="15" t="s">
        <v>11454</v>
      </c>
      <c r="R2195" s="16">
        <v>44329</v>
      </c>
      <c r="S2195" s="17" t="s">
        <v>8968</v>
      </c>
      <c r="T2195" s="20">
        <f>HYPERLINK("https://vnm.spiral.com.vn//uploaded/20210513/50d3b439-5a35-4bb1-b890-d4a6df34b611.JPEG","06:54:39")</f>
      </c>
      <c r="U2195" s="20">
        <f>HYPERLINK("https://vnm.spiral.com.vn//uploaded/20210513/77b556a0-1f3d-4c40-9833-24c6ce8c841f.JPEG","11:18:15")</f>
      </c>
      <c r="V2195" s="18">
        <v>0.18305555555555555</v>
      </c>
      <c r="W2195" s="15" t="s">
        <v>11455</v>
      </c>
      <c r="X2195" s="15" t="s">
        <v>11456</v>
      </c>
      <c r="Y2195" s="15" t="s">
        <v>35</v>
      </c>
      <c r="Z2195" s="19">
        <v>0</v>
      </c>
      <c r="AA2195" s="15">
        <v>0</v>
      </c>
      <c r="AB2195" s="15" t="s">
        <v>35</v>
      </c>
    </row>
    <row r="2196">
      <c r="A2196" s="15">
        <v>2192</v>
      </c>
      <c r="B2196" s="15" t="s">
        <v>103</v>
      </c>
      <c r="C2196" s="15" t="s">
        <v>2116</v>
      </c>
      <c r="D2196" s="15" t="s">
        <v>89</v>
      </c>
      <c r="E2196" s="15" t="s">
        <v>90</v>
      </c>
      <c r="F2196" s="15" t="s">
        <v>35</v>
      </c>
      <c r="G2196" s="15" t="s">
        <v>74</v>
      </c>
      <c r="H2196" s="15" t="s">
        <v>11457</v>
      </c>
      <c r="I2196" s="15" t="s">
        <v>11458</v>
      </c>
      <c r="J2196" s="15" t="s">
        <v>11459</v>
      </c>
      <c r="K2196" s="15" t="s">
        <v>178</v>
      </c>
      <c r="L2196" s="15" t="s">
        <v>179</v>
      </c>
      <c r="M2196" s="15" t="s">
        <v>2120</v>
      </c>
      <c r="N2196" s="15" t="s">
        <v>2121</v>
      </c>
      <c r="O2196" s="15" t="s">
        <v>156</v>
      </c>
      <c r="P2196" s="15" t="s">
        <v>11460</v>
      </c>
      <c r="Q2196" s="15" t="s">
        <v>11461</v>
      </c>
      <c r="R2196" s="16">
        <v>44329</v>
      </c>
      <c r="S2196" s="17" t="s">
        <v>70</v>
      </c>
      <c r="T2196" s="20">
        <f>HYPERLINK("https://vnm.spiral.com.vn//uploaded/20210513/05e8fb6c-cace-4b92-aa95-e76396e7a0e7.JPEG","11:18:11")</f>
      </c>
      <c r="U2196" s="18"/>
      <c r="V2196" s="18" t="s">
        <v>35</v>
      </c>
      <c r="W2196" s="15" t="s">
        <v>11462</v>
      </c>
      <c r="X2196" s="15" t="s">
        <v>35</v>
      </c>
      <c r="Y2196" s="15" t="s">
        <v>35</v>
      </c>
      <c r="Z2196" s="19">
        <v>0</v>
      </c>
      <c r="AA2196" s="15">
        <v>0</v>
      </c>
      <c r="AB2196" s="15" t="s">
        <v>35</v>
      </c>
    </row>
    <row r="2197">
      <c r="A2197" s="15">
        <v>2193</v>
      </c>
      <c r="B2197" s="15" t="s">
        <v>61</v>
      </c>
      <c r="C2197" s="15" t="s">
        <v>303</v>
      </c>
      <c r="D2197" s="15" t="s">
        <v>89</v>
      </c>
      <c r="E2197" s="15" t="s">
        <v>90</v>
      </c>
      <c r="F2197" s="15" t="s">
        <v>35</v>
      </c>
      <c r="G2197" s="15" t="s">
        <v>74</v>
      </c>
      <c r="H2197" s="15" t="s">
        <v>1242</v>
      </c>
      <c r="I2197" s="15" t="s">
        <v>1243</v>
      </c>
      <c r="J2197" s="15" t="s">
        <v>1244</v>
      </c>
      <c r="K2197" s="15" t="s">
        <v>232</v>
      </c>
      <c r="L2197" s="15" t="s">
        <v>233</v>
      </c>
      <c r="M2197" s="15" t="s">
        <v>503</v>
      </c>
      <c r="N2197" s="15" t="s">
        <v>504</v>
      </c>
      <c r="O2197" s="15" t="s">
        <v>156</v>
      </c>
      <c r="P2197" s="15" t="s">
        <v>1245</v>
      </c>
      <c r="Q2197" s="15" t="s">
        <v>1246</v>
      </c>
      <c r="R2197" s="16">
        <v>44329</v>
      </c>
      <c r="S2197" s="17" t="s">
        <v>8968</v>
      </c>
      <c r="T2197" s="20">
        <f>HYPERLINK("https://vnm.spiral.com.vn//uploaded/20210513/391721D5-06EB-4A68-ADA4-29D998453DA0.jpg","06:53:32")</f>
      </c>
      <c r="U2197" s="20">
        <f>HYPERLINK("https://vnm.spiral.com.vn//uploaded/20210513/14491202-8F50-47F7-BA2F-3FED7865B42B.jpg","11:17:55")</f>
      </c>
      <c r="V2197" s="18">
        <v>0.18359953703703705</v>
      </c>
      <c r="W2197" s="15" t="s">
        <v>11463</v>
      </c>
      <c r="X2197" s="15" t="s">
        <v>11464</v>
      </c>
      <c r="Y2197" s="15" t="s">
        <v>35</v>
      </c>
      <c r="Z2197" s="19">
        <v>0</v>
      </c>
      <c r="AA2197" s="15">
        <v>0</v>
      </c>
      <c r="AB2197" s="15" t="s">
        <v>35</v>
      </c>
    </row>
    <row r="2198">
      <c r="A2198" s="15">
        <v>2194</v>
      </c>
      <c r="B2198" s="15" t="s">
        <v>33</v>
      </c>
      <c r="C2198" s="15" t="s">
        <v>979</v>
      </c>
      <c r="D2198" s="15" t="s">
        <v>35</v>
      </c>
      <c r="E2198" s="15" t="s">
        <v>35</v>
      </c>
      <c r="F2198" s="15" t="s">
        <v>35</v>
      </c>
      <c r="G2198" s="15" t="s">
        <v>74</v>
      </c>
      <c r="H2198" s="15" t="s">
        <v>11465</v>
      </c>
      <c r="I2198" s="15" t="s">
        <v>11466</v>
      </c>
      <c r="J2198" s="15" t="s">
        <v>11467</v>
      </c>
      <c r="K2198" s="15" t="s">
        <v>540</v>
      </c>
      <c r="L2198" s="15" t="s">
        <v>541</v>
      </c>
      <c r="M2198" s="15" t="s">
        <v>769</v>
      </c>
      <c r="N2198" s="15" t="s">
        <v>770</v>
      </c>
      <c r="O2198" s="15" t="s">
        <v>82</v>
      </c>
      <c r="P2198" s="15" t="s">
        <v>3034</v>
      </c>
      <c r="Q2198" s="15" t="s">
        <v>3035</v>
      </c>
      <c r="R2198" s="16">
        <v>44329</v>
      </c>
      <c r="S2198" s="17" t="s">
        <v>70</v>
      </c>
      <c r="T2198" s="20">
        <f>HYPERLINK("https://vnm.spiral.com.vn//uploaded/20210513/fb8399b5-0ba0-479a-8160-553a1802e7db.JPEG","10:43:05")</f>
      </c>
      <c r="U2198" s="20">
        <f>HYPERLINK("https://vnm.spiral.com.vn//uploaded/20210513/9f24f2af-337f-4853-851c-283866427ef9.JPEG","11:17:49")</f>
      </c>
      <c r="V2198" s="18">
        <v>0.024120370370370372</v>
      </c>
      <c r="W2198" s="15" t="s">
        <v>11468</v>
      </c>
      <c r="X2198" s="15" t="s">
        <v>11469</v>
      </c>
      <c r="Y2198" s="15" t="s">
        <v>35</v>
      </c>
      <c r="Z2198" s="19">
        <v>0</v>
      </c>
      <c r="AA2198" s="15">
        <v>0</v>
      </c>
      <c r="AB2198" s="15" t="s">
        <v>35</v>
      </c>
    </row>
    <row r="2199">
      <c r="A2199" s="15">
        <v>2195</v>
      </c>
      <c r="B2199" s="15" t="s">
        <v>87</v>
      </c>
      <c r="C2199" s="15" t="s">
        <v>88</v>
      </c>
      <c r="D2199" s="15" t="s">
        <v>35</v>
      </c>
      <c r="E2199" s="15" t="s">
        <v>35</v>
      </c>
      <c r="F2199" s="15" t="s">
        <v>2077</v>
      </c>
      <c r="G2199" s="15" t="s">
        <v>36</v>
      </c>
      <c r="H2199" s="15" t="s">
        <v>4074</v>
      </c>
      <c r="I2199" s="15" t="s">
        <v>4075</v>
      </c>
      <c r="J2199" s="15" t="s">
        <v>4076</v>
      </c>
      <c r="K2199" s="15" t="s">
        <v>40</v>
      </c>
      <c r="L2199" s="15" t="s">
        <v>41</v>
      </c>
      <c r="M2199" s="15" t="s">
        <v>289</v>
      </c>
      <c r="N2199" s="15" t="s">
        <v>290</v>
      </c>
      <c r="O2199" s="15" t="s">
        <v>44</v>
      </c>
      <c r="P2199" s="15" t="s">
        <v>4077</v>
      </c>
      <c r="Q2199" s="15" t="s">
        <v>4078</v>
      </c>
      <c r="R2199" s="16">
        <v>44329</v>
      </c>
      <c r="S2199" s="17" t="s">
        <v>7866</v>
      </c>
      <c r="T2199" s="20">
        <f>HYPERLINK("https://vnm.spiral.com.vn//uploaded/20210513/67c6c46d-4475-4ab0-8182-ba3f151674f5.JPEG","06:55:43")</f>
      </c>
      <c r="U2199" s="20">
        <f>HYPERLINK("https://vnm.spiral.com.vn//uploaded/20210513/00d67607-3c1c-43ac-a92f-f4991709b4d9.JPEG","11:17:35")</f>
      </c>
      <c r="V2199" s="18">
        <v>0.18185185185185185</v>
      </c>
      <c r="W2199" s="15" t="s">
        <v>11470</v>
      </c>
      <c r="X2199" s="15" t="s">
        <v>11471</v>
      </c>
      <c r="Y2199" s="15" t="s">
        <v>35</v>
      </c>
      <c r="Z2199" s="19">
        <v>0</v>
      </c>
      <c r="AA2199" s="15">
        <v>0</v>
      </c>
      <c r="AB2199" s="15" t="s">
        <v>35</v>
      </c>
    </row>
    <row r="2200">
      <c r="A2200" s="15">
        <v>2196</v>
      </c>
      <c r="B2200" s="15" t="s">
        <v>103</v>
      </c>
      <c r="C2200" s="15" t="s">
        <v>104</v>
      </c>
      <c r="D2200" s="15" t="s">
        <v>135</v>
      </c>
      <c r="E2200" s="15" t="s">
        <v>116</v>
      </c>
      <c r="F2200" s="15" t="s">
        <v>35</v>
      </c>
      <c r="G2200" s="15" t="s">
        <v>74</v>
      </c>
      <c r="H2200" s="15" t="s">
        <v>11352</v>
      </c>
      <c r="I2200" s="15" t="s">
        <v>11353</v>
      </c>
      <c r="J2200" s="15" t="s">
        <v>11354</v>
      </c>
      <c r="K2200" s="15" t="s">
        <v>190</v>
      </c>
      <c r="L2200" s="15" t="s">
        <v>191</v>
      </c>
      <c r="M2200" s="15" t="s">
        <v>460</v>
      </c>
      <c r="N2200" s="15" t="s">
        <v>461</v>
      </c>
      <c r="O2200" s="15" t="s">
        <v>98</v>
      </c>
      <c r="P2200" s="15" t="s">
        <v>462</v>
      </c>
      <c r="Q2200" s="15" t="s">
        <v>463</v>
      </c>
      <c r="R2200" s="16">
        <v>44329</v>
      </c>
      <c r="S2200" s="17" t="s">
        <v>35</v>
      </c>
      <c r="T2200" s="20">
        <f>HYPERLINK("https://vnm.spiral.com.vn//uploaded/20210513/F866E7A8-E58C-400D-ABF8-6D46D7EF6779.jpg","10:14:24")</f>
      </c>
      <c r="U2200" s="20">
        <f>HYPERLINK("https://vnm.spiral.com.vn//uploaded/20210513/F2A89BFE-4081-498D-B6C6-7F25F400D3E5.jpg","11:17:25")</f>
      </c>
      <c r="V2200" s="18">
        <v>0.04376157407407407</v>
      </c>
      <c r="W2200" s="15" t="s">
        <v>11472</v>
      </c>
      <c r="X2200" s="15" t="s">
        <v>11473</v>
      </c>
      <c r="Y2200" s="15" t="s">
        <v>35</v>
      </c>
      <c r="Z2200" s="19">
        <v>0</v>
      </c>
      <c r="AA2200" s="15">
        <v>0</v>
      </c>
      <c r="AB2200" s="15" t="s">
        <v>35</v>
      </c>
    </row>
    <row r="2201">
      <c r="A2201" s="15">
        <v>2197</v>
      </c>
      <c r="B2201" s="15" t="s">
        <v>61</v>
      </c>
      <c r="C2201" s="15" t="s">
        <v>1730</v>
      </c>
      <c r="D2201" s="15" t="s">
        <v>432</v>
      </c>
      <c r="E2201" s="15" t="s">
        <v>116</v>
      </c>
      <c r="F2201" s="15" t="s">
        <v>35</v>
      </c>
      <c r="G2201" s="15" t="s">
        <v>74</v>
      </c>
      <c r="H2201" s="15" t="s">
        <v>11474</v>
      </c>
      <c r="I2201" s="15" t="s">
        <v>11475</v>
      </c>
      <c r="J2201" s="15" t="s">
        <v>11476</v>
      </c>
      <c r="K2201" s="15" t="s">
        <v>152</v>
      </c>
      <c r="L2201" s="15" t="s">
        <v>153</v>
      </c>
      <c r="M2201" s="15" t="s">
        <v>309</v>
      </c>
      <c r="N2201" s="15" t="s">
        <v>310</v>
      </c>
      <c r="O2201" s="15" t="s">
        <v>98</v>
      </c>
      <c r="P2201" s="15" t="s">
        <v>778</v>
      </c>
      <c r="Q2201" s="15" t="s">
        <v>779</v>
      </c>
      <c r="R2201" s="16">
        <v>44329</v>
      </c>
      <c r="S2201" s="17" t="s">
        <v>70</v>
      </c>
      <c r="T2201" s="20">
        <f>HYPERLINK("https://vnm.spiral.com.vn//uploaded/20210513/C35E46B0-9AE4-4C95-9FED-67D76B4EE4D5.jpg","07:46:29")</f>
      </c>
      <c r="U2201" s="20">
        <f>HYPERLINK("https://vnm.spiral.com.vn//uploaded/20210513/75217E59-C2FB-4251-9A91-6EA098D75726.jpg","11:17:24")</f>
      </c>
      <c r="V2201" s="18">
        <v>0.1464699074074074</v>
      </c>
      <c r="W2201" s="15" t="s">
        <v>11477</v>
      </c>
      <c r="X2201" s="15" t="s">
        <v>11478</v>
      </c>
      <c r="Y2201" s="15" t="s">
        <v>35</v>
      </c>
      <c r="Z2201" s="19">
        <v>0</v>
      </c>
      <c r="AA2201" s="15">
        <v>0</v>
      </c>
      <c r="AB2201" s="15" t="s">
        <v>35</v>
      </c>
    </row>
    <row r="2202">
      <c r="A2202" s="15">
        <v>2198</v>
      </c>
      <c r="B2202" s="15" t="s">
        <v>343</v>
      </c>
      <c r="C2202" s="15" t="s">
        <v>344</v>
      </c>
      <c r="D2202" s="15" t="s">
        <v>89</v>
      </c>
      <c r="E2202" s="15" t="s">
        <v>90</v>
      </c>
      <c r="F2202" s="15" t="s">
        <v>35</v>
      </c>
      <c r="G2202" s="15" t="s">
        <v>74</v>
      </c>
      <c r="H2202" s="15" t="s">
        <v>11479</v>
      </c>
      <c r="I2202" s="15" t="s">
        <v>11480</v>
      </c>
      <c r="J2202" s="15" t="s">
        <v>11481</v>
      </c>
      <c r="K2202" s="15" t="s">
        <v>361</v>
      </c>
      <c r="L2202" s="15" t="s">
        <v>362</v>
      </c>
      <c r="M2202" s="15" t="s">
        <v>1362</v>
      </c>
      <c r="N2202" s="15" t="s">
        <v>1363</v>
      </c>
      <c r="O2202" s="15" t="s">
        <v>82</v>
      </c>
      <c r="P2202" s="15" t="s">
        <v>1364</v>
      </c>
      <c r="Q2202" s="15" t="s">
        <v>1365</v>
      </c>
      <c r="R2202" s="16">
        <v>44329</v>
      </c>
      <c r="S2202" s="17" t="s">
        <v>70</v>
      </c>
      <c r="T2202" s="20">
        <f>HYPERLINK("https://vnm.spiral.com.vn//uploaded/20210513/ac8048c6-5386-437b-bff4-414bdf40fc68.JPEG","07:55:53")</f>
      </c>
      <c r="U2202" s="20">
        <f>HYPERLINK("https://vnm.spiral.com.vn//uploaded/20210513/d2c535e1-7056-4c89-ba8e-47313dfbec49.JPEG","11:16:47")</f>
      </c>
      <c r="V2202" s="18">
        <v>0.13951388888888888</v>
      </c>
      <c r="W2202" s="15" t="s">
        <v>11482</v>
      </c>
      <c r="X2202" s="15" t="s">
        <v>11483</v>
      </c>
      <c r="Y2202" s="15" t="s">
        <v>35</v>
      </c>
      <c r="Z2202" s="19">
        <v>0</v>
      </c>
      <c r="AA2202" s="15">
        <v>0</v>
      </c>
      <c r="AB2202" s="15" t="s">
        <v>35</v>
      </c>
    </row>
    <row r="2203">
      <c r="A2203" s="15">
        <v>2199</v>
      </c>
      <c r="B2203" s="15" t="s">
        <v>87</v>
      </c>
      <c r="C2203" s="15" t="s">
        <v>88</v>
      </c>
      <c r="D2203" s="15" t="s">
        <v>115</v>
      </c>
      <c r="E2203" s="15" t="s">
        <v>116</v>
      </c>
      <c r="F2203" s="15" t="s">
        <v>35</v>
      </c>
      <c r="G2203" s="15" t="s">
        <v>74</v>
      </c>
      <c r="H2203" s="15" t="s">
        <v>11484</v>
      </c>
      <c r="I2203" s="15" t="s">
        <v>11485</v>
      </c>
      <c r="J2203" s="15" t="s">
        <v>11486</v>
      </c>
      <c r="K2203" s="15" t="s">
        <v>120</v>
      </c>
      <c r="L2203" s="15" t="s">
        <v>121</v>
      </c>
      <c r="M2203" s="15" t="s">
        <v>122</v>
      </c>
      <c r="N2203" s="15" t="s">
        <v>123</v>
      </c>
      <c r="O2203" s="15" t="s">
        <v>82</v>
      </c>
      <c r="P2203" s="15" t="s">
        <v>962</v>
      </c>
      <c r="Q2203" s="15" t="s">
        <v>963</v>
      </c>
      <c r="R2203" s="16">
        <v>44329</v>
      </c>
      <c r="S2203" s="17" t="s">
        <v>70</v>
      </c>
      <c r="T2203" s="20">
        <f>HYPERLINK("https://vnm.spiral.com.vn//uploaded/20210513/d6c826ae-8565-4442-865b-cc67f5a45172.jpg","10:39:34")</f>
      </c>
      <c r="U2203" s="20">
        <f>HYPERLINK("https://vnm.spiral.com.vn//uploaded/20210513/46f0a0ca-8c4e-4918-a2fd-07614834acc0.jpg","11:16:30")</f>
      </c>
      <c r="V2203" s="18">
        <v>0.02564814814814815</v>
      </c>
      <c r="W2203" s="15" t="s">
        <v>11487</v>
      </c>
      <c r="X2203" s="15" t="s">
        <v>11488</v>
      </c>
      <c r="Y2203" s="15" t="s">
        <v>35</v>
      </c>
      <c r="Z2203" s="19">
        <v>0</v>
      </c>
      <c r="AA2203" s="15">
        <v>0</v>
      </c>
      <c r="AB2203" s="15" t="s">
        <v>35</v>
      </c>
    </row>
    <row r="2204">
      <c r="A2204" s="15">
        <v>2200</v>
      </c>
      <c r="B2204" s="15" t="s">
        <v>87</v>
      </c>
      <c r="C2204" s="15" t="s">
        <v>88</v>
      </c>
      <c r="D2204" s="15" t="s">
        <v>135</v>
      </c>
      <c r="E2204" s="15" t="s">
        <v>116</v>
      </c>
      <c r="F2204" s="15" t="s">
        <v>35</v>
      </c>
      <c r="G2204" s="15" t="s">
        <v>74</v>
      </c>
      <c r="H2204" s="15" t="s">
        <v>11489</v>
      </c>
      <c r="I2204" s="15" t="s">
        <v>11490</v>
      </c>
      <c r="J2204" s="15" t="s">
        <v>11491</v>
      </c>
      <c r="K2204" s="15" t="s">
        <v>139</v>
      </c>
      <c r="L2204" s="15" t="s">
        <v>140</v>
      </c>
      <c r="M2204" s="15" t="s">
        <v>530</v>
      </c>
      <c r="N2204" s="15" t="s">
        <v>531</v>
      </c>
      <c r="O2204" s="15" t="s">
        <v>82</v>
      </c>
      <c r="P2204" s="15" t="s">
        <v>2158</v>
      </c>
      <c r="Q2204" s="15" t="s">
        <v>2159</v>
      </c>
      <c r="R2204" s="16">
        <v>44329</v>
      </c>
      <c r="S2204" s="17" t="s">
        <v>70</v>
      </c>
      <c r="T2204" s="20">
        <f>HYPERLINK("https://vnm.spiral.com.vn//uploaded/20210513/b892357f-8069-445c-82ed-a6e842df6b89.JPEG","10:29:05")</f>
      </c>
      <c r="U2204" s="20">
        <f>HYPERLINK("https://vnm.spiral.com.vn//uploaded/20210513/7827ebec-b4fd-43fb-9692-951577cea7c4.JPEG","11:16:27")</f>
      </c>
      <c r="V2204" s="18">
        <v>0.032893518518518516</v>
      </c>
      <c r="W2204" s="15" t="s">
        <v>11492</v>
      </c>
      <c r="X2204" s="15" t="s">
        <v>11493</v>
      </c>
      <c r="Y2204" s="15" t="s">
        <v>35</v>
      </c>
      <c r="Z2204" s="19">
        <v>0</v>
      </c>
      <c r="AA2204" s="15">
        <v>0</v>
      </c>
      <c r="AB2204" s="15" t="s">
        <v>35</v>
      </c>
    </row>
    <row r="2205">
      <c r="A2205" s="15">
        <v>2201</v>
      </c>
      <c r="B2205" s="15" t="s">
        <v>61</v>
      </c>
      <c r="C2205" s="15" t="s">
        <v>303</v>
      </c>
      <c r="D2205" s="15" t="s">
        <v>135</v>
      </c>
      <c r="E2205" s="15" t="s">
        <v>116</v>
      </c>
      <c r="F2205" s="15" t="s">
        <v>35</v>
      </c>
      <c r="G2205" s="15" t="s">
        <v>74</v>
      </c>
      <c r="H2205" s="15" t="s">
        <v>11494</v>
      </c>
      <c r="I2205" s="15" t="s">
        <v>11495</v>
      </c>
      <c r="J2205" s="15" t="s">
        <v>11496</v>
      </c>
      <c r="K2205" s="15" t="s">
        <v>232</v>
      </c>
      <c r="L2205" s="15" t="s">
        <v>233</v>
      </c>
      <c r="M2205" s="15" t="s">
        <v>503</v>
      </c>
      <c r="N2205" s="15" t="s">
        <v>504</v>
      </c>
      <c r="O2205" s="15" t="s">
        <v>82</v>
      </c>
      <c r="P2205" s="15" t="s">
        <v>2063</v>
      </c>
      <c r="Q2205" s="15" t="s">
        <v>2064</v>
      </c>
      <c r="R2205" s="16">
        <v>44329</v>
      </c>
      <c r="S2205" s="17" t="s">
        <v>70</v>
      </c>
      <c r="T2205" s="20">
        <f>HYPERLINK("https://vnm.spiral.com.vn//uploaded/20210513/AB979AC9-3329-4246-A66C-0A7E7EB24ABF.jpg","10:16:47")</f>
      </c>
      <c r="U2205" s="20">
        <f>HYPERLINK("https://vnm.spiral.com.vn//uploaded/20210513/E173ED14-D996-4358-860B-069DB7FC8A3E.jpg","11:16:23")</f>
      </c>
      <c r="V2205" s="18">
        <v>0.04138888888888889</v>
      </c>
      <c r="W2205" s="15" t="s">
        <v>11497</v>
      </c>
      <c r="X2205" s="15" t="s">
        <v>11498</v>
      </c>
      <c r="Y2205" s="15" t="s">
        <v>35</v>
      </c>
      <c r="Z2205" s="19">
        <v>0</v>
      </c>
      <c r="AA2205" s="15">
        <v>0</v>
      </c>
      <c r="AB2205" s="15" t="s">
        <v>35</v>
      </c>
    </row>
    <row r="2206">
      <c r="A2206" s="15">
        <v>2202</v>
      </c>
      <c r="B2206" s="15" t="s">
        <v>343</v>
      </c>
      <c r="C2206" s="15" t="s">
        <v>344</v>
      </c>
      <c r="D2206" s="15" t="s">
        <v>1644</v>
      </c>
      <c r="E2206" s="15" t="s">
        <v>35</v>
      </c>
      <c r="F2206" s="15" t="s">
        <v>35</v>
      </c>
      <c r="G2206" s="15" t="s">
        <v>74</v>
      </c>
      <c r="H2206" s="15" t="s">
        <v>11499</v>
      </c>
      <c r="I2206" s="15" t="s">
        <v>11500</v>
      </c>
      <c r="J2206" s="15" t="s">
        <v>11501</v>
      </c>
      <c r="K2206" s="15" t="s">
        <v>584</v>
      </c>
      <c r="L2206" s="15" t="s">
        <v>585</v>
      </c>
      <c r="M2206" s="15" t="s">
        <v>827</v>
      </c>
      <c r="N2206" s="15" t="s">
        <v>828</v>
      </c>
      <c r="O2206" s="15" t="s">
        <v>82</v>
      </c>
      <c r="P2206" s="15" t="s">
        <v>2717</v>
      </c>
      <c r="Q2206" s="15" t="s">
        <v>2718</v>
      </c>
      <c r="R2206" s="16">
        <v>44329</v>
      </c>
      <c r="S2206" s="17" t="s">
        <v>70</v>
      </c>
      <c r="T2206" s="20">
        <f>HYPERLINK("https://vnm.spiral.com.vn//uploaded/20210513/EBEFB095-AF3D-4C7C-82B0-7F2F90949268.jpg","10:55:01")</f>
      </c>
      <c r="U2206" s="20">
        <f>HYPERLINK("https://vnm.spiral.com.vn//uploaded/20210513/13CE0D11-36FA-434A-A811-9271481A07CF.jpg","11:16:13")</f>
      </c>
      <c r="V2206" s="18">
        <v>0.014722222222222222</v>
      </c>
      <c r="W2206" s="15" t="s">
        <v>11502</v>
      </c>
      <c r="X2206" s="15" t="s">
        <v>11503</v>
      </c>
      <c r="Y2206" s="15" t="s">
        <v>35</v>
      </c>
      <c r="Z2206" s="19">
        <v>0</v>
      </c>
      <c r="AA2206" s="15">
        <v>0</v>
      </c>
      <c r="AB2206" s="15" t="s">
        <v>35</v>
      </c>
    </row>
    <row r="2207">
      <c r="A2207" s="15">
        <v>2203</v>
      </c>
      <c r="B2207" s="15" t="s">
        <v>103</v>
      </c>
      <c r="C2207" s="15" t="s">
        <v>186</v>
      </c>
      <c r="D2207" s="15" t="s">
        <v>432</v>
      </c>
      <c r="E2207" s="15" t="s">
        <v>116</v>
      </c>
      <c r="F2207" s="15" t="s">
        <v>35</v>
      </c>
      <c r="G2207" s="15" t="s">
        <v>74</v>
      </c>
      <c r="H2207" s="15" t="s">
        <v>11504</v>
      </c>
      <c r="I2207" s="15" t="s">
        <v>11505</v>
      </c>
      <c r="J2207" s="15" t="s">
        <v>11506</v>
      </c>
      <c r="K2207" s="15" t="s">
        <v>436</v>
      </c>
      <c r="L2207" s="15" t="s">
        <v>437</v>
      </c>
      <c r="M2207" s="15" t="s">
        <v>438</v>
      </c>
      <c r="N2207" s="15" t="s">
        <v>439</v>
      </c>
      <c r="O2207" s="15" t="s">
        <v>82</v>
      </c>
      <c r="P2207" s="15" t="s">
        <v>1886</v>
      </c>
      <c r="Q2207" s="15" t="s">
        <v>1887</v>
      </c>
      <c r="R2207" s="16">
        <v>44329</v>
      </c>
      <c r="S2207" s="17" t="s">
        <v>70</v>
      </c>
      <c r="T2207" s="20">
        <f>HYPERLINK("https://vnm.spiral.com.vn//uploaded/20210513/721b863f-37b5-4e97-b3d1-f5b616b3eddb.JPEG","09:23:44")</f>
      </c>
      <c r="U2207" s="20">
        <f>HYPERLINK("https://vnm.spiral.com.vn//uploaded/20210513/6fb97462-5ce2-4d2d-8852-d1a7afc6f95a.JPEG","11:16:11")</f>
      </c>
      <c r="V2207" s="18">
        <v>0.07809027777777777</v>
      </c>
      <c r="W2207" s="15" t="s">
        <v>11507</v>
      </c>
      <c r="X2207" s="15" t="s">
        <v>11508</v>
      </c>
      <c r="Y2207" s="15" t="s">
        <v>35</v>
      </c>
      <c r="Z2207" s="19">
        <v>0</v>
      </c>
      <c r="AA2207" s="15">
        <v>0</v>
      </c>
      <c r="AB2207" s="15" t="s">
        <v>35</v>
      </c>
    </row>
    <row r="2208">
      <c r="A2208" s="15">
        <v>2204</v>
      </c>
      <c r="B2208" s="15" t="s">
        <v>87</v>
      </c>
      <c r="C2208" s="15" t="s">
        <v>88</v>
      </c>
      <c r="D2208" s="15" t="s">
        <v>35</v>
      </c>
      <c r="E2208" s="15" t="s">
        <v>35</v>
      </c>
      <c r="F2208" s="15" t="s">
        <v>35</v>
      </c>
      <c r="G2208" s="15" t="s">
        <v>74</v>
      </c>
      <c r="H2208" s="15" t="s">
        <v>11509</v>
      </c>
      <c r="I2208" s="15" t="s">
        <v>11510</v>
      </c>
      <c r="J2208" s="15" t="s">
        <v>11511</v>
      </c>
      <c r="K2208" s="15" t="s">
        <v>190</v>
      </c>
      <c r="L2208" s="15" t="s">
        <v>191</v>
      </c>
      <c r="M2208" s="15" t="s">
        <v>888</v>
      </c>
      <c r="N2208" s="15" t="s">
        <v>889</v>
      </c>
      <c r="O2208" s="15" t="s">
        <v>98</v>
      </c>
      <c r="P2208" s="15" t="s">
        <v>890</v>
      </c>
      <c r="Q2208" s="15" t="s">
        <v>891</v>
      </c>
      <c r="R2208" s="16">
        <v>44329</v>
      </c>
      <c r="S2208" s="17" t="s">
        <v>35</v>
      </c>
      <c r="T2208" s="20">
        <f>HYPERLINK("https://vnm.spiral.com.vn//uploaded/20210513/122CF84C-80F0-4F32-893F-FD770CEF344E.jpg","11:01:49")</f>
      </c>
      <c r="U2208" s="20">
        <f>HYPERLINK("https://vnm.spiral.com.vn//uploaded/20210513/2E247F11-C9AE-4C83-AF07-371D250F1B16.jpg","11:16:08")</f>
      </c>
      <c r="V2208" s="18">
        <v>0.009942129629629629</v>
      </c>
      <c r="W2208" s="15" t="s">
        <v>11512</v>
      </c>
      <c r="X2208" s="15" t="s">
        <v>11513</v>
      </c>
      <c r="Y2208" s="15" t="s">
        <v>35</v>
      </c>
      <c r="Z2208" s="19">
        <v>0</v>
      </c>
      <c r="AA2208" s="15">
        <v>0</v>
      </c>
      <c r="AB2208" s="15" t="s">
        <v>35</v>
      </c>
    </row>
    <row r="2209">
      <c r="A2209" s="15">
        <v>2205</v>
      </c>
      <c r="B2209" s="15" t="s">
        <v>87</v>
      </c>
      <c r="C2209" s="15" t="s">
        <v>88</v>
      </c>
      <c r="D2209" s="15" t="s">
        <v>610</v>
      </c>
      <c r="E2209" s="15" t="s">
        <v>90</v>
      </c>
      <c r="F2209" s="15" t="s">
        <v>35</v>
      </c>
      <c r="G2209" s="15" t="s">
        <v>74</v>
      </c>
      <c r="H2209" s="15" t="s">
        <v>11514</v>
      </c>
      <c r="I2209" s="15" t="s">
        <v>11515</v>
      </c>
      <c r="J2209" s="15" t="s">
        <v>11516</v>
      </c>
      <c r="K2209" s="15" t="s">
        <v>614</v>
      </c>
      <c r="L2209" s="15" t="s">
        <v>615</v>
      </c>
      <c r="M2209" s="15" t="s">
        <v>616</v>
      </c>
      <c r="N2209" s="15" t="s">
        <v>617</v>
      </c>
      <c r="O2209" s="15" t="s">
        <v>82</v>
      </c>
      <c r="P2209" s="15" t="s">
        <v>656</v>
      </c>
      <c r="Q2209" s="15" t="s">
        <v>657</v>
      </c>
      <c r="R2209" s="16">
        <v>44329</v>
      </c>
      <c r="S2209" s="17" t="s">
        <v>70</v>
      </c>
      <c r="T2209" s="20">
        <f>HYPERLINK("https://vnm.spiral.com.vn//uploaded/20210513/3ef11bf2-6b45-4d13-a4dc-faefc58373fc.JPEG","10:51:50")</f>
      </c>
      <c r="U2209" s="20">
        <f>HYPERLINK("https://vnm.spiral.com.vn//uploaded/20210513/c187bafa-ada9-4c8c-9f8f-1263ad5c73d8.JPEG","11:15:38")</f>
      </c>
      <c r="V2209" s="18">
        <v>0.016527777777777777</v>
      </c>
      <c r="W2209" s="15" t="s">
        <v>11517</v>
      </c>
      <c r="X2209" s="15" t="s">
        <v>11518</v>
      </c>
      <c r="Y2209" s="15" t="s">
        <v>35</v>
      </c>
      <c r="Z2209" s="19">
        <v>0</v>
      </c>
      <c r="AA2209" s="15">
        <v>0</v>
      </c>
      <c r="AB2209" s="15" t="s">
        <v>35</v>
      </c>
    </row>
    <row r="2210">
      <c r="A2210" s="15">
        <v>2206</v>
      </c>
      <c r="B2210" s="15" t="s">
        <v>87</v>
      </c>
      <c r="C2210" s="15" t="s">
        <v>88</v>
      </c>
      <c r="D2210" s="15" t="s">
        <v>35</v>
      </c>
      <c r="E2210" s="15" t="s">
        <v>35</v>
      </c>
      <c r="F2210" s="15" t="s">
        <v>35</v>
      </c>
      <c r="G2210" s="15" t="s">
        <v>74</v>
      </c>
      <c r="H2210" s="15" t="s">
        <v>11519</v>
      </c>
      <c r="I2210" s="15" t="s">
        <v>11520</v>
      </c>
      <c r="J2210" s="15" t="s">
        <v>11521</v>
      </c>
      <c r="K2210" s="15" t="s">
        <v>888</v>
      </c>
      <c r="L2210" s="15" t="s">
        <v>889</v>
      </c>
      <c r="M2210" s="15" t="s">
        <v>1666</v>
      </c>
      <c r="N2210" s="15" t="s">
        <v>1667</v>
      </c>
      <c r="O2210" s="15" t="s">
        <v>82</v>
      </c>
      <c r="P2210" s="15" t="s">
        <v>1668</v>
      </c>
      <c r="Q2210" s="15" t="s">
        <v>1669</v>
      </c>
      <c r="R2210" s="16">
        <v>44329</v>
      </c>
      <c r="S2210" s="17" t="s">
        <v>70</v>
      </c>
      <c r="T2210" s="20">
        <f>HYPERLINK("https://vnm.spiral.com.vn//uploaded/20210513/3EA01099-67E7-4960-BD5B-6A599BE9C647.jpg","10:45:55")</f>
      </c>
      <c r="U2210" s="20">
        <f>HYPERLINK("https://vnm.spiral.com.vn//uploaded/20210513/A47283AA-1980-406E-BF02-25120222B0AD.jpg","11:15:12")</f>
      </c>
      <c r="V2210" s="18">
        <v>0.020335648148148148</v>
      </c>
      <c r="W2210" s="15" t="s">
        <v>11522</v>
      </c>
      <c r="X2210" s="15" t="s">
        <v>11523</v>
      </c>
      <c r="Y2210" s="15" t="s">
        <v>35</v>
      </c>
      <c r="Z2210" s="19">
        <v>0</v>
      </c>
      <c r="AA2210" s="15">
        <v>0</v>
      </c>
      <c r="AB2210" s="15" t="s">
        <v>35</v>
      </c>
    </row>
    <row r="2211">
      <c r="A2211" s="15">
        <v>2207</v>
      </c>
      <c r="B2211" s="15" t="s">
        <v>33</v>
      </c>
      <c r="C2211" s="15" t="s">
        <v>951</v>
      </c>
      <c r="D2211" s="15" t="s">
        <v>35</v>
      </c>
      <c r="E2211" s="15" t="s">
        <v>35</v>
      </c>
      <c r="F2211" s="15" t="s">
        <v>35</v>
      </c>
      <c r="G2211" s="15" t="s">
        <v>36</v>
      </c>
      <c r="H2211" s="15" t="s">
        <v>7684</v>
      </c>
      <c r="I2211" s="15" t="s">
        <v>7685</v>
      </c>
      <c r="J2211" s="15" t="s">
        <v>7686</v>
      </c>
      <c r="K2211" s="15" t="s">
        <v>40</v>
      </c>
      <c r="L2211" s="15" t="s">
        <v>41</v>
      </c>
      <c r="M2211" s="15" t="s">
        <v>42</v>
      </c>
      <c r="N2211" s="15" t="s">
        <v>43</v>
      </c>
      <c r="O2211" s="15" t="s">
        <v>44</v>
      </c>
      <c r="P2211" s="15" t="s">
        <v>7687</v>
      </c>
      <c r="Q2211" s="15" t="s">
        <v>7688</v>
      </c>
      <c r="R2211" s="16">
        <v>44329</v>
      </c>
      <c r="S2211" s="17" t="s">
        <v>8968</v>
      </c>
      <c r="T2211" s="20">
        <f>HYPERLINK("https://vnm.spiral.com.vn//uploaded/20210513/13acf1eb-9ebf-4acd-a78a-1faa31f09d6d.JPEG","06:59:06")</f>
      </c>
      <c r="U2211" s="20">
        <f>HYPERLINK("https://vnm.spiral.com.vn//uploaded/20210513/57e1a22d-d9c0-4aa2-a429-6b32679e9208.JPEG","11:14:30")</f>
      </c>
      <c r="V2211" s="18">
        <v>0.1773611111111111</v>
      </c>
      <c r="W2211" s="15" t="s">
        <v>11524</v>
      </c>
      <c r="X2211" s="15" t="s">
        <v>11525</v>
      </c>
      <c r="Y2211" s="15" t="s">
        <v>35</v>
      </c>
      <c r="Z2211" s="19">
        <v>0</v>
      </c>
      <c r="AA2211" s="15">
        <v>0</v>
      </c>
      <c r="AB2211" s="15" t="s">
        <v>35</v>
      </c>
    </row>
    <row r="2212">
      <c r="A2212" s="15">
        <v>2208</v>
      </c>
      <c r="B2212" s="15" t="s">
        <v>87</v>
      </c>
      <c r="C2212" s="15" t="s">
        <v>88</v>
      </c>
      <c r="D2212" s="15" t="s">
        <v>432</v>
      </c>
      <c r="E2212" s="15" t="s">
        <v>116</v>
      </c>
      <c r="F2212" s="15" t="s">
        <v>35</v>
      </c>
      <c r="G2212" s="15" t="s">
        <v>74</v>
      </c>
      <c r="H2212" s="15" t="s">
        <v>11526</v>
      </c>
      <c r="I2212" s="15" t="s">
        <v>11527</v>
      </c>
      <c r="J2212" s="15" t="s">
        <v>11528</v>
      </c>
      <c r="K2212" s="15" t="s">
        <v>94</v>
      </c>
      <c r="L2212" s="15" t="s">
        <v>95</v>
      </c>
      <c r="M2212" s="15" t="s">
        <v>625</v>
      </c>
      <c r="N2212" s="15" t="s">
        <v>626</v>
      </c>
      <c r="O2212" s="15" t="s">
        <v>98</v>
      </c>
      <c r="P2212" s="15" t="s">
        <v>627</v>
      </c>
      <c r="Q2212" s="15" t="s">
        <v>628</v>
      </c>
      <c r="R2212" s="16">
        <v>44329</v>
      </c>
      <c r="S2212" s="17" t="s">
        <v>70</v>
      </c>
      <c r="T2212" s="20">
        <f>HYPERLINK("https://vnm.spiral.com.vn//uploaded/20210513/bc4c2360-2661-4dde-9226-0242361b590b.JPEG","10:46:45")</f>
      </c>
      <c r="U2212" s="20">
        <f>HYPERLINK("https://vnm.spiral.com.vn//uploaded/20210513/1b4defaf-3f90-4797-b024-91c37a34c9fb.JPEG","11:14:26")</f>
      </c>
      <c r="V2212" s="18">
        <v>0.019224537037037037</v>
      </c>
      <c r="W2212" s="15" t="s">
        <v>11529</v>
      </c>
      <c r="X2212" s="15" t="s">
        <v>11530</v>
      </c>
      <c r="Y2212" s="15" t="s">
        <v>35</v>
      </c>
      <c r="Z2212" s="19">
        <v>0</v>
      </c>
      <c r="AA2212" s="15">
        <v>0</v>
      </c>
      <c r="AB2212" s="15" t="s">
        <v>35</v>
      </c>
    </row>
    <row r="2213">
      <c r="A2213" s="15">
        <v>2209</v>
      </c>
      <c r="B2213" s="15" t="s">
        <v>87</v>
      </c>
      <c r="C2213" s="15" t="s">
        <v>88</v>
      </c>
      <c r="D2213" s="15" t="s">
        <v>35</v>
      </c>
      <c r="E2213" s="15" t="s">
        <v>35</v>
      </c>
      <c r="F2213" s="15" t="s">
        <v>2077</v>
      </c>
      <c r="G2213" s="15" t="s">
        <v>36</v>
      </c>
      <c r="H2213" s="15" t="s">
        <v>6239</v>
      </c>
      <c r="I2213" s="15" t="s">
        <v>6240</v>
      </c>
      <c r="J2213" s="15" t="s">
        <v>6241</v>
      </c>
      <c r="K2213" s="15" t="s">
        <v>40</v>
      </c>
      <c r="L2213" s="15" t="s">
        <v>41</v>
      </c>
      <c r="M2213" s="15" t="s">
        <v>289</v>
      </c>
      <c r="N2213" s="15" t="s">
        <v>290</v>
      </c>
      <c r="O2213" s="15" t="s">
        <v>44</v>
      </c>
      <c r="P2213" s="15" t="s">
        <v>6242</v>
      </c>
      <c r="Q2213" s="15" t="s">
        <v>6243</v>
      </c>
      <c r="R2213" s="16">
        <v>44329</v>
      </c>
      <c r="S2213" s="17" t="s">
        <v>8968</v>
      </c>
      <c r="T2213" s="20">
        <f>HYPERLINK("https://vnm.spiral.com.vn//uploaded/20210513/BF2F3646-1118-4763-A49A-DAAFE4440757.jpg","07:17:51")</f>
      </c>
      <c r="U2213" s="20">
        <f>HYPERLINK("https://vnm.spiral.com.vn//uploaded/20210513/38712112-F382-4A30-8CF4-10D2E58FAB6F.jpg","11:14:23")</f>
      </c>
      <c r="V2213" s="18">
        <v>0.16425925925925927</v>
      </c>
      <c r="W2213" s="15" t="s">
        <v>11531</v>
      </c>
      <c r="X2213" s="15" t="s">
        <v>11532</v>
      </c>
      <c r="Y2213" s="15" t="s">
        <v>35</v>
      </c>
      <c r="Z2213" s="19">
        <v>0</v>
      </c>
      <c r="AA2213" s="15">
        <v>0</v>
      </c>
      <c r="AB2213" s="15" t="s">
        <v>35</v>
      </c>
    </row>
    <row r="2214">
      <c r="A2214" s="15">
        <v>2210</v>
      </c>
      <c r="B2214" s="15" t="s">
        <v>87</v>
      </c>
      <c r="C2214" s="15" t="s">
        <v>88</v>
      </c>
      <c r="D2214" s="15" t="s">
        <v>432</v>
      </c>
      <c r="E2214" s="15" t="s">
        <v>116</v>
      </c>
      <c r="F2214" s="15" t="s">
        <v>35</v>
      </c>
      <c r="G2214" s="15" t="s">
        <v>74</v>
      </c>
      <c r="H2214" s="15" t="s">
        <v>11526</v>
      </c>
      <c r="I2214" s="15" t="s">
        <v>11527</v>
      </c>
      <c r="J2214" s="15" t="s">
        <v>11528</v>
      </c>
      <c r="K2214" s="15" t="s">
        <v>625</v>
      </c>
      <c r="L2214" s="15" t="s">
        <v>626</v>
      </c>
      <c r="M2214" s="15" t="s">
        <v>627</v>
      </c>
      <c r="N2214" s="15" t="s">
        <v>628</v>
      </c>
      <c r="O2214" s="15" t="s">
        <v>82</v>
      </c>
      <c r="P2214" s="15" t="s">
        <v>2569</v>
      </c>
      <c r="Q2214" s="15" t="s">
        <v>2570</v>
      </c>
      <c r="R2214" s="16">
        <v>44329</v>
      </c>
      <c r="S2214" s="17" t="s">
        <v>70</v>
      </c>
      <c r="T2214" s="20">
        <f>HYPERLINK("https://vnm.spiral.com.vn//uploaded/20210513/AF203531-5B10-4BA5-AB04-EB2743B59C16.jpg","10:46:09")</f>
      </c>
      <c r="U2214" s="20">
        <f>HYPERLINK("https://vnm.spiral.com.vn//uploaded/20210513/5FCFDF71-68C7-40EB-AF8A-01AE93A5E982.jpg","11:14:18")</f>
      </c>
      <c r="V2214" s="18">
        <v>0.01954861111111111</v>
      </c>
      <c r="W2214" s="15" t="s">
        <v>11533</v>
      </c>
      <c r="X2214" s="15" t="s">
        <v>11534</v>
      </c>
      <c r="Y2214" s="15" t="s">
        <v>35</v>
      </c>
      <c r="Z2214" s="19">
        <v>0</v>
      </c>
      <c r="AA2214" s="15">
        <v>0</v>
      </c>
      <c r="AB2214" s="15" t="s">
        <v>35</v>
      </c>
    </row>
    <row r="2215">
      <c r="A2215" s="15">
        <v>2211</v>
      </c>
      <c r="B2215" s="15" t="s">
        <v>87</v>
      </c>
      <c r="C2215" s="15" t="s">
        <v>88</v>
      </c>
      <c r="D2215" s="15" t="s">
        <v>35</v>
      </c>
      <c r="E2215" s="15" t="s">
        <v>35</v>
      </c>
      <c r="F2215" s="15" t="s">
        <v>1191</v>
      </c>
      <c r="G2215" s="15" t="s">
        <v>36</v>
      </c>
      <c r="H2215" s="15" t="s">
        <v>11535</v>
      </c>
      <c r="I2215" s="15" t="s">
        <v>11536</v>
      </c>
      <c r="J2215" s="15" t="s">
        <v>11537</v>
      </c>
      <c r="K2215" s="15" t="s">
        <v>40</v>
      </c>
      <c r="L2215" s="15" t="s">
        <v>41</v>
      </c>
      <c r="M2215" s="15" t="s">
        <v>1195</v>
      </c>
      <c r="N2215" s="15" t="s">
        <v>1196</v>
      </c>
      <c r="O2215" s="15" t="s">
        <v>44</v>
      </c>
      <c r="P2215" s="15" t="s">
        <v>5222</v>
      </c>
      <c r="Q2215" s="15" t="s">
        <v>5223</v>
      </c>
      <c r="R2215" s="16">
        <v>44329</v>
      </c>
      <c r="S2215" s="17" t="s">
        <v>8968</v>
      </c>
      <c r="T2215" s="20">
        <f>HYPERLINK("https://vnm.spiral.com.vn//uploaded/20210513/26F564CE-E652-4412-AB7F-3AB82917F81B.jpg","06:52:28")</f>
      </c>
      <c r="U2215" s="20">
        <f>HYPERLINK("https://vnm.spiral.com.vn//uploaded/20210513/1FBCAED4-C5C9-4A1B-9601-90869F489DEA.jpg","11:14:16")</f>
      </c>
      <c r="V2215" s="18">
        <v>0.18180555555555555</v>
      </c>
      <c r="W2215" s="15" t="s">
        <v>11538</v>
      </c>
      <c r="X2215" s="15" t="s">
        <v>11539</v>
      </c>
      <c r="Y2215" s="15" t="s">
        <v>35</v>
      </c>
      <c r="Z2215" s="19">
        <v>0</v>
      </c>
      <c r="AA2215" s="15">
        <v>0</v>
      </c>
      <c r="AB2215" s="15" t="s">
        <v>35</v>
      </c>
    </row>
    <row r="2216">
      <c r="A2216" s="15">
        <v>2212</v>
      </c>
      <c r="B2216" s="15" t="s">
        <v>87</v>
      </c>
      <c r="C2216" s="15" t="s">
        <v>88</v>
      </c>
      <c r="D2216" s="15" t="s">
        <v>35</v>
      </c>
      <c r="E2216" s="15" t="s">
        <v>35</v>
      </c>
      <c r="F2216" s="15" t="s">
        <v>35</v>
      </c>
      <c r="G2216" s="15" t="s">
        <v>74</v>
      </c>
      <c r="H2216" s="15" t="s">
        <v>11540</v>
      </c>
      <c r="I2216" s="15" t="s">
        <v>11541</v>
      </c>
      <c r="J2216" s="15" t="s">
        <v>11542</v>
      </c>
      <c r="K2216" s="15" t="s">
        <v>888</v>
      </c>
      <c r="L2216" s="15" t="s">
        <v>889</v>
      </c>
      <c r="M2216" s="15" t="s">
        <v>924</v>
      </c>
      <c r="N2216" s="15" t="s">
        <v>925</v>
      </c>
      <c r="O2216" s="15" t="s">
        <v>82</v>
      </c>
      <c r="P2216" s="15" t="s">
        <v>1987</v>
      </c>
      <c r="Q2216" s="15" t="s">
        <v>1988</v>
      </c>
      <c r="R2216" s="16">
        <v>44329</v>
      </c>
      <c r="S2216" s="17" t="s">
        <v>70</v>
      </c>
      <c r="T2216" s="20">
        <f>HYPERLINK("https://vnm.spiral.com.vn//uploaded/20210513/fa0cc8ce-5e24-4453-94ed-4a36fb77e76e.JPEG","10:56:58")</f>
      </c>
      <c r="U2216" s="20">
        <f>HYPERLINK("https://vnm.spiral.com.vn//uploaded/20210513/8d5ff8e4-e1e6-4568-99b0-8c3f64ba3b62.JPEG","11:14:09")</f>
      </c>
      <c r="V2216" s="18">
        <v>0.01193287037037037</v>
      </c>
      <c r="W2216" s="15" t="s">
        <v>11543</v>
      </c>
      <c r="X2216" s="15" t="s">
        <v>11544</v>
      </c>
      <c r="Y2216" s="15" t="s">
        <v>35</v>
      </c>
      <c r="Z2216" s="19">
        <v>0</v>
      </c>
      <c r="AA2216" s="15">
        <v>0</v>
      </c>
      <c r="AB2216" s="15" t="s">
        <v>35</v>
      </c>
    </row>
    <row r="2217">
      <c r="A2217" s="15">
        <v>2213</v>
      </c>
      <c r="B2217" s="15" t="s">
        <v>343</v>
      </c>
      <c r="C2217" s="15" t="s">
        <v>344</v>
      </c>
      <c r="D2217" s="15" t="s">
        <v>432</v>
      </c>
      <c r="E2217" s="15" t="s">
        <v>116</v>
      </c>
      <c r="F2217" s="15" t="s">
        <v>35</v>
      </c>
      <c r="G2217" s="15" t="s">
        <v>74</v>
      </c>
      <c r="H2217" s="15" t="s">
        <v>11545</v>
      </c>
      <c r="I2217" s="15" t="s">
        <v>11546</v>
      </c>
      <c r="J2217" s="15" t="s">
        <v>11547</v>
      </c>
      <c r="K2217" s="15" t="s">
        <v>1168</v>
      </c>
      <c r="L2217" s="15" t="s">
        <v>1169</v>
      </c>
      <c r="M2217" s="15" t="s">
        <v>1170</v>
      </c>
      <c r="N2217" s="15" t="s">
        <v>1171</v>
      </c>
      <c r="O2217" s="15" t="s">
        <v>82</v>
      </c>
      <c r="P2217" s="15" t="s">
        <v>1172</v>
      </c>
      <c r="Q2217" s="15" t="s">
        <v>1173</v>
      </c>
      <c r="R2217" s="16">
        <v>44329</v>
      </c>
      <c r="S2217" s="17" t="s">
        <v>70</v>
      </c>
      <c r="T2217" s="20">
        <f>HYPERLINK("https://vnm.spiral.com.vn//uploaded/20210513/17212fae-8c76-42bf-8624-dc24170d7b8f.JPEG","10:37:08")</f>
      </c>
      <c r="U2217" s="20">
        <f>HYPERLINK("https://vnm.spiral.com.vn//uploaded/20210513/7358ee96-7a11-4beb-b2c3-9015a2a62992.JPEG","11:13:21")</f>
      </c>
      <c r="V2217" s="18">
        <v>0.02515046296296296</v>
      </c>
      <c r="W2217" s="15" t="s">
        <v>11548</v>
      </c>
      <c r="X2217" s="15" t="s">
        <v>11549</v>
      </c>
      <c r="Y2217" s="15" t="s">
        <v>35</v>
      </c>
      <c r="Z2217" s="19">
        <v>0</v>
      </c>
      <c r="AA2217" s="15">
        <v>0</v>
      </c>
      <c r="AB2217" s="15" t="s">
        <v>35</v>
      </c>
    </row>
    <row r="2218">
      <c r="A2218" s="15">
        <v>2214</v>
      </c>
      <c r="B2218" s="15" t="s">
        <v>87</v>
      </c>
      <c r="C2218" s="15" t="s">
        <v>88</v>
      </c>
      <c r="D2218" s="15" t="s">
        <v>357</v>
      </c>
      <c r="E2218" s="15" t="s">
        <v>90</v>
      </c>
      <c r="F2218" s="15" t="s">
        <v>35</v>
      </c>
      <c r="G2218" s="15" t="s">
        <v>74</v>
      </c>
      <c r="H2218" s="15" t="s">
        <v>11550</v>
      </c>
      <c r="I2218" s="15" t="s">
        <v>11551</v>
      </c>
      <c r="J2218" s="15" t="s">
        <v>11552</v>
      </c>
      <c r="K2218" s="15" t="s">
        <v>1570</v>
      </c>
      <c r="L2218" s="15" t="s">
        <v>1571</v>
      </c>
      <c r="M2218" s="15" t="s">
        <v>2024</v>
      </c>
      <c r="N2218" s="15" t="s">
        <v>2025</v>
      </c>
      <c r="O2218" s="15" t="s">
        <v>82</v>
      </c>
      <c r="P2218" s="15" t="s">
        <v>2172</v>
      </c>
      <c r="Q2218" s="15" t="s">
        <v>2173</v>
      </c>
      <c r="R2218" s="16">
        <v>44329</v>
      </c>
      <c r="S2218" s="17" t="s">
        <v>70</v>
      </c>
      <c r="T2218" s="20">
        <f>HYPERLINK("https://vnm.spiral.com.vn//uploaded/20210513/53adcb44-048f-47be-8980-e707dbb4fcbe.JPEG","10:24:11")</f>
      </c>
      <c r="U2218" s="20">
        <f>HYPERLINK("https://vnm.spiral.com.vn//uploaded/20210513/4f8b2065-3529-477c-9ab7-8dcc7530705e.JPEG","11:13:00")</f>
      </c>
      <c r="V2218" s="18">
        <v>0.033900462962962966</v>
      </c>
      <c r="W2218" s="15" t="s">
        <v>11553</v>
      </c>
      <c r="X2218" s="15" t="s">
        <v>11554</v>
      </c>
      <c r="Y2218" s="15" t="s">
        <v>35</v>
      </c>
      <c r="Z2218" s="19">
        <v>0</v>
      </c>
      <c r="AA2218" s="15">
        <v>0</v>
      </c>
      <c r="AB2218" s="15" t="s">
        <v>35</v>
      </c>
    </row>
    <row r="2219">
      <c r="A2219" s="15">
        <v>2215</v>
      </c>
      <c r="B2219" s="15" t="s">
        <v>343</v>
      </c>
      <c r="C2219" s="15" t="s">
        <v>344</v>
      </c>
      <c r="D2219" s="15" t="s">
        <v>878</v>
      </c>
      <c r="E2219" s="15" t="s">
        <v>35</v>
      </c>
      <c r="F2219" s="15" t="s">
        <v>35</v>
      </c>
      <c r="G2219" s="15" t="s">
        <v>74</v>
      </c>
      <c r="H2219" s="15" t="s">
        <v>11114</v>
      </c>
      <c r="I2219" s="15" t="s">
        <v>11115</v>
      </c>
      <c r="J2219" s="15" t="s">
        <v>11116</v>
      </c>
      <c r="K2219" s="15" t="s">
        <v>584</v>
      </c>
      <c r="L2219" s="15" t="s">
        <v>585</v>
      </c>
      <c r="M2219" s="15" t="s">
        <v>586</v>
      </c>
      <c r="N2219" s="15" t="s">
        <v>587</v>
      </c>
      <c r="O2219" s="15" t="s">
        <v>82</v>
      </c>
      <c r="P2219" s="15" t="s">
        <v>2312</v>
      </c>
      <c r="Q2219" s="15" t="s">
        <v>2313</v>
      </c>
      <c r="R2219" s="16">
        <v>44329</v>
      </c>
      <c r="S2219" s="17" t="s">
        <v>70</v>
      </c>
      <c r="T2219" s="20">
        <f>HYPERLINK("https://vnm.spiral.com.vn//uploaded/20210513/2a3bf26a-551a-48f2-b0c8-df6399f416c4.JPEG","09:55:49")</f>
      </c>
      <c r="U2219" s="20">
        <f>HYPERLINK("https://vnm.spiral.com.vn//uploaded/20210513/018247f7-0c81-4f93-b02d-9ec51b96feca.JPEG","11:12:41")</f>
      </c>
      <c r="V2219" s="18">
        <v>0.05337962962962963</v>
      </c>
      <c r="W2219" s="15" t="s">
        <v>11555</v>
      </c>
      <c r="X2219" s="15" t="s">
        <v>11556</v>
      </c>
      <c r="Y2219" s="15" t="s">
        <v>35</v>
      </c>
      <c r="Z2219" s="19">
        <v>0</v>
      </c>
      <c r="AA2219" s="15">
        <v>0</v>
      </c>
      <c r="AB2219" s="15" t="s">
        <v>35</v>
      </c>
    </row>
    <row r="2220">
      <c r="A2220" s="15">
        <v>2216</v>
      </c>
      <c r="B2220" s="15" t="s">
        <v>343</v>
      </c>
      <c r="C2220" s="15" t="s">
        <v>344</v>
      </c>
      <c r="D2220" s="15" t="s">
        <v>432</v>
      </c>
      <c r="E2220" s="15" t="s">
        <v>116</v>
      </c>
      <c r="F2220" s="15" t="s">
        <v>35</v>
      </c>
      <c r="G2220" s="15" t="s">
        <v>74</v>
      </c>
      <c r="H2220" s="15" t="s">
        <v>11557</v>
      </c>
      <c r="I2220" s="15" t="s">
        <v>11558</v>
      </c>
      <c r="J2220" s="15" t="s">
        <v>11559</v>
      </c>
      <c r="K2220" s="15" t="s">
        <v>512</v>
      </c>
      <c r="L2220" s="15" t="s">
        <v>513</v>
      </c>
      <c r="M2220" s="15" t="s">
        <v>514</v>
      </c>
      <c r="N2220" s="15" t="s">
        <v>515</v>
      </c>
      <c r="O2220" s="15" t="s">
        <v>82</v>
      </c>
      <c r="P2220" s="15" t="s">
        <v>2342</v>
      </c>
      <c r="Q2220" s="15" t="s">
        <v>2343</v>
      </c>
      <c r="R2220" s="16">
        <v>44329</v>
      </c>
      <c r="S2220" s="17" t="s">
        <v>70</v>
      </c>
      <c r="T2220" s="20">
        <f>HYPERLINK("https://vnm.spiral.com.vn//uploaded/20210513/2b24b701-4c57-4334-9631-81e2d02a755c.JPEG","09:35:06")</f>
      </c>
      <c r="U2220" s="20">
        <f>HYPERLINK("https://vnm.spiral.com.vn//uploaded/20210513/5f412ebe-8114-4c1e-a227-6fef2599d188.JPEG","11:12:14")</f>
      </c>
      <c r="V2220" s="18">
        <v>0.06745370370370371</v>
      </c>
      <c r="W2220" s="15" t="s">
        <v>11560</v>
      </c>
      <c r="X2220" s="15" t="s">
        <v>11561</v>
      </c>
      <c r="Y2220" s="15" t="s">
        <v>35</v>
      </c>
      <c r="Z2220" s="19">
        <v>0</v>
      </c>
      <c r="AA2220" s="15">
        <v>0</v>
      </c>
      <c r="AB2220" s="15" t="s">
        <v>35</v>
      </c>
    </row>
    <row r="2221">
      <c r="A2221" s="15">
        <v>2217</v>
      </c>
      <c r="B2221" s="15" t="s">
        <v>61</v>
      </c>
      <c r="C2221" s="15" t="s">
        <v>1106</v>
      </c>
      <c r="D2221" s="15" t="s">
        <v>35</v>
      </c>
      <c r="E2221" s="15" t="s">
        <v>35</v>
      </c>
      <c r="F2221" s="15" t="s">
        <v>1479</v>
      </c>
      <c r="G2221" s="15" t="s">
        <v>36</v>
      </c>
      <c r="H2221" s="15" t="s">
        <v>6447</v>
      </c>
      <c r="I2221" s="15" t="s">
        <v>6448</v>
      </c>
      <c r="J2221" s="15" t="s">
        <v>6449</v>
      </c>
      <c r="K2221" s="15" t="s">
        <v>40</v>
      </c>
      <c r="L2221" s="15" t="s">
        <v>41</v>
      </c>
      <c r="M2221" s="15" t="s">
        <v>66</v>
      </c>
      <c r="N2221" s="15" t="s">
        <v>67</v>
      </c>
      <c r="O2221" s="15" t="s">
        <v>44</v>
      </c>
      <c r="P2221" s="15" t="s">
        <v>6450</v>
      </c>
      <c r="Q2221" s="15" t="s">
        <v>6451</v>
      </c>
      <c r="R2221" s="16">
        <v>44329</v>
      </c>
      <c r="S2221" s="17" t="s">
        <v>8968</v>
      </c>
      <c r="T2221" s="20">
        <f>HYPERLINK("https://vnm.spiral.com.vn//uploaded/20210513/9350C950-98CA-4911-B16B-7C17B3F883DB.jpg","06:32:02")</f>
      </c>
      <c r="U2221" s="20">
        <f>HYPERLINK("https://vnm.spiral.com.vn//uploaded/20210513/F1C43C2C-0D74-483D-9619-BE44CD39AC47.jpg","11:11:52")</f>
      </c>
      <c r="V2221" s="18">
        <v>0.1943287037037037</v>
      </c>
      <c r="W2221" s="15" t="s">
        <v>11562</v>
      </c>
      <c r="X2221" s="15" t="s">
        <v>11563</v>
      </c>
      <c r="Y2221" s="15" t="s">
        <v>35</v>
      </c>
      <c r="Z2221" s="19">
        <v>0</v>
      </c>
      <c r="AA2221" s="15">
        <v>0</v>
      </c>
      <c r="AB2221" s="15" t="s">
        <v>35</v>
      </c>
    </row>
    <row r="2222">
      <c r="A2222" s="15">
        <v>2218</v>
      </c>
      <c r="B2222" s="15" t="s">
        <v>61</v>
      </c>
      <c r="C2222" s="15" t="s">
        <v>1106</v>
      </c>
      <c r="D2222" s="15" t="s">
        <v>135</v>
      </c>
      <c r="E2222" s="15" t="s">
        <v>116</v>
      </c>
      <c r="F2222" s="15" t="s">
        <v>35</v>
      </c>
      <c r="G2222" s="15" t="s">
        <v>74</v>
      </c>
      <c r="H2222" s="15" t="s">
        <v>11564</v>
      </c>
      <c r="I2222" s="15" t="s">
        <v>11565</v>
      </c>
      <c r="J2222" s="15" t="s">
        <v>11566</v>
      </c>
      <c r="K2222" s="15" t="s">
        <v>154</v>
      </c>
      <c r="L2222" s="15" t="s">
        <v>155</v>
      </c>
      <c r="M2222" s="15" t="s">
        <v>2458</v>
      </c>
      <c r="N2222" s="15" t="s">
        <v>2459</v>
      </c>
      <c r="O2222" s="15" t="s">
        <v>82</v>
      </c>
      <c r="P2222" s="15" t="s">
        <v>6009</v>
      </c>
      <c r="Q2222" s="15" t="s">
        <v>6010</v>
      </c>
      <c r="R2222" s="16">
        <v>44329</v>
      </c>
      <c r="S2222" s="17" t="s">
        <v>70</v>
      </c>
      <c r="T2222" s="20">
        <f>HYPERLINK("https://vnm.spiral.com.vn//uploaded/20210513/e627b621-3659-44e2-8ac9-31d6d38bd99e.JPEG","10:42:01")</f>
      </c>
      <c r="U2222" s="20">
        <f>HYPERLINK("https://vnm.spiral.com.vn//uploaded/20210513/b3bc9520-c119-46f9-bcc5-d754beedc852.JPEG","11:11:27")</f>
      </c>
      <c r="V2222" s="18">
        <v>0.020439814814814813</v>
      </c>
      <c r="W2222" s="15" t="s">
        <v>11567</v>
      </c>
      <c r="X2222" s="15" t="s">
        <v>11568</v>
      </c>
      <c r="Y2222" s="15" t="s">
        <v>35</v>
      </c>
      <c r="Z2222" s="19">
        <v>0</v>
      </c>
      <c r="AA2222" s="15">
        <v>0</v>
      </c>
      <c r="AB2222" s="15" t="s">
        <v>35</v>
      </c>
    </row>
    <row r="2223">
      <c r="A2223" s="15">
        <v>2219</v>
      </c>
      <c r="B2223" s="15" t="s">
        <v>61</v>
      </c>
      <c r="C2223" s="15" t="s">
        <v>398</v>
      </c>
      <c r="D2223" s="15" t="s">
        <v>35</v>
      </c>
      <c r="E2223" s="15" t="s">
        <v>35</v>
      </c>
      <c r="F2223" s="15" t="s">
        <v>6672</v>
      </c>
      <c r="G2223" s="15" t="s">
        <v>36</v>
      </c>
      <c r="H2223" s="15" t="s">
        <v>6673</v>
      </c>
      <c r="I2223" s="15" t="s">
        <v>6674</v>
      </c>
      <c r="J2223" s="15" t="s">
        <v>6675</v>
      </c>
      <c r="K2223" s="15" t="s">
        <v>40</v>
      </c>
      <c r="L2223" s="15" t="s">
        <v>41</v>
      </c>
      <c r="M2223" s="15" t="s">
        <v>66</v>
      </c>
      <c r="N2223" s="15" t="s">
        <v>67</v>
      </c>
      <c r="O2223" s="15" t="s">
        <v>44</v>
      </c>
      <c r="P2223" s="15" t="s">
        <v>6676</v>
      </c>
      <c r="Q2223" s="15" t="s">
        <v>6677</v>
      </c>
      <c r="R2223" s="16">
        <v>44329</v>
      </c>
      <c r="S2223" s="17" t="s">
        <v>8968</v>
      </c>
      <c r="T2223" s="20">
        <f>HYPERLINK("https://vnm.spiral.com.vn//uploaded/20210513/B381E51A-FFB8-4721-99C8-0A46753772F8.jpg","06:56:49")</f>
      </c>
      <c r="U2223" s="20">
        <f>HYPERLINK("https://vnm.spiral.com.vn//uploaded/20210513/44F9F3A1-95F1-4B16-94CF-60CC59448BB4.jpg","11:11:06")</f>
      </c>
      <c r="V2223" s="18">
        <v>0.17658564814814814</v>
      </c>
      <c r="W2223" s="15" t="s">
        <v>11569</v>
      </c>
      <c r="X2223" s="15" t="s">
        <v>11570</v>
      </c>
      <c r="Y2223" s="15" t="s">
        <v>35</v>
      </c>
      <c r="Z2223" s="19">
        <v>0</v>
      </c>
      <c r="AA2223" s="15">
        <v>0</v>
      </c>
      <c r="AB2223" s="15" t="s">
        <v>35</v>
      </c>
    </row>
    <row r="2224">
      <c r="A2224" s="15">
        <v>2220</v>
      </c>
      <c r="B2224" s="15" t="s">
        <v>87</v>
      </c>
      <c r="C2224" s="15" t="s">
        <v>88</v>
      </c>
      <c r="D2224" s="15" t="s">
        <v>135</v>
      </c>
      <c r="E2224" s="15" t="s">
        <v>116</v>
      </c>
      <c r="F2224" s="15" t="s">
        <v>35</v>
      </c>
      <c r="G2224" s="15" t="s">
        <v>74</v>
      </c>
      <c r="H2224" s="15" t="s">
        <v>11571</v>
      </c>
      <c r="I2224" s="15" t="s">
        <v>11572</v>
      </c>
      <c r="J2224" s="15" t="s">
        <v>11573</v>
      </c>
      <c r="K2224" s="15" t="s">
        <v>139</v>
      </c>
      <c r="L2224" s="15" t="s">
        <v>140</v>
      </c>
      <c r="M2224" s="15" t="s">
        <v>530</v>
      </c>
      <c r="N2224" s="15" t="s">
        <v>531</v>
      </c>
      <c r="O2224" s="15" t="s">
        <v>82</v>
      </c>
      <c r="P2224" s="15" t="s">
        <v>1453</v>
      </c>
      <c r="Q2224" s="15" t="s">
        <v>1454</v>
      </c>
      <c r="R2224" s="16">
        <v>44329</v>
      </c>
      <c r="S2224" s="17" t="s">
        <v>70</v>
      </c>
      <c r="T2224" s="20">
        <f>HYPERLINK("https://vnm.spiral.com.vn//uploaded/20210513/227c1955-0fd8-41f3-8163-5413831acc44.JPEG","10:18:13")</f>
      </c>
      <c r="U2224" s="20">
        <f>HYPERLINK("https://vnm.spiral.com.vn//uploaded/20210513/9da53378-d336-464f-bece-4ed59fdb71a2.JPEG","11:10:54")</f>
      </c>
      <c r="V2224" s="18">
        <v>0.036585648148148145</v>
      </c>
      <c r="W2224" s="15" t="s">
        <v>11574</v>
      </c>
      <c r="X2224" s="15" t="s">
        <v>11575</v>
      </c>
      <c r="Y2224" s="15" t="s">
        <v>35</v>
      </c>
      <c r="Z2224" s="19">
        <v>0</v>
      </c>
      <c r="AA2224" s="15">
        <v>0</v>
      </c>
      <c r="AB2224" s="15" t="s">
        <v>35</v>
      </c>
    </row>
    <row r="2225">
      <c r="A2225" s="15">
        <v>2221</v>
      </c>
      <c r="B2225" s="15" t="s">
        <v>343</v>
      </c>
      <c r="C2225" s="15" t="s">
        <v>344</v>
      </c>
      <c r="D2225" s="15" t="s">
        <v>432</v>
      </c>
      <c r="E2225" s="15" t="s">
        <v>116</v>
      </c>
      <c r="F2225" s="15" t="s">
        <v>35</v>
      </c>
      <c r="G2225" s="15" t="s">
        <v>74</v>
      </c>
      <c r="H2225" s="15" t="s">
        <v>11576</v>
      </c>
      <c r="I2225" s="15" t="s">
        <v>11577</v>
      </c>
      <c r="J2225" s="15" t="s">
        <v>11578</v>
      </c>
      <c r="K2225" s="15" t="s">
        <v>1168</v>
      </c>
      <c r="L2225" s="15" t="s">
        <v>1169</v>
      </c>
      <c r="M2225" s="15" t="s">
        <v>1170</v>
      </c>
      <c r="N2225" s="15" t="s">
        <v>1171</v>
      </c>
      <c r="O2225" s="15" t="s">
        <v>82</v>
      </c>
      <c r="P2225" s="15" t="s">
        <v>11579</v>
      </c>
      <c r="Q2225" s="15" t="s">
        <v>11580</v>
      </c>
      <c r="R2225" s="16">
        <v>44329</v>
      </c>
      <c r="S2225" s="17" t="s">
        <v>70</v>
      </c>
      <c r="T2225" s="20">
        <f>HYPERLINK("https://vnm.spiral.com.vn//uploaded/20210513/7a1b8e56-be07-45d0-a5b8-a79c41bf119c.JPEG","10:46:50")</f>
      </c>
      <c r="U2225" s="20">
        <f>HYPERLINK("https://vnm.spiral.com.vn//uploaded/20210513/298b8e92-35c2-46d5-baa5-604d7b8bd1a4.JPEG","11:10:31")</f>
      </c>
      <c r="V2225" s="18">
        <v>0.016446759259259258</v>
      </c>
      <c r="W2225" s="15" t="s">
        <v>11581</v>
      </c>
      <c r="X2225" s="15" t="s">
        <v>11582</v>
      </c>
      <c r="Y2225" s="15" t="s">
        <v>35</v>
      </c>
      <c r="Z2225" s="19">
        <v>0</v>
      </c>
      <c r="AA2225" s="15">
        <v>0</v>
      </c>
      <c r="AB2225" s="15" t="s">
        <v>35</v>
      </c>
    </row>
    <row r="2226">
      <c r="A2226" s="15">
        <v>2222</v>
      </c>
      <c r="B2226" s="15" t="s">
        <v>87</v>
      </c>
      <c r="C2226" s="15" t="s">
        <v>88</v>
      </c>
      <c r="D2226" s="15" t="s">
        <v>1910</v>
      </c>
      <c r="E2226" s="15" t="s">
        <v>1910</v>
      </c>
      <c r="F2226" s="15" t="s">
        <v>35</v>
      </c>
      <c r="G2226" s="15" t="s">
        <v>74</v>
      </c>
      <c r="H2226" s="15" t="s">
        <v>11583</v>
      </c>
      <c r="I2226" s="15" t="s">
        <v>11584</v>
      </c>
      <c r="J2226" s="15" t="s">
        <v>11585</v>
      </c>
      <c r="K2226" s="15" t="s">
        <v>888</v>
      </c>
      <c r="L2226" s="15" t="s">
        <v>889</v>
      </c>
      <c r="M2226" s="15" t="s">
        <v>1666</v>
      </c>
      <c r="N2226" s="15" t="s">
        <v>1667</v>
      </c>
      <c r="O2226" s="15" t="s">
        <v>82</v>
      </c>
      <c r="P2226" s="15" t="s">
        <v>6570</v>
      </c>
      <c r="Q2226" s="15" t="s">
        <v>6571</v>
      </c>
      <c r="R2226" s="16">
        <v>44329</v>
      </c>
      <c r="S2226" s="17" t="s">
        <v>70</v>
      </c>
      <c r="T2226" s="20">
        <f>HYPERLINK("https://vnm.spiral.com.vn//uploaded/20210513/55BADDF8-639E-4517-9985-C1753FF3604E.jpg","10:26:52")</f>
      </c>
      <c r="U2226" s="20">
        <f>HYPERLINK("https://vnm.spiral.com.vn//uploaded/20210513/9231B0EC-4C0F-4340-80AD-6BEA08EC9AB2.jpg","11:10:24")</f>
      </c>
      <c r="V2226" s="18">
        <v>0.03023148148148148</v>
      </c>
      <c r="W2226" s="15" t="s">
        <v>11586</v>
      </c>
      <c r="X2226" s="15" t="s">
        <v>11587</v>
      </c>
      <c r="Y2226" s="15" t="s">
        <v>35</v>
      </c>
      <c r="Z2226" s="19">
        <v>0</v>
      </c>
      <c r="AA2226" s="15">
        <v>0</v>
      </c>
      <c r="AB2226" s="15" t="s">
        <v>35</v>
      </c>
    </row>
    <row r="2227">
      <c r="A2227" s="15">
        <v>2223</v>
      </c>
      <c r="B2227" s="15" t="s">
        <v>343</v>
      </c>
      <c r="C2227" s="15" t="s">
        <v>344</v>
      </c>
      <c r="D2227" s="15" t="s">
        <v>878</v>
      </c>
      <c r="E2227" s="15" t="s">
        <v>35</v>
      </c>
      <c r="F2227" s="15" t="s">
        <v>35</v>
      </c>
      <c r="G2227" s="15" t="s">
        <v>74</v>
      </c>
      <c r="H2227" s="15" t="s">
        <v>4813</v>
      </c>
      <c r="I2227" s="15" t="s">
        <v>4814</v>
      </c>
      <c r="J2227" s="15" t="s">
        <v>4815</v>
      </c>
      <c r="K2227" s="15" t="s">
        <v>584</v>
      </c>
      <c r="L2227" s="15" t="s">
        <v>585</v>
      </c>
      <c r="M2227" s="15" t="s">
        <v>586</v>
      </c>
      <c r="N2227" s="15" t="s">
        <v>587</v>
      </c>
      <c r="O2227" s="15" t="s">
        <v>82</v>
      </c>
      <c r="P2227" s="15" t="s">
        <v>1385</v>
      </c>
      <c r="Q2227" s="15" t="s">
        <v>1386</v>
      </c>
      <c r="R2227" s="16">
        <v>44329</v>
      </c>
      <c r="S2227" s="17" t="s">
        <v>70</v>
      </c>
      <c r="T2227" s="20">
        <f>HYPERLINK("https://vnm.spiral.com.vn//uploaded/20210513/b48aa980-f297-4440-8c37-ba0884f2940d.JPEG","10:31:25")</f>
      </c>
      <c r="U2227" s="20">
        <f>HYPERLINK("https://vnm.spiral.com.vn//uploaded/20210513/f6846ebe-1b27-4e42-8206-d7dfb899d5b5.JPEG","11:10:23")</f>
      </c>
      <c r="V2227" s="18">
        <v>0.027060185185185184</v>
      </c>
      <c r="W2227" s="15" t="s">
        <v>11588</v>
      </c>
      <c r="X2227" s="15" t="s">
        <v>11589</v>
      </c>
      <c r="Y2227" s="15" t="s">
        <v>35</v>
      </c>
      <c r="Z2227" s="19">
        <v>0</v>
      </c>
      <c r="AA2227" s="15">
        <v>0</v>
      </c>
      <c r="AB2227" s="15" t="s">
        <v>35</v>
      </c>
    </row>
    <row r="2228">
      <c r="A2228" s="15">
        <v>2224</v>
      </c>
      <c r="B2228" s="15" t="s">
        <v>33</v>
      </c>
      <c r="C2228" s="15" t="s">
        <v>219</v>
      </c>
      <c r="D2228" s="15" t="s">
        <v>35</v>
      </c>
      <c r="E2228" s="15" t="s">
        <v>35</v>
      </c>
      <c r="F2228" s="15" t="s">
        <v>35</v>
      </c>
      <c r="G2228" s="15" t="s">
        <v>36</v>
      </c>
      <c r="H2228" s="15" t="s">
        <v>11590</v>
      </c>
      <c r="I2228" s="15" t="s">
        <v>11591</v>
      </c>
      <c r="J2228" s="15" t="s">
        <v>11592</v>
      </c>
      <c r="K2228" s="15" t="s">
        <v>40</v>
      </c>
      <c r="L2228" s="15" t="s">
        <v>41</v>
      </c>
      <c r="M2228" s="15" t="s">
        <v>42</v>
      </c>
      <c r="N2228" s="15" t="s">
        <v>43</v>
      </c>
      <c r="O2228" s="15" t="s">
        <v>44</v>
      </c>
      <c r="P2228" s="15" t="s">
        <v>7603</v>
      </c>
      <c r="Q2228" s="15" t="s">
        <v>7604</v>
      </c>
      <c r="R2228" s="16">
        <v>44329</v>
      </c>
      <c r="S2228" s="17" t="s">
        <v>8968</v>
      </c>
      <c r="T2228" s="20">
        <f>HYPERLINK("https://vnm.spiral.com.vn//uploaded/20210513/DDE6178F-69A9-4FA3-ACF3-FF69272A4612.jpg","07:00:52")</f>
      </c>
      <c r="U2228" s="20">
        <f>HYPERLINK("https://vnm.spiral.com.vn//uploaded/20210513/3C662471-1289-4A93-9182-4BE6052B2BBF.jpg","11:10:05")</f>
      </c>
      <c r="V2228" s="18">
        <v>0.17306712962962964</v>
      </c>
      <c r="W2228" s="15" t="s">
        <v>11593</v>
      </c>
      <c r="X2228" s="15" t="s">
        <v>11594</v>
      </c>
      <c r="Y2228" s="15" t="s">
        <v>35</v>
      </c>
      <c r="Z2228" s="19">
        <v>0</v>
      </c>
      <c r="AA2228" s="15">
        <v>0</v>
      </c>
      <c r="AB2228" s="15" t="s">
        <v>35</v>
      </c>
    </row>
    <row r="2229">
      <c r="A2229" s="15">
        <v>2225</v>
      </c>
      <c r="B2229" s="15" t="s">
        <v>103</v>
      </c>
      <c r="C2229" s="15" t="s">
        <v>186</v>
      </c>
      <c r="D2229" s="15" t="s">
        <v>35</v>
      </c>
      <c r="E2229" s="15" t="s">
        <v>35</v>
      </c>
      <c r="F2229" s="15" t="s">
        <v>4402</v>
      </c>
      <c r="G2229" s="15" t="s">
        <v>36</v>
      </c>
      <c r="H2229" s="15" t="s">
        <v>4883</v>
      </c>
      <c r="I2229" s="15" t="s">
        <v>4884</v>
      </c>
      <c r="J2229" s="15" t="s">
        <v>4885</v>
      </c>
      <c r="K2229" s="15" t="s">
        <v>40</v>
      </c>
      <c r="L2229" s="15" t="s">
        <v>41</v>
      </c>
      <c r="M2229" s="15" t="s">
        <v>565</v>
      </c>
      <c r="N2229" s="15" t="s">
        <v>566</v>
      </c>
      <c r="O2229" s="15" t="s">
        <v>44</v>
      </c>
      <c r="P2229" s="15" t="s">
        <v>4886</v>
      </c>
      <c r="Q2229" s="15" t="s">
        <v>4887</v>
      </c>
      <c r="R2229" s="16">
        <v>44329</v>
      </c>
      <c r="S2229" s="17" t="s">
        <v>8968</v>
      </c>
      <c r="T2229" s="20">
        <f>HYPERLINK("https://vnm.spiral.com.vn//uploaded/20210513/1841A9CB-0619-4C3E-BACA-FB6606F40C51.jpg","06:58:59")</f>
      </c>
      <c r="U2229" s="20">
        <f>HYPERLINK("https://vnm.spiral.com.vn//uploaded/20210513/E9796B0B-9DA9-4C16-9D58-251E92CBFC43.jpg","11:10:01")</f>
      </c>
      <c r="V2229" s="18">
        <v>0.1743287037037037</v>
      </c>
      <c r="W2229" s="15" t="s">
        <v>11595</v>
      </c>
      <c r="X2229" s="15" t="s">
        <v>11596</v>
      </c>
      <c r="Y2229" s="15" t="s">
        <v>35</v>
      </c>
      <c r="Z2229" s="19">
        <v>0</v>
      </c>
      <c r="AA2229" s="15">
        <v>0</v>
      </c>
      <c r="AB2229" s="15" t="s">
        <v>35</v>
      </c>
    </row>
    <row r="2230">
      <c r="A2230" s="15">
        <v>2226</v>
      </c>
      <c r="B2230" s="15" t="s">
        <v>87</v>
      </c>
      <c r="C2230" s="15" t="s">
        <v>88</v>
      </c>
      <c r="D2230" s="15" t="s">
        <v>135</v>
      </c>
      <c r="E2230" s="15" t="s">
        <v>116</v>
      </c>
      <c r="F2230" s="15" t="s">
        <v>35</v>
      </c>
      <c r="G2230" s="15" t="s">
        <v>74</v>
      </c>
      <c r="H2230" s="15" t="s">
        <v>11597</v>
      </c>
      <c r="I2230" s="15" t="s">
        <v>11598</v>
      </c>
      <c r="J2230" s="15" t="s">
        <v>11599</v>
      </c>
      <c r="K2230" s="15" t="s">
        <v>139</v>
      </c>
      <c r="L2230" s="15" t="s">
        <v>140</v>
      </c>
      <c r="M2230" s="15" t="s">
        <v>141</v>
      </c>
      <c r="N2230" s="15" t="s">
        <v>142</v>
      </c>
      <c r="O2230" s="15" t="s">
        <v>82</v>
      </c>
      <c r="P2230" s="15" t="s">
        <v>2298</v>
      </c>
      <c r="Q2230" s="15" t="s">
        <v>2299</v>
      </c>
      <c r="R2230" s="16">
        <v>44329</v>
      </c>
      <c r="S2230" s="17" t="s">
        <v>70</v>
      </c>
      <c r="T2230" s="20">
        <f>HYPERLINK("https://vnm.spiral.com.vn//uploaded/20210513/3b02ad89-edb8-445d-b01f-340b337b4c6a.JPEG","10:16:58")</f>
      </c>
      <c r="U2230" s="20">
        <f>HYPERLINK("https://vnm.spiral.com.vn//uploaded/20210513/e9e7af5d-44af-4e84-9933-83250100ff94.JPEG","11:09:43")</f>
      </c>
      <c r="V2230" s="18">
        <v>0.036631944444444446</v>
      </c>
      <c r="W2230" s="15" t="s">
        <v>11600</v>
      </c>
      <c r="X2230" s="15" t="s">
        <v>11601</v>
      </c>
      <c r="Y2230" s="15" t="s">
        <v>35</v>
      </c>
      <c r="Z2230" s="19">
        <v>0</v>
      </c>
      <c r="AA2230" s="15">
        <v>0</v>
      </c>
      <c r="AB2230" s="15" t="s">
        <v>35</v>
      </c>
    </row>
    <row r="2231">
      <c r="A2231" s="15">
        <v>2227</v>
      </c>
      <c r="B2231" s="15" t="s">
        <v>87</v>
      </c>
      <c r="C2231" s="15" t="s">
        <v>88</v>
      </c>
      <c r="D2231" s="15" t="s">
        <v>35</v>
      </c>
      <c r="E2231" s="15" t="s">
        <v>35</v>
      </c>
      <c r="F2231" s="15" t="s">
        <v>35</v>
      </c>
      <c r="G2231" s="15" t="s">
        <v>74</v>
      </c>
      <c r="H2231" s="15" t="s">
        <v>11602</v>
      </c>
      <c r="I2231" s="15" t="s">
        <v>11603</v>
      </c>
      <c r="J2231" s="15" t="s">
        <v>11604</v>
      </c>
      <c r="K2231" s="15" t="s">
        <v>888</v>
      </c>
      <c r="L2231" s="15" t="s">
        <v>889</v>
      </c>
      <c r="M2231" s="15" t="s">
        <v>924</v>
      </c>
      <c r="N2231" s="15" t="s">
        <v>925</v>
      </c>
      <c r="O2231" s="15" t="s">
        <v>82</v>
      </c>
      <c r="P2231" s="15" t="s">
        <v>1140</v>
      </c>
      <c r="Q2231" s="15" t="s">
        <v>69</v>
      </c>
      <c r="R2231" s="16">
        <v>44329</v>
      </c>
      <c r="S2231" s="17" t="s">
        <v>70</v>
      </c>
      <c r="T2231" s="20">
        <f>HYPERLINK("https://vnm.spiral.com.vn//uploaded/20210513/563ac1da-d527-4093-834b-bfde6bac6266.JPEG","10:39:12")</f>
      </c>
      <c r="U2231" s="20">
        <f>HYPERLINK("https://vnm.spiral.com.vn//uploaded/20210513/9dd92c23-ea7a-425a-aa1d-273d8cb518ce.JPEG","11:09:34")</f>
      </c>
      <c r="V2231" s="18">
        <v>0.021087962962962965</v>
      </c>
      <c r="W2231" s="15" t="s">
        <v>11605</v>
      </c>
      <c r="X2231" s="15" t="s">
        <v>11606</v>
      </c>
      <c r="Y2231" s="15" t="s">
        <v>35</v>
      </c>
      <c r="Z2231" s="19">
        <v>0</v>
      </c>
      <c r="AA2231" s="15">
        <v>0</v>
      </c>
      <c r="AB2231" s="15" t="s">
        <v>35</v>
      </c>
    </row>
    <row r="2232">
      <c r="A2232" s="15">
        <v>2228</v>
      </c>
      <c r="B2232" s="15" t="s">
        <v>61</v>
      </c>
      <c r="C2232" s="15" t="s">
        <v>147</v>
      </c>
      <c r="D2232" s="15" t="s">
        <v>35</v>
      </c>
      <c r="E2232" s="15" t="s">
        <v>35</v>
      </c>
      <c r="F2232" s="15" t="s">
        <v>35</v>
      </c>
      <c r="G2232" s="15" t="s">
        <v>36</v>
      </c>
      <c r="H2232" s="15" t="s">
        <v>8626</v>
      </c>
      <c r="I2232" s="15" t="s">
        <v>8627</v>
      </c>
      <c r="J2232" s="15" t="s">
        <v>8628</v>
      </c>
      <c r="K2232" s="15" t="s">
        <v>40</v>
      </c>
      <c r="L2232" s="15" t="s">
        <v>41</v>
      </c>
      <c r="M2232" s="15" t="s">
        <v>66</v>
      </c>
      <c r="N2232" s="15" t="s">
        <v>67</v>
      </c>
      <c r="O2232" s="15" t="s">
        <v>44</v>
      </c>
      <c r="P2232" s="15" t="s">
        <v>8629</v>
      </c>
      <c r="Q2232" s="15" t="s">
        <v>8630</v>
      </c>
      <c r="R2232" s="16">
        <v>44329</v>
      </c>
      <c r="S2232" s="17" t="s">
        <v>8968</v>
      </c>
      <c r="T2232" s="20">
        <f>HYPERLINK("https://vnm.spiral.com.vn//uploaded/20210513/D0330E77-0E54-463F-B2F9-366C1CDAB3ED.jpg","06:41:13")</f>
      </c>
      <c r="U2232" s="20">
        <f>HYPERLINK("https://vnm.spiral.com.vn//uploaded/20210513/BF1A5807-66A4-4A2E-82F5-DC04D8EE2528.jpg","11:09:24")</f>
      </c>
      <c r="V2232" s="18">
        <v>0.18623842592592593</v>
      </c>
      <c r="W2232" s="15" t="s">
        <v>11607</v>
      </c>
      <c r="X2232" s="15" t="s">
        <v>11608</v>
      </c>
      <c r="Y2232" s="15" t="s">
        <v>35</v>
      </c>
      <c r="Z2232" s="19">
        <v>0</v>
      </c>
      <c r="AA2232" s="15">
        <v>0</v>
      </c>
      <c r="AB2232" s="15" t="s">
        <v>35</v>
      </c>
    </row>
    <row r="2233">
      <c r="A2233" s="15">
        <v>2229</v>
      </c>
      <c r="B2233" s="15" t="s">
        <v>343</v>
      </c>
      <c r="C2233" s="15" t="s">
        <v>344</v>
      </c>
      <c r="D2233" s="15" t="s">
        <v>35</v>
      </c>
      <c r="E2233" s="15" t="s">
        <v>35</v>
      </c>
      <c r="F2233" s="15" t="s">
        <v>1599</v>
      </c>
      <c r="G2233" s="15" t="s">
        <v>36</v>
      </c>
      <c r="H2233" s="15" t="s">
        <v>7956</v>
      </c>
      <c r="I2233" s="15" t="s">
        <v>7957</v>
      </c>
      <c r="J2233" s="15" t="s">
        <v>7958</v>
      </c>
      <c r="K2233" s="15" t="s">
        <v>40</v>
      </c>
      <c r="L2233" s="15" t="s">
        <v>41</v>
      </c>
      <c r="M2233" s="15" t="s">
        <v>595</v>
      </c>
      <c r="N2233" s="15" t="s">
        <v>596</v>
      </c>
      <c r="O2233" s="15" t="s">
        <v>44</v>
      </c>
      <c r="P2233" s="15" t="s">
        <v>7959</v>
      </c>
      <c r="Q2233" s="15" t="s">
        <v>7960</v>
      </c>
      <c r="R2233" s="16">
        <v>44329</v>
      </c>
      <c r="S2233" s="17" t="s">
        <v>8968</v>
      </c>
      <c r="T2233" s="20">
        <f>HYPERLINK("https://vnm.spiral.com.vn//uploaded/20210513/70ddb710-2283-4ff5-b863-a2697ca42018.JPEG","07:06:04")</f>
      </c>
      <c r="U2233" s="20">
        <f>HYPERLINK("https://vnm.spiral.com.vn//uploaded/20210513/07ef0f61-961a-4b28-90bf-68cac5b8d64a.JPEG","11:08:51")</f>
      </c>
      <c r="V2233" s="18">
        <v>0.16859953703703703</v>
      </c>
      <c r="W2233" s="15" t="s">
        <v>11609</v>
      </c>
      <c r="X2233" s="15" t="s">
        <v>11610</v>
      </c>
      <c r="Y2233" s="15" t="s">
        <v>35</v>
      </c>
      <c r="Z2233" s="19">
        <v>0</v>
      </c>
      <c r="AA2233" s="15">
        <v>0</v>
      </c>
      <c r="AB2233" s="15" t="s">
        <v>35</v>
      </c>
    </row>
    <row r="2234">
      <c r="A2234" s="15">
        <v>2230</v>
      </c>
      <c r="B2234" s="15" t="s">
        <v>61</v>
      </c>
      <c r="C2234" s="15" t="s">
        <v>62</v>
      </c>
      <c r="D2234" s="15" t="s">
        <v>35</v>
      </c>
      <c r="E2234" s="15" t="s">
        <v>35</v>
      </c>
      <c r="F2234" s="15" t="s">
        <v>35</v>
      </c>
      <c r="G2234" s="15" t="s">
        <v>36</v>
      </c>
      <c r="H2234" s="15" t="s">
        <v>6880</v>
      </c>
      <c r="I2234" s="15" t="s">
        <v>6881</v>
      </c>
      <c r="J2234" s="15" t="s">
        <v>6882</v>
      </c>
      <c r="K2234" s="15" t="s">
        <v>40</v>
      </c>
      <c r="L2234" s="15" t="s">
        <v>41</v>
      </c>
      <c r="M2234" s="15" t="s">
        <v>66</v>
      </c>
      <c r="N2234" s="15" t="s">
        <v>67</v>
      </c>
      <c r="O2234" s="15" t="s">
        <v>44</v>
      </c>
      <c r="P2234" s="15" t="s">
        <v>6883</v>
      </c>
      <c r="Q2234" s="15" t="s">
        <v>6884</v>
      </c>
      <c r="R2234" s="16">
        <v>44329</v>
      </c>
      <c r="S2234" s="17" t="s">
        <v>7099</v>
      </c>
      <c r="T2234" s="20">
        <f>HYPERLINK("https://vnm.spiral.com.vn//uploaded/20210513/003c3f59-5cae-4ac8-85bd-01ba01d9a9b8.JPEG","07:45:51")</f>
      </c>
      <c r="U2234" s="20">
        <f>HYPERLINK("https://vnm.spiral.com.vn//uploaded/20210513/931c6872-0b3f-4976-9074-de78bc913d3c.JPEG","11:08:49")</f>
      </c>
      <c r="V2234" s="18">
        <v>0.1409490740740741</v>
      </c>
      <c r="W2234" s="15" t="s">
        <v>6885</v>
      </c>
      <c r="X2234" s="15" t="s">
        <v>11611</v>
      </c>
      <c r="Y2234" s="15" t="s">
        <v>35</v>
      </c>
      <c r="Z2234" s="19">
        <v>0</v>
      </c>
      <c r="AA2234" s="15">
        <v>0</v>
      </c>
      <c r="AB2234" s="15" t="s">
        <v>35</v>
      </c>
    </row>
    <row r="2235">
      <c r="A2235" s="15">
        <v>2231</v>
      </c>
      <c r="B2235" s="15" t="s">
        <v>87</v>
      </c>
      <c r="C2235" s="15" t="s">
        <v>88</v>
      </c>
      <c r="D2235" s="15" t="s">
        <v>357</v>
      </c>
      <c r="E2235" s="15" t="s">
        <v>90</v>
      </c>
      <c r="F2235" s="15" t="s">
        <v>35</v>
      </c>
      <c r="G2235" s="15" t="s">
        <v>74</v>
      </c>
      <c r="H2235" s="15" t="s">
        <v>11612</v>
      </c>
      <c r="I2235" s="15" t="s">
        <v>11613</v>
      </c>
      <c r="J2235" s="15" t="s">
        <v>11614</v>
      </c>
      <c r="K2235" s="15" t="s">
        <v>94</v>
      </c>
      <c r="L2235" s="15" t="s">
        <v>95</v>
      </c>
      <c r="M2235" s="15" t="s">
        <v>1570</v>
      </c>
      <c r="N2235" s="15" t="s">
        <v>1571</v>
      </c>
      <c r="O2235" s="15" t="s">
        <v>98</v>
      </c>
      <c r="P2235" s="15" t="s">
        <v>1572</v>
      </c>
      <c r="Q2235" s="15" t="s">
        <v>1573</v>
      </c>
      <c r="R2235" s="16">
        <v>44329</v>
      </c>
      <c r="S2235" s="17" t="s">
        <v>70</v>
      </c>
      <c r="T2235" s="20">
        <f>HYPERLINK("https://vnm.spiral.com.vn//uploaded/20210513/79fefb54-a477-49a1-b0e3-9a165e095d0b.JPEG","10:49:19")</f>
      </c>
      <c r="U2235" s="20">
        <f>HYPERLINK("https://vnm.spiral.com.vn//uploaded/20210513/7ecba810-7b76-4355-8270-aac7977be7b4.JPEG","11:08:20")</f>
      </c>
      <c r="V2235" s="18">
        <v>0.013206018518518518</v>
      </c>
      <c r="W2235" s="15" t="s">
        <v>11615</v>
      </c>
      <c r="X2235" s="15" t="s">
        <v>11616</v>
      </c>
      <c r="Y2235" s="15" t="s">
        <v>35</v>
      </c>
      <c r="Z2235" s="19">
        <v>0</v>
      </c>
      <c r="AA2235" s="15">
        <v>0</v>
      </c>
      <c r="AB2235" s="15" t="s">
        <v>35</v>
      </c>
    </row>
    <row r="2236">
      <c r="A2236" s="15">
        <v>2232</v>
      </c>
      <c r="B2236" s="15" t="s">
        <v>246</v>
      </c>
      <c r="C2236" s="15" t="s">
        <v>259</v>
      </c>
      <c r="D2236" s="15" t="s">
        <v>35</v>
      </c>
      <c r="E2236" s="15" t="s">
        <v>35</v>
      </c>
      <c r="F2236" s="15" t="s">
        <v>4355</v>
      </c>
      <c r="G2236" s="15" t="s">
        <v>36</v>
      </c>
      <c r="H2236" s="15" t="s">
        <v>6424</v>
      </c>
      <c r="I2236" s="15" t="s">
        <v>6425</v>
      </c>
      <c r="J2236" s="15" t="s">
        <v>6426</v>
      </c>
      <c r="K2236" s="15" t="s">
        <v>40</v>
      </c>
      <c r="L2236" s="15" t="s">
        <v>41</v>
      </c>
      <c r="M2236" s="15" t="s">
        <v>252</v>
      </c>
      <c r="N2236" s="15" t="s">
        <v>253</v>
      </c>
      <c r="O2236" s="15" t="s">
        <v>44</v>
      </c>
      <c r="P2236" s="15" t="s">
        <v>6427</v>
      </c>
      <c r="Q2236" s="15" t="s">
        <v>6428</v>
      </c>
      <c r="R2236" s="16">
        <v>44329</v>
      </c>
      <c r="S2236" s="17" t="s">
        <v>7099</v>
      </c>
      <c r="T2236" s="20">
        <f>HYPERLINK("https://vnm.spiral.com.vn//uploaded/20210513/f6f4f299-73d9-4a42-861a-b9bbd7ae260b.JPEG","08:00:07")</f>
      </c>
      <c r="U2236" s="20">
        <f>HYPERLINK("https://vnm.spiral.com.vn//uploaded/20210513/1995f6ff-c7e7-4c82-8000-021ddf56e327.JPEG","11:08:19")</f>
      </c>
      <c r="V2236" s="18">
        <v>0.13069444444444445</v>
      </c>
      <c r="W2236" s="15" t="s">
        <v>11617</v>
      </c>
      <c r="X2236" s="15" t="s">
        <v>11618</v>
      </c>
      <c r="Y2236" s="15" t="s">
        <v>35</v>
      </c>
      <c r="Z2236" s="19">
        <v>0</v>
      </c>
      <c r="AA2236" s="15">
        <v>0</v>
      </c>
      <c r="AB2236" s="15" t="s">
        <v>35</v>
      </c>
    </row>
    <row r="2237">
      <c r="A2237" s="15">
        <v>2233</v>
      </c>
      <c r="B2237" s="15" t="s">
        <v>87</v>
      </c>
      <c r="C2237" s="15" t="s">
        <v>88</v>
      </c>
      <c r="D2237" s="15" t="s">
        <v>35</v>
      </c>
      <c r="E2237" s="15" t="s">
        <v>35</v>
      </c>
      <c r="F2237" s="15" t="s">
        <v>2077</v>
      </c>
      <c r="G2237" s="15" t="s">
        <v>36</v>
      </c>
      <c r="H2237" s="15" t="s">
        <v>5073</v>
      </c>
      <c r="I2237" s="15" t="s">
        <v>5074</v>
      </c>
      <c r="J2237" s="15" t="s">
        <v>5075</v>
      </c>
      <c r="K2237" s="15" t="s">
        <v>40</v>
      </c>
      <c r="L2237" s="15" t="s">
        <v>41</v>
      </c>
      <c r="M2237" s="15" t="s">
        <v>289</v>
      </c>
      <c r="N2237" s="15" t="s">
        <v>290</v>
      </c>
      <c r="O2237" s="15" t="s">
        <v>44</v>
      </c>
      <c r="P2237" s="15" t="s">
        <v>5076</v>
      </c>
      <c r="Q2237" s="15" t="s">
        <v>5077</v>
      </c>
      <c r="R2237" s="16">
        <v>44329</v>
      </c>
      <c r="S2237" s="17" t="s">
        <v>317</v>
      </c>
      <c r="T2237" s="20">
        <f>HYPERLINK("https://vnm.spiral.com.vn//uploaded/20210513/5826c927-d1ed-4224-8db9-ca1b8743acf1.JPEG","06:53:54")</f>
      </c>
      <c r="U2237" s="20">
        <f>HYPERLINK("https://vnm.spiral.com.vn//uploaded/20210513/fc57c54d-b154-4eab-ad8f-873f1f3eee3f.JPEG","11:08:09")</f>
      </c>
      <c r="V2237" s="18">
        <v>0.1765625</v>
      </c>
      <c r="W2237" s="15" t="s">
        <v>11619</v>
      </c>
      <c r="X2237" s="15" t="s">
        <v>11620</v>
      </c>
      <c r="Y2237" s="15" t="s">
        <v>35</v>
      </c>
      <c r="Z2237" s="19">
        <v>0</v>
      </c>
      <c r="AA2237" s="15">
        <v>0</v>
      </c>
      <c r="AB2237" s="15" t="s">
        <v>35</v>
      </c>
    </row>
    <row r="2238">
      <c r="A2238" s="15">
        <v>2234</v>
      </c>
      <c r="B2238" s="15" t="s">
        <v>343</v>
      </c>
      <c r="C2238" s="15" t="s">
        <v>3117</v>
      </c>
      <c r="D2238" s="15" t="s">
        <v>432</v>
      </c>
      <c r="E2238" s="15" t="s">
        <v>116</v>
      </c>
      <c r="F2238" s="15" t="s">
        <v>35</v>
      </c>
      <c r="G2238" s="15" t="s">
        <v>74</v>
      </c>
      <c r="H2238" s="15" t="s">
        <v>11621</v>
      </c>
      <c r="I2238" s="15" t="s">
        <v>11622</v>
      </c>
      <c r="J2238" s="15" t="s">
        <v>11623</v>
      </c>
      <c r="K2238" s="15" t="s">
        <v>1168</v>
      </c>
      <c r="L2238" s="15" t="s">
        <v>1169</v>
      </c>
      <c r="M2238" s="15" t="s">
        <v>1170</v>
      </c>
      <c r="N2238" s="15" t="s">
        <v>1171</v>
      </c>
      <c r="O2238" s="15" t="s">
        <v>82</v>
      </c>
      <c r="P2238" s="15" t="s">
        <v>3121</v>
      </c>
      <c r="Q2238" s="15" t="s">
        <v>3122</v>
      </c>
      <c r="R2238" s="16">
        <v>44329</v>
      </c>
      <c r="S2238" s="17" t="s">
        <v>70</v>
      </c>
      <c r="T2238" s="20">
        <f>HYPERLINK("https://vnm.spiral.com.vn//uploaded/20210513/6a7f4489-1a2b-4446-9769-70033860595e.JPEG","10:48:35")</f>
      </c>
      <c r="U2238" s="20">
        <f>HYPERLINK("https://vnm.spiral.com.vn//uploaded/20210513/314319da-21d4-425d-a765-c82fa4330856.JPEG","11:08:03")</f>
      </c>
      <c r="V2238" s="18">
        <v>0.013518518518518518</v>
      </c>
      <c r="W2238" s="15" t="s">
        <v>11624</v>
      </c>
      <c r="X2238" s="15" t="s">
        <v>11625</v>
      </c>
      <c r="Y2238" s="15" t="s">
        <v>35</v>
      </c>
      <c r="Z2238" s="19">
        <v>0</v>
      </c>
      <c r="AA2238" s="15">
        <v>0</v>
      </c>
      <c r="AB2238" s="15" t="s">
        <v>35</v>
      </c>
    </row>
    <row r="2239">
      <c r="A2239" s="15">
        <v>2235</v>
      </c>
      <c r="B2239" s="15" t="s">
        <v>87</v>
      </c>
      <c r="C2239" s="15" t="s">
        <v>88</v>
      </c>
      <c r="D2239" s="15" t="s">
        <v>35</v>
      </c>
      <c r="E2239" s="15" t="s">
        <v>35</v>
      </c>
      <c r="F2239" s="15" t="s">
        <v>806</v>
      </c>
      <c r="G2239" s="15" t="s">
        <v>36</v>
      </c>
      <c r="H2239" s="15" t="s">
        <v>5154</v>
      </c>
      <c r="I2239" s="15" t="s">
        <v>5155</v>
      </c>
      <c r="J2239" s="15" t="s">
        <v>5156</v>
      </c>
      <c r="K2239" s="15" t="s">
        <v>40</v>
      </c>
      <c r="L2239" s="15" t="s">
        <v>41</v>
      </c>
      <c r="M2239" s="15" t="s">
        <v>810</v>
      </c>
      <c r="N2239" s="15" t="s">
        <v>811</v>
      </c>
      <c r="O2239" s="15" t="s">
        <v>44</v>
      </c>
      <c r="P2239" s="15" t="s">
        <v>5157</v>
      </c>
      <c r="Q2239" s="15" t="s">
        <v>5158</v>
      </c>
      <c r="R2239" s="16">
        <v>44329</v>
      </c>
      <c r="S2239" s="17" t="s">
        <v>8968</v>
      </c>
      <c r="T2239" s="20">
        <f>HYPERLINK("https://vnm.spiral.com.vn//uploaded/20210513/11e6bda1-57cd-4ec9-a3b4-4804b46a3178.JPEG","06:57:49")</f>
      </c>
      <c r="U2239" s="20">
        <f>HYPERLINK("https://vnm.spiral.com.vn//uploaded/20210513/110e2644-da23-444e-8323-2d7879ed1207.JPEG","11:07:57")</f>
      </c>
      <c r="V2239" s="18">
        <v>0.1737037037037037</v>
      </c>
      <c r="W2239" s="15" t="s">
        <v>11626</v>
      </c>
      <c r="X2239" s="15" t="s">
        <v>11627</v>
      </c>
      <c r="Y2239" s="15" t="s">
        <v>35</v>
      </c>
      <c r="Z2239" s="19">
        <v>0</v>
      </c>
      <c r="AA2239" s="15">
        <v>0</v>
      </c>
      <c r="AB2239" s="15" t="s">
        <v>35</v>
      </c>
    </row>
    <row r="2240">
      <c r="A2240" s="15">
        <v>2236</v>
      </c>
      <c r="B2240" s="15" t="s">
        <v>87</v>
      </c>
      <c r="C2240" s="15" t="s">
        <v>88</v>
      </c>
      <c r="D2240" s="15" t="s">
        <v>35</v>
      </c>
      <c r="E2240" s="15" t="s">
        <v>35</v>
      </c>
      <c r="F2240" s="15" t="s">
        <v>35</v>
      </c>
      <c r="G2240" s="15" t="s">
        <v>74</v>
      </c>
      <c r="H2240" s="15" t="s">
        <v>11628</v>
      </c>
      <c r="I2240" s="15" t="s">
        <v>11629</v>
      </c>
      <c r="J2240" s="15" t="s">
        <v>11630</v>
      </c>
      <c r="K2240" s="15" t="s">
        <v>888</v>
      </c>
      <c r="L2240" s="15" t="s">
        <v>889</v>
      </c>
      <c r="M2240" s="15" t="s">
        <v>924</v>
      </c>
      <c r="N2240" s="15" t="s">
        <v>925</v>
      </c>
      <c r="O2240" s="15" t="s">
        <v>82</v>
      </c>
      <c r="P2240" s="15" t="s">
        <v>926</v>
      </c>
      <c r="Q2240" s="15" t="s">
        <v>927</v>
      </c>
      <c r="R2240" s="16">
        <v>44329</v>
      </c>
      <c r="S2240" s="17" t="s">
        <v>70</v>
      </c>
      <c r="T2240" s="20">
        <f>HYPERLINK("https://vnm.spiral.com.vn//uploaded/20210513/F943D3CA-5C91-4A43-886F-DA11673661FB.jpg","10:40:27")</f>
      </c>
      <c r="U2240" s="20">
        <f>HYPERLINK("https://vnm.spiral.com.vn//uploaded/20210513/30F6745C-1FF0-42F2-A77C-D5A72949EDF8.jpg","11:07:56")</f>
      </c>
      <c r="V2240" s="18">
        <v>0.019085648148148147</v>
      </c>
      <c r="W2240" s="15" t="s">
        <v>11631</v>
      </c>
      <c r="X2240" s="15" t="s">
        <v>11632</v>
      </c>
      <c r="Y2240" s="15" t="s">
        <v>35</v>
      </c>
      <c r="Z2240" s="19">
        <v>0</v>
      </c>
      <c r="AA2240" s="15">
        <v>0</v>
      </c>
      <c r="AB2240" s="15" t="s">
        <v>35</v>
      </c>
    </row>
    <row r="2241">
      <c r="A2241" s="15">
        <v>2237</v>
      </c>
      <c r="B2241" s="15" t="s">
        <v>49</v>
      </c>
      <c r="C2241" s="15" t="s">
        <v>369</v>
      </c>
      <c r="D2241" s="15" t="s">
        <v>35</v>
      </c>
      <c r="E2241" s="15" t="s">
        <v>35</v>
      </c>
      <c r="F2241" s="15" t="s">
        <v>370</v>
      </c>
      <c r="G2241" s="15" t="s">
        <v>36</v>
      </c>
      <c r="H2241" s="15" t="s">
        <v>11633</v>
      </c>
      <c r="I2241" s="15" t="s">
        <v>11634</v>
      </c>
      <c r="J2241" s="15" t="s">
        <v>11635</v>
      </c>
      <c r="K2241" s="15" t="s">
        <v>40</v>
      </c>
      <c r="L2241" s="15" t="s">
        <v>41</v>
      </c>
      <c r="M2241" s="15" t="s">
        <v>55</v>
      </c>
      <c r="N2241" s="15" t="s">
        <v>56</v>
      </c>
      <c r="O2241" s="15" t="s">
        <v>44</v>
      </c>
      <c r="P2241" s="15" t="s">
        <v>6844</v>
      </c>
      <c r="Q2241" s="15" t="s">
        <v>6845</v>
      </c>
      <c r="R2241" s="16">
        <v>44329</v>
      </c>
      <c r="S2241" s="17" t="s">
        <v>8968</v>
      </c>
      <c r="T2241" s="20">
        <f>HYPERLINK("https://vnm.spiral.com.vn//uploaded/20210513/FA16AE10-6D4F-4DDF-9EB9-5BF9D33E9059.jpg","07:00:45")</f>
      </c>
      <c r="U2241" s="20">
        <f>HYPERLINK("https://vnm.spiral.com.vn//uploaded/20210513/6F5BBFFB-0DC6-444F-A30F-F0BD8AA1F36B.jpg","11:07:47")</f>
      </c>
      <c r="V2241" s="18">
        <v>0.1715509259259259</v>
      </c>
      <c r="W2241" s="15" t="s">
        <v>11636</v>
      </c>
      <c r="X2241" s="15" t="s">
        <v>11637</v>
      </c>
      <c r="Y2241" s="15" t="s">
        <v>35</v>
      </c>
      <c r="Z2241" s="19">
        <v>0</v>
      </c>
      <c r="AA2241" s="15">
        <v>0</v>
      </c>
      <c r="AB2241" s="15" t="s">
        <v>35</v>
      </c>
    </row>
    <row r="2242">
      <c r="A2242" s="15">
        <v>2238</v>
      </c>
      <c r="B2242" s="15" t="s">
        <v>61</v>
      </c>
      <c r="C2242" s="15" t="s">
        <v>147</v>
      </c>
      <c r="D2242" s="15" t="s">
        <v>35</v>
      </c>
      <c r="E2242" s="15" t="s">
        <v>35</v>
      </c>
      <c r="F2242" s="15" t="s">
        <v>3172</v>
      </c>
      <c r="G2242" s="15" t="s">
        <v>36</v>
      </c>
      <c r="H2242" s="15" t="s">
        <v>6777</v>
      </c>
      <c r="I2242" s="15" t="s">
        <v>6778</v>
      </c>
      <c r="J2242" s="15" t="s">
        <v>6779</v>
      </c>
      <c r="K2242" s="15" t="s">
        <v>40</v>
      </c>
      <c r="L2242" s="15" t="s">
        <v>41</v>
      </c>
      <c r="M2242" s="15" t="s">
        <v>66</v>
      </c>
      <c r="N2242" s="15" t="s">
        <v>67</v>
      </c>
      <c r="O2242" s="15" t="s">
        <v>44</v>
      </c>
      <c r="P2242" s="15" t="s">
        <v>6780</v>
      </c>
      <c r="Q2242" s="15" t="s">
        <v>6781</v>
      </c>
      <c r="R2242" s="16">
        <v>44329</v>
      </c>
      <c r="S2242" s="17" t="s">
        <v>8968</v>
      </c>
      <c r="T2242" s="20">
        <f>HYPERLINK("https://vnm.spiral.com.vn//uploaded/20210513/67A59D80-775F-4A51-9EF2-32AB4FC66562.jpg","07:11:43")</f>
      </c>
      <c r="U2242" s="20">
        <f>HYPERLINK("https://vnm.spiral.com.vn//uploaded/20210513/7459AE9D-A82A-48C2-8C77-14F385AFF64A.jpg","11:07:40")</f>
      </c>
      <c r="V2242" s="18">
        <v>0.16385416666666666</v>
      </c>
      <c r="W2242" s="15" t="s">
        <v>11638</v>
      </c>
      <c r="X2242" s="15" t="s">
        <v>11639</v>
      </c>
      <c r="Y2242" s="15" t="s">
        <v>35</v>
      </c>
      <c r="Z2242" s="19">
        <v>0</v>
      </c>
      <c r="AA2242" s="15">
        <v>0</v>
      </c>
      <c r="AB2242" s="15" t="s">
        <v>35</v>
      </c>
    </row>
    <row r="2243">
      <c r="A2243" s="15">
        <v>2239</v>
      </c>
      <c r="B2243" s="15" t="s">
        <v>49</v>
      </c>
      <c r="C2243" s="15" t="s">
        <v>162</v>
      </c>
      <c r="D2243" s="15" t="s">
        <v>35</v>
      </c>
      <c r="E2243" s="15" t="s">
        <v>35</v>
      </c>
      <c r="F2243" s="15" t="s">
        <v>1969</v>
      </c>
      <c r="G2243" s="15" t="s">
        <v>36</v>
      </c>
      <c r="H2243" s="15" t="s">
        <v>1970</v>
      </c>
      <c r="I2243" s="15" t="s">
        <v>1971</v>
      </c>
      <c r="J2243" s="15" t="s">
        <v>1972</v>
      </c>
      <c r="K2243" s="15" t="s">
        <v>40</v>
      </c>
      <c r="L2243" s="15" t="s">
        <v>41</v>
      </c>
      <c r="M2243" s="15" t="s">
        <v>55</v>
      </c>
      <c r="N2243" s="15" t="s">
        <v>56</v>
      </c>
      <c r="O2243" s="15" t="s">
        <v>44</v>
      </c>
      <c r="P2243" s="15" t="s">
        <v>1973</v>
      </c>
      <c r="Q2243" s="15" t="s">
        <v>1974</v>
      </c>
      <c r="R2243" s="16">
        <v>44329</v>
      </c>
      <c r="S2243" s="17" t="s">
        <v>8968</v>
      </c>
      <c r="T2243" s="20">
        <f>HYPERLINK("https://vnm.spiral.com.vn//uploaded/20210513/115217B3-6735-4D75-8339-7F895CFA91DD.jpg","06:47:24")</f>
      </c>
      <c r="U2243" s="20">
        <f>HYPERLINK("https://vnm.spiral.com.vn//uploaded/20210513/5A3B9EB8-B3B9-40AE-ACCE-B4C7B9E5627B.jpg","11:07:40")</f>
      </c>
      <c r="V2243" s="18">
        <v>0.18074074074074073</v>
      </c>
      <c r="W2243" s="15" t="s">
        <v>11640</v>
      </c>
      <c r="X2243" s="15" t="s">
        <v>11641</v>
      </c>
      <c r="Y2243" s="15" t="s">
        <v>35</v>
      </c>
      <c r="Z2243" s="19">
        <v>0</v>
      </c>
      <c r="AA2243" s="15">
        <v>0</v>
      </c>
      <c r="AB2243" s="15" t="s">
        <v>35</v>
      </c>
    </row>
    <row r="2244">
      <c r="A2244" s="15">
        <v>2240</v>
      </c>
      <c r="B2244" s="15" t="s">
        <v>343</v>
      </c>
      <c r="C2244" s="15" t="s">
        <v>344</v>
      </c>
      <c r="D2244" s="15" t="s">
        <v>432</v>
      </c>
      <c r="E2244" s="15" t="s">
        <v>116</v>
      </c>
      <c r="F2244" s="15" t="s">
        <v>35</v>
      </c>
      <c r="G2244" s="15" t="s">
        <v>74</v>
      </c>
      <c r="H2244" s="15" t="s">
        <v>11642</v>
      </c>
      <c r="I2244" s="15" t="s">
        <v>11643</v>
      </c>
      <c r="J2244" s="15" t="s">
        <v>11644</v>
      </c>
      <c r="K2244" s="15" t="s">
        <v>512</v>
      </c>
      <c r="L2244" s="15" t="s">
        <v>513</v>
      </c>
      <c r="M2244" s="15" t="s">
        <v>514</v>
      </c>
      <c r="N2244" s="15" t="s">
        <v>515</v>
      </c>
      <c r="O2244" s="15" t="s">
        <v>82</v>
      </c>
      <c r="P2244" s="15" t="s">
        <v>1334</v>
      </c>
      <c r="Q2244" s="15" t="s">
        <v>1335</v>
      </c>
      <c r="R2244" s="16">
        <v>44329</v>
      </c>
      <c r="S2244" s="17" t="s">
        <v>70</v>
      </c>
      <c r="T2244" s="20">
        <f>HYPERLINK("https://vnm.spiral.com.vn//uploaded/20210513/6DBE8379-E57B-431D-B9E3-F695BBA69A4D.jpg","09:30:36")</f>
      </c>
      <c r="U2244" s="20">
        <f>HYPERLINK("https://vnm.spiral.com.vn//uploaded/20210513/2716EEB2-C8AE-40CC-B88A-D0A135472857.jpg","11:07:25")</f>
      </c>
      <c r="V2244" s="18">
        <v>0.06723379629629629</v>
      </c>
      <c r="W2244" s="15" t="s">
        <v>11645</v>
      </c>
      <c r="X2244" s="15" t="s">
        <v>10073</v>
      </c>
      <c r="Y2244" s="15" t="s">
        <v>35</v>
      </c>
      <c r="Z2244" s="19">
        <v>0</v>
      </c>
      <c r="AA2244" s="15">
        <v>0</v>
      </c>
      <c r="AB2244" s="15" t="s">
        <v>35</v>
      </c>
    </row>
    <row r="2245">
      <c r="A2245" s="15">
        <v>2241</v>
      </c>
      <c r="B2245" s="15" t="s">
        <v>87</v>
      </c>
      <c r="C2245" s="15" t="s">
        <v>88</v>
      </c>
      <c r="D2245" s="15" t="s">
        <v>35</v>
      </c>
      <c r="E2245" s="15" t="s">
        <v>35</v>
      </c>
      <c r="F2245" s="15" t="s">
        <v>1091</v>
      </c>
      <c r="G2245" s="15" t="s">
        <v>36</v>
      </c>
      <c r="H2245" s="15" t="s">
        <v>6291</v>
      </c>
      <c r="I2245" s="15" t="s">
        <v>6292</v>
      </c>
      <c r="J2245" s="15" t="s">
        <v>6293</v>
      </c>
      <c r="K2245" s="15" t="s">
        <v>40</v>
      </c>
      <c r="L2245" s="15" t="s">
        <v>41</v>
      </c>
      <c r="M2245" s="15" t="s">
        <v>810</v>
      </c>
      <c r="N2245" s="15" t="s">
        <v>811</v>
      </c>
      <c r="O2245" s="15" t="s">
        <v>44</v>
      </c>
      <c r="P2245" s="15" t="s">
        <v>6294</v>
      </c>
      <c r="Q2245" s="15" t="s">
        <v>6295</v>
      </c>
      <c r="R2245" s="16">
        <v>44329</v>
      </c>
      <c r="S2245" s="17" t="s">
        <v>7099</v>
      </c>
      <c r="T2245" s="20">
        <f>HYPERLINK("https://vnm.spiral.com.vn//uploaded/20210513/ed1a6c2a-e567-426e-80a8-12ec0bf87ae5.JPEG","08:04:32")</f>
      </c>
      <c r="U2245" s="20">
        <f>HYPERLINK("https://vnm.spiral.com.vn//uploaded/20210513/5337b184-ab70-4056-8bbe-62f38d2252e4.JPEG","11:07:08")</f>
      </c>
      <c r="V2245" s="18">
        <v>0.12680555555555556</v>
      </c>
      <c r="W2245" s="15" t="s">
        <v>11646</v>
      </c>
      <c r="X2245" s="15" t="s">
        <v>11647</v>
      </c>
      <c r="Y2245" s="15" t="s">
        <v>35</v>
      </c>
      <c r="Z2245" s="19">
        <v>0</v>
      </c>
      <c r="AA2245" s="15">
        <v>0</v>
      </c>
      <c r="AB2245" s="15" t="s">
        <v>35</v>
      </c>
    </row>
    <row r="2246">
      <c r="A2246" s="15">
        <v>2242</v>
      </c>
      <c r="B2246" s="15" t="s">
        <v>49</v>
      </c>
      <c r="C2246" s="15" t="s">
        <v>468</v>
      </c>
      <c r="D2246" s="15" t="s">
        <v>35</v>
      </c>
      <c r="E2246" s="15" t="s">
        <v>35</v>
      </c>
      <c r="F2246" s="15" t="s">
        <v>1435</v>
      </c>
      <c r="G2246" s="15" t="s">
        <v>36</v>
      </c>
      <c r="H2246" s="15" t="s">
        <v>11648</v>
      </c>
      <c r="I2246" s="15" t="s">
        <v>11649</v>
      </c>
      <c r="J2246" s="15" t="s">
        <v>11650</v>
      </c>
      <c r="K2246" s="15" t="s">
        <v>40</v>
      </c>
      <c r="L2246" s="15" t="s">
        <v>41</v>
      </c>
      <c r="M2246" s="15" t="s">
        <v>55</v>
      </c>
      <c r="N2246" s="15" t="s">
        <v>56</v>
      </c>
      <c r="O2246" s="15" t="s">
        <v>44</v>
      </c>
      <c r="P2246" s="15" t="s">
        <v>11651</v>
      </c>
      <c r="Q2246" s="15" t="s">
        <v>772</v>
      </c>
      <c r="R2246" s="16">
        <v>44329</v>
      </c>
      <c r="S2246" s="17" t="s">
        <v>8968</v>
      </c>
      <c r="T2246" s="20">
        <f>HYPERLINK("https://vnm.spiral.com.vn//uploaded/20210513/95448825-b1ee-4950-99ba-8b0134733621.JPEG","08:08:44")</f>
      </c>
      <c r="U2246" s="20">
        <f>HYPERLINK("https://vnm.spiral.com.vn//uploaded/20210513/192a52e7-8b16-412e-8070-ba674b264a37.JPEG","11:07:07")</f>
      </c>
      <c r="V2246" s="18">
        <v>0.12387731481481482</v>
      </c>
      <c r="W2246" s="15" t="s">
        <v>11652</v>
      </c>
      <c r="X2246" s="15" t="s">
        <v>11653</v>
      </c>
      <c r="Y2246" s="15" t="s">
        <v>35</v>
      </c>
      <c r="Z2246" s="19">
        <v>0</v>
      </c>
      <c r="AA2246" s="15">
        <v>0</v>
      </c>
      <c r="AB2246" s="15" t="s">
        <v>35</v>
      </c>
    </row>
    <row r="2247">
      <c r="A2247" s="15">
        <v>2243</v>
      </c>
      <c r="B2247" s="15" t="s">
        <v>61</v>
      </c>
      <c r="C2247" s="15" t="s">
        <v>712</v>
      </c>
      <c r="D2247" s="15" t="s">
        <v>35</v>
      </c>
      <c r="E2247" s="15" t="s">
        <v>35</v>
      </c>
      <c r="F2247" s="15" t="s">
        <v>35</v>
      </c>
      <c r="G2247" s="15" t="s">
        <v>36</v>
      </c>
      <c r="H2247" s="15" t="s">
        <v>5100</v>
      </c>
      <c r="I2247" s="15" t="s">
        <v>5101</v>
      </c>
      <c r="J2247" s="15" t="s">
        <v>5102</v>
      </c>
      <c r="K2247" s="15" t="s">
        <v>40</v>
      </c>
      <c r="L2247" s="15" t="s">
        <v>41</v>
      </c>
      <c r="M2247" s="15" t="s">
        <v>205</v>
      </c>
      <c r="N2247" s="15" t="s">
        <v>206</v>
      </c>
      <c r="O2247" s="15" t="s">
        <v>44</v>
      </c>
      <c r="P2247" s="15" t="s">
        <v>5103</v>
      </c>
      <c r="Q2247" s="15" t="s">
        <v>5104</v>
      </c>
      <c r="R2247" s="16">
        <v>44329</v>
      </c>
      <c r="S2247" s="17" t="s">
        <v>7099</v>
      </c>
      <c r="T2247" s="20">
        <f>HYPERLINK("https://vnm.spiral.com.vn//uploaded/20210513/5B181178-7919-4A51-8238-4972548C3BE7.jpg","08:02:03")</f>
      </c>
      <c r="U2247" s="20">
        <f>HYPERLINK("https://vnm.spiral.com.vn//uploaded/20210513/B5877B1E-C5A2-44E4-82A3-643052F3BAA9.jpg","11:06:55")</f>
      </c>
      <c r="V2247" s="18">
        <v>0.12837962962962962</v>
      </c>
      <c r="W2247" s="15" t="s">
        <v>11654</v>
      </c>
      <c r="X2247" s="15" t="s">
        <v>11655</v>
      </c>
      <c r="Y2247" s="15" t="s">
        <v>35</v>
      </c>
      <c r="Z2247" s="19">
        <v>0</v>
      </c>
      <c r="AA2247" s="15">
        <v>0</v>
      </c>
      <c r="AB2247" s="15" t="s">
        <v>35</v>
      </c>
    </row>
    <row r="2248">
      <c r="A2248" s="15">
        <v>2244</v>
      </c>
      <c r="B2248" s="15" t="s">
        <v>61</v>
      </c>
      <c r="C2248" s="15" t="s">
        <v>62</v>
      </c>
      <c r="D2248" s="15" t="s">
        <v>35</v>
      </c>
      <c r="E2248" s="15" t="s">
        <v>35</v>
      </c>
      <c r="F2248" s="15" t="s">
        <v>35</v>
      </c>
      <c r="G2248" s="15" t="s">
        <v>36</v>
      </c>
      <c r="H2248" s="15" t="s">
        <v>11656</v>
      </c>
      <c r="I2248" s="15" t="s">
        <v>11657</v>
      </c>
      <c r="J2248" s="15" t="s">
        <v>11658</v>
      </c>
      <c r="K2248" s="15" t="s">
        <v>40</v>
      </c>
      <c r="L2248" s="15" t="s">
        <v>41</v>
      </c>
      <c r="M2248" s="15" t="s">
        <v>66</v>
      </c>
      <c r="N2248" s="15" t="s">
        <v>67</v>
      </c>
      <c r="O2248" s="15" t="s">
        <v>44</v>
      </c>
      <c r="P2248" s="15" t="s">
        <v>11659</v>
      </c>
      <c r="Q2248" s="15" t="s">
        <v>11660</v>
      </c>
      <c r="R2248" s="16">
        <v>44329</v>
      </c>
      <c r="S2248" s="17" t="s">
        <v>569</v>
      </c>
      <c r="T2248" s="20">
        <f>HYPERLINK("https://vnm.spiral.com.vn//uploaded/20210513/12400b26-2596-4d6c-a2e2-643b50d7a382.JPEG","11:06:47")</f>
      </c>
      <c r="U2248" s="18"/>
      <c r="V2248" s="18" t="s">
        <v>35</v>
      </c>
      <c r="W2248" s="15" t="s">
        <v>11661</v>
      </c>
      <c r="X2248" s="15" t="s">
        <v>35</v>
      </c>
      <c r="Y2248" s="15" t="s">
        <v>35</v>
      </c>
      <c r="Z2248" s="19">
        <v>0</v>
      </c>
      <c r="AA2248" s="15">
        <v>0</v>
      </c>
      <c r="AB2248" s="15" t="s">
        <v>35</v>
      </c>
    </row>
    <row r="2249">
      <c r="A2249" s="15">
        <v>2245</v>
      </c>
      <c r="B2249" s="15" t="s">
        <v>61</v>
      </c>
      <c r="C2249" s="15" t="s">
        <v>228</v>
      </c>
      <c r="D2249" s="15" t="s">
        <v>35</v>
      </c>
      <c r="E2249" s="15" t="s">
        <v>35</v>
      </c>
      <c r="F2249" s="15" t="s">
        <v>35</v>
      </c>
      <c r="G2249" s="15" t="s">
        <v>36</v>
      </c>
      <c r="H2249" s="15" t="s">
        <v>11662</v>
      </c>
      <c r="I2249" s="15" t="s">
        <v>11663</v>
      </c>
      <c r="J2249" s="15" t="s">
        <v>11664</v>
      </c>
      <c r="K2249" s="15" t="s">
        <v>40</v>
      </c>
      <c r="L2249" s="15" t="s">
        <v>41</v>
      </c>
      <c r="M2249" s="15" t="s">
        <v>205</v>
      </c>
      <c r="N2249" s="15" t="s">
        <v>206</v>
      </c>
      <c r="O2249" s="15" t="s">
        <v>44</v>
      </c>
      <c r="P2249" s="15" t="s">
        <v>11665</v>
      </c>
      <c r="Q2249" s="15" t="s">
        <v>11666</v>
      </c>
      <c r="R2249" s="16">
        <v>44329</v>
      </c>
      <c r="S2249" s="17" t="s">
        <v>9729</v>
      </c>
      <c r="T2249" s="20">
        <f>HYPERLINK("https://vnm.spiral.com.vn//uploaded/20210513/af8f0d3d-0197-4053-8e8d-12d3e76e9d87.JPEG","11:06:34")</f>
      </c>
      <c r="U2249" s="18"/>
      <c r="V2249" s="18" t="s">
        <v>35</v>
      </c>
      <c r="W2249" s="15" t="s">
        <v>11667</v>
      </c>
      <c r="X2249" s="15" t="s">
        <v>35</v>
      </c>
      <c r="Y2249" s="15" t="s">
        <v>35</v>
      </c>
      <c r="Z2249" s="19">
        <v>0</v>
      </c>
      <c r="AA2249" s="15">
        <v>0</v>
      </c>
      <c r="AB2249" s="15" t="s">
        <v>35</v>
      </c>
    </row>
    <row r="2250">
      <c r="A2250" s="15">
        <v>2246</v>
      </c>
      <c r="B2250" s="15" t="s">
        <v>343</v>
      </c>
      <c r="C2250" s="15" t="s">
        <v>2069</v>
      </c>
      <c r="D2250" s="15" t="s">
        <v>35</v>
      </c>
      <c r="E2250" s="15" t="s">
        <v>35</v>
      </c>
      <c r="F2250" s="15" t="s">
        <v>35</v>
      </c>
      <c r="G2250" s="15" t="s">
        <v>36</v>
      </c>
      <c r="H2250" s="15" t="s">
        <v>11668</v>
      </c>
      <c r="I2250" s="15" t="s">
        <v>11669</v>
      </c>
      <c r="J2250" s="15" t="s">
        <v>11670</v>
      </c>
      <c r="K2250" s="15" t="s">
        <v>40</v>
      </c>
      <c r="L2250" s="15" t="s">
        <v>41</v>
      </c>
      <c r="M2250" s="15" t="s">
        <v>595</v>
      </c>
      <c r="N2250" s="15" t="s">
        <v>596</v>
      </c>
      <c r="O2250" s="15" t="s">
        <v>44</v>
      </c>
      <c r="P2250" s="15" t="s">
        <v>2701</v>
      </c>
      <c r="Q2250" s="15" t="s">
        <v>2702</v>
      </c>
      <c r="R2250" s="16">
        <v>44329</v>
      </c>
      <c r="S2250" s="17" t="s">
        <v>8968</v>
      </c>
      <c r="T2250" s="20">
        <f>HYPERLINK("https://vnm.spiral.com.vn//uploaded/20210513/FE63F8B1-444A-4FCD-8C35-CD5C26BDEFAD.jpg","07:10:56")</f>
      </c>
      <c r="U2250" s="20">
        <f>HYPERLINK("https://vnm.spiral.com.vn//uploaded/20210513/95ADD1F6-1579-4CE0-906E-8C6202E15114.jpg","11:06:32")</f>
      </c>
      <c r="V2250" s="18">
        <v>0.16361111111111112</v>
      </c>
      <c r="W2250" s="15" t="s">
        <v>11671</v>
      </c>
      <c r="X2250" s="15" t="s">
        <v>11672</v>
      </c>
      <c r="Y2250" s="15" t="s">
        <v>35</v>
      </c>
      <c r="Z2250" s="19">
        <v>0</v>
      </c>
      <c r="AA2250" s="15">
        <v>0</v>
      </c>
      <c r="AB2250" s="15" t="s">
        <v>35</v>
      </c>
    </row>
    <row r="2251">
      <c r="A2251" s="15">
        <v>2247</v>
      </c>
      <c r="B2251" s="15" t="s">
        <v>103</v>
      </c>
      <c r="C2251" s="15" t="s">
        <v>2116</v>
      </c>
      <c r="D2251" s="15" t="s">
        <v>35</v>
      </c>
      <c r="E2251" s="15" t="s">
        <v>35</v>
      </c>
      <c r="F2251" s="15" t="s">
        <v>35</v>
      </c>
      <c r="G2251" s="15" t="s">
        <v>35</v>
      </c>
      <c r="H2251" s="15" t="s">
        <v>7094</v>
      </c>
      <c r="I2251" s="15" t="s">
        <v>7095</v>
      </c>
      <c r="J2251" s="15" t="s">
        <v>7096</v>
      </c>
      <c r="K2251" s="15" t="s">
        <v>40</v>
      </c>
      <c r="L2251" s="15" t="s">
        <v>41</v>
      </c>
      <c r="M2251" s="15" t="s">
        <v>108</v>
      </c>
      <c r="N2251" s="15" t="s">
        <v>109</v>
      </c>
      <c r="O2251" s="15" t="s">
        <v>44</v>
      </c>
      <c r="P2251" s="15" t="s">
        <v>7097</v>
      </c>
      <c r="Q2251" s="15" t="s">
        <v>7098</v>
      </c>
      <c r="R2251" s="16">
        <v>44329</v>
      </c>
      <c r="S2251" s="17" t="s">
        <v>5993</v>
      </c>
      <c r="T2251" s="20">
        <f>HYPERLINK("https://vnm.spiral.com.vn//uploaded/20210513/04054078-17f6-4104-abfa-319b05994570.JPEG","07:54:04")</f>
      </c>
      <c r="U2251" s="20">
        <f>HYPERLINK("https://vnm.spiral.com.vn//uploaded/20210513/76c63c05-2e0f-40c7-ad55-5adddcfca0d8.JPEG","11:06:26")</f>
      </c>
      <c r="V2251" s="18">
        <v>0.13358796296296296</v>
      </c>
      <c r="W2251" s="15" t="s">
        <v>11673</v>
      </c>
      <c r="X2251" s="15" t="s">
        <v>11674</v>
      </c>
      <c r="Y2251" s="15" t="s">
        <v>35</v>
      </c>
      <c r="Z2251" s="19">
        <v>0</v>
      </c>
      <c r="AA2251" s="15">
        <v>0</v>
      </c>
      <c r="AB2251" s="15" t="s">
        <v>35</v>
      </c>
    </row>
    <row r="2252">
      <c r="A2252" s="15">
        <v>2248</v>
      </c>
      <c r="B2252" s="15" t="s">
        <v>61</v>
      </c>
      <c r="C2252" s="15" t="s">
        <v>303</v>
      </c>
      <c r="D2252" s="15" t="s">
        <v>35</v>
      </c>
      <c r="E2252" s="15" t="s">
        <v>35</v>
      </c>
      <c r="F2252" s="15" t="s">
        <v>35</v>
      </c>
      <c r="G2252" s="15" t="s">
        <v>36</v>
      </c>
      <c r="H2252" s="15" t="s">
        <v>6874</v>
      </c>
      <c r="I2252" s="15" t="s">
        <v>6875</v>
      </c>
      <c r="J2252" s="15" t="s">
        <v>6876</v>
      </c>
      <c r="K2252" s="15" t="s">
        <v>40</v>
      </c>
      <c r="L2252" s="15" t="s">
        <v>41</v>
      </c>
      <c r="M2252" s="15" t="s">
        <v>205</v>
      </c>
      <c r="N2252" s="15" t="s">
        <v>206</v>
      </c>
      <c r="O2252" s="15" t="s">
        <v>44</v>
      </c>
      <c r="P2252" s="15" t="s">
        <v>6877</v>
      </c>
      <c r="Q2252" s="15" t="s">
        <v>6878</v>
      </c>
      <c r="R2252" s="16">
        <v>44329</v>
      </c>
      <c r="S2252" s="17" t="s">
        <v>8968</v>
      </c>
      <c r="T2252" s="20">
        <f>HYPERLINK("https://vnm.spiral.com.vn//uploaded/20210513/24a43353-ff56-4a2c-9430-9fb7a05b9e47.JPEG","06:58:49")</f>
      </c>
      <c r="U2252" s="20">
        <f>HYPERLINK("https://vnm.spiral.com.vn//uploaded/20210513/2511cb4b-0793-483f-97c4-0188f661f302.JPEG","11:06:11")</f>
      </c>
      <c r="V2252" s="18">
        <v>0.1717824074074074</v>
      </c>
      <c r="W2252" s="15" t="s">
        <v>11675</v>
      </c>
      <c r="X2252" s="15" t="s">
        <v>11676</v>
      </c>
      <c r="Y2252" s="15" t="s">
        <v>35</v>
      </c>
      <c r="Z2252" s="19">
        <v>0</v>
      </c>
      <c r="AA2252" s="15">
        <v>0</v>
      </c>
      <c r="AB2252" s="15" t="s">
        <v>35</v>
      </c>
    </row>
    <row r="2253">
      <c r="A2253" s="15">
        <v>2249</v>
      </c>
      <c r="B2253" s="15" t="s">
        <v>61</v>
      </c>
      <c r="C2253" s="15" t="s">
        <v>62</v>
      </c>
      <c r="D2253" s="15" t="s">
        <v>35</v>
      </c>
      <c r="E2253" s="15" t="s">
        <v>35</v>
      </c>
      <c r="F2253" s="15" t="s">
        <v>35</v>
      </c>
      <c r="G2253" s="15" t="s">
        <v>36</v>
      </c>
      <c r="H2253" s="15" t="s">
        <v>11656</v>
      </c>
      <c r="I2253" s="15" t="s">
        <v>11657</v>
      </c>
      <c r="J2253" s="15" t="s">
        <v>11658</v>
      </c>
      <c r="K2253" s="15" t="s">
        <v>40</v>
      </c>
      <c r="L2253" s="15" t="s">
        <v>41</v>
      </c>
      <c r="M2253" s="15" t="s">
        <v>66</v>
      </c>
      <c r="N2253" s="15" t="s">
        <v>67</v>
      </c>
      <c r="O2253" s="15" t="s">
        <v>44</v>
      </c>
      <c r="P2253" s="15" t="s">
        <v>11659</v>
      </c>
      <c r="Q2253" s="15" t="s">
        <v>11660</v>
      </c>
      <c r="R2253" s="16">
        <v>44329</v>
      </c>
      <c r="S2253" s="17" t="s">
        <v>8968</v>
      </c>
      <c r="T2253" s="20">
        <f>HYPERLINK("https://vnm.spiral.com.vn//uploaded/20210513/4f004b34-7ba2-4d1f-9da6-0e7a7fe4629c.JPEG","06:58:42")</f>
      </c>
      <c r="U2253" s="20">
        <f>HYPERLINK("https://vnm.spiral.com.vn//uploaded/20210513/4ce6ffcf-f376-46c9-9500-f161e49f6cfe.JPEG","11:05:59")</f>
      </c>
      <c r="V2253" s="18">
        <v>0.17172453703703705</v>
      </c>
      <c r="W2253" s="15" t="s">
        <v>11677</v>
      </c>
      <c r="X2253" s="15" t="s">
        <v>11678</v>
      </c>
      <c r="Y2253" s="15" t="s">
        <v>35</v>
      </c>
      <c r="Z2253" s="19">
        <v>0</v>
      </c>
      <c r="AA2253" s="15">
        <v>0</v>
      </c>
      <c r="AB2253" s="15" t="s">
        <v>35</v>
      </c>
    </row>
    <row r="2254">
      <c r="A2254" s="15">
        <v>2250</v>
      </c>
      <c r="B2254" s="15" t="s">
        <v>103</v>
      </c>
      <c r="C2254" s="15" t="s">
        <v>104</v>
      </c>
      <c r="D2254" s="15" t="s">
        <v>135</v>
      </c>
      <c r="E2254" s="15" t="s">
        <v>116</v>
      </c>
      <c r="F2254" s="15" t="s">
        <v>35</v>
      </c>
      <c r="G2254" s="15" t="s">
        <v>74</v>
      </c>
      <c r="H2254" s="15" t="s">
        <v>11679</v>
      </c>
      <c r="I2254" s="15" t="s">
        <v>11680</v>
      </c>
      <c r="J2254" s="15" t="s">
        <v>11681</v>
      </c>
      <c r="K2254" s="15" t="s">
        <v>460</v>
      </c>
      <c r="L2254" s="15" t="s">
        <v>461</v>
      </c>
      <c r="M2254" s="15" t="s">
        <v>462</v>
      </c>
      <c r="N2254" s="15" t="s">
        <v>463</v>
      </c>
      <c r="O2254" s="15" t="s">
        <v>82</v>
      </c>
      <c r="P2254" s="15" t="s">
        <v>1610</v>
      </c>
      <c r="Q2254" s="15" t="s">
        <v>1611</v>
      </c>
      <c r="R2254" s="16">
        <v>44329</v>
      </c>
      <c r="S2254" s="17" t="s">
        <v>70</v>
      </c>
      <c r="T2254" s="20">
        <f>HYPERLINK("https://vnm.spiral.com.vn//uploaded/20210513/84836f3e-0138-4523-ae3e-1f6e0985b7ae.JPEG","09:58:46")</f>
      </c>
      <c r="U2254" s="20">
        <f>HYPERLINK("https://vnm.spiral.com.vn//uploaded/20210513/24dd5b00-b8f2-4a49-a463-057ce7b3da03.JPEG","11:05:45")</f>
      </c>
      <c r="V2254" s="18">
        <v>0.046516203703703705</v>
      </c>
      <c r="W2254" s="15" t="s">
        <v>11682</v>
      </c>
      <c r="X2254" s="15" t="s">
        <v>11683</v>
      </c>
      <c r="Y2254" s="15" t="s">
        <v>35</v>
      </c>
      <c r="Z2254" s="19">
        <v>0</v>
      </c>
      <c r="AA2254" s="15">
        <v>0</v>
      </c>
      <c r="AB2254" s="15" t="s">
        <v>35</v>
      </c>
    </row>
    <row r="2255">
      <c r="A2255" s="15">
        <v>2251</v>
      </c>
      <c r="B2255" s="15" t="s">
        <v>61</v>
      </c>
      <c r="C2255" s="15" t="s">
        <v>201</v>
      </c>
      <c r="D2255" s="15" t="s">
        <v>35</v>
      </c>
      <c r="E2255" s="15" t="s">
        <v>35</v>
      </c>
      <c r="F2255" s="15" t="s">
        <v>35</v>
      </c>
      <c r="G2255" s="15" t="s">
        <v>36</v>
      </c>
      <c r="H2255" s="15" t="s">
        <v>6157</v>
      </c>
      <c r="I2255" s="15" t="s">
        <v>6158</v>
      </c>
      <c r="J2255" s="15" t="s">
        <v>6159</v>
      </c>
      <c r="K2255" s="15" t="s">
        <v>40</v>
      </c>
      <c r="L2255" s="15" t="s">
        <v>41</v>
      </c>
      <c r="M2255" s="15" t="s">
        <v>205</v>
      </c>
      <c r="N2255" s="15" t="s">
        <v>206</v>
      </c>
      <c r="O2255" s="15" t="s">
        <v>44</v>
      </c>
      <c r="P2255" s="15" t="s">
        <v>6160</v>
      </c>
      <c r="Q2255" s="15" t="s">
        <v>6161</v>
      </c>
      <c r="R2255" s="16">
        <v>44329</v>
      </c>
      <c r="S2255" s="17" t="s">
        <v>8968</v>
      </c>
      <c r="T2255" s="20">
        <f>HYPERLINK("https://vnm.spiral.com.vn//uploaded/20210513/AE0AC949-4D09-4386-8494-30E83E26EBB4.jpg","07:08:11")</f>
      </c>
      <c r="U2255" s="20">
        <f>HYPERLINK("https://vnm.spiral.com.vn//uploaded/20210513/D4A81AF1-1E1F-485B-BEEA-F24F357397ED.jpg","11:05:31")</f>
      </c>
      <c r="V2255" s="18">
        <v>0.1648148148148148</v>
      </c>
      <c r="W2255" s="15" t="s">
        <v>11684</v>
      </c>
      <c r="X2255" s="15" t="s">
        <v>11685</v>
      </c>
      <c r="Y2255" s="15" t="s">
        <v>35</v>
      </c>
      <c r="Z2255" s="19">
        <v>0</v>
      </c>
      <c r="AA2255" s="15">
        <v>0</v>
      </c>
      <c r="AB2255" s="15" t="s">
        <v>35</v>
      </c>
    </row>
    <row r="2256">
      <c r="A2256" s="15">
        <v>2252</v>
      </c>
      <c r="B2256" s="15" t="s">
        <v>87</v>
      </c>
      <c r="C2256" s="15" t="s">
        <v>88</v>
      </c>
      <c r="D2256" s="15" t="s">
        <v>135</v>
      </c>
      <c r="E2256" s="15" t="s">
        <v>116</v>
      </c>
      <c r="F2256" s="15" t="s">
        <v>35</v>
      </c>
      <c r="G2256" s="15" t="s">
        <v>74</v>
      </c>
      <c r="H2256" s="15" t="s">
        <v>11686</v>
      </c>
      <c r="I2256" s="15" t="s">
        <v>11687</v>
      </c>
      <c r="J2256" s="15" t="s">
        <v>11688</v>
      </c>
      <c r="K2256" s="15" t="s">
        <v>139</v>
      </c>
      <c r="L2256" s="15" t="s">
        <v>140</v>
      </c>
      <c r="M2256" s="15" t="s">
        <v>141</v>
      </c>
      <c r="N2256" s="15" t="s">
        <v>142</v>
      </c>
      <c r="O2256" s="15" t="s">
        <v>82</v>
      </c>
      <c r="P2256" s="15" t="s">
        <v>1400</v>
      </c>
      <c r="Q2256" s="15" t="s">
        <v>1401</v>
      </c>
      <c r="R2256" s="16">
        <v>44329</v>
      </c>
      <c r="S2256" s="17" t="s">
        <v>70</v>
      </c>
      <c r="T2256" s="20">
        <f>HYPERLINK("https://vnm.spiral.com.vn//uploaded/20210513/78EF2947-FE7C-4613-AED2-FEEF08390386.jpg","10:32:22")</f>
      </c>
      <c r="U2256" s="20">
        <f>HYPERLINK("https://vnm.spiral.com.vn//uploaded/20210513/C209017C-9113-4618-889D-D3DD4032980E.jpg","11:05:12")</f>
      </c>
      <c r="V2256" s="18">
        <v>0.022800925925925926</v>
      </c>
      <c r="W2256" s="15" t="s">
        <v>11689</v>
      </c>
      <c r="X2256" s="15" t="s">
        <v>11690</v>
      </c>
      <c r="Y2256" s="15" t="s">
        <v>35</v>
      </c>
      <c r="Z2256" s="19">
        <v>0</v>
      </c>
      <c r="AA2256" s="15">
        <v>0</v>
      </c>
      <c r="AB2256" s="15" t="s">
        <v>35</v>
      </c>
    </row>
    <row r="2257">
      <c r="A2257" s="15">
        <v>2253</v>
      </c>
      <c r="B2257" s="15" t="s">
        <v>103</v>
      </c>
      <c r="C2257" s="15" t="s">
        <v>186</v>
      </c>
      <c r="D2257" s="15" t="s">
        <v>35</v>
      </c>
      <c r="E2257" s="15" t="s">
        <v>35</v>
      </c>
      <c r="F2257" s="15" t="s">
        <v>35</v>
      </c>
      <c r="G2257" s="15" t="s">
        <v>36</v>
      </c>
      <c r="H2257" s="15" t="s">
        <v>5817</v>
      </c>
      <c r="I2257" s="15" t="s">
        <v>5818</v>
      </c>
      <c r="J2257" s="15" t="s">
        <v>5819</v>
      </c>
      <c r="K2257" s="15" t="s">
        <v>40</v>
      </c>
      <c r="L2257" s="15" t="s">
        <v>41</v>
      </c>
      <c r="M2257" s="15" t="s">
        <v>565</v>
      </c>
      <c r="N2257" s="15" t="s">
        <v>566</v>
      </c>
      <c r="O2257" s="15" t="s">
        <v>44</v>
      </c>
      <c r="P2257" s="15" t="s">
        <v>5820</v>
      </c>
      <c r="Q2257" s="15" t="s">
        <v>5821</v>
      </c>
      <c r="R2257" s="16">
        <v>44329</v>
      </c>
      <c r="S2257" s="17" t="s">
        <v>8968</v>
      </c>
      <c r="T2257" s="20">
        <f>HYPERLINK("https://vnm.spiral.com.vn//uploaded/20210513/957044FB-C589-427C-A6C9-B658AA26F0BC.jpg","06:52:27")</f>
      </c>
      <c r="U2257" s="20">
        <f>HYPERLINK("https://vnm.spiral.com.vn//uploaded/20210513/9D3F1D1E-A9DF-4C1C-82BD-5EFA378CB5FB.jpg","11:04:58")</f>
      </c>
      <c r="V2257" s="18">
        <v>0.1753587962962963</v>
      </c>
      <c r="W2257" s="15" t="s">
        <v>11691</v>
      </c>
      <c r="X2257" s="15" t="s">
        <v>11692</v>
      </c>
      <c r="Y2257" s="15" t="s">
        <v>35</v>
      </c>
      <c r="Z2257" s="19">
        <v>0</v>
      </c>
      <c r="AA2257" s="15">
        <v>0</v>
      </c>
      <c r="AB2257" s="15" t="s">
        <v>35</v>
      </c>
    </row>
    <row r="2258">
      <c r="A2258" s="15">
        <v>2254</v>
      </c>
      <c r="B2258" s="15" t="s">
        <v>87</v>
      </c>
      <c r="C2258" s="15" t="s">
        <v>88</v>
      </c>
      <c r="D2258" s="15" t="s">
        <v>115</v>
      </c>
      <c r="E2258" s="15" t="s">
        <v>116</v>
      </c>
      <c r="F2258" s="15" t="s">
        <v>35</v>
      </c>
      <c r="G2258" s="15" t="s">
        <v>74</v>
      </c>
      <c r="H2258" s="15" t="s">
        <v>11693</v>
      </c>
      <c r="I2258" s="15" t="s">
        <v>11694</v>
      </c>
      <c r="J2258" s="15" t="s">
        <v>11695</v>
      </c>
      <c r="K2258" s="15" t="s">
        <v>120</v>
      </c>
      <c r="L2258" s="15" t="s">
        <v>121</v>
      </c>
      <c r="M2258" s="15" t="s">
        <v>1073</v>
      </c>
      <c r="N2258" s="15" t="s">
        <v>1074</v>
      </c>
      <c r="O2258" s="15" t="s">
        <v>82</v>
      </c>
      <c r="P2258" s="15" t="s">
        <v>2955</v>
      </c>
      <c r="Q2258" s="15" t="s">
        <v>2956</v>
      </c>
      <c r="R2258" s="16">
        <v>44329</v>
      </c>
      <c r="S2258" s="17" t="s">
        <v>70</v>
      </c>
      <c r="T2258" s="20">
        <f>HYPERLINK("https://vnm.spiral.com.vn//uploaded/20210513/911a5d55-ed46-4bb5-b2df-6a712fd672a6.jpg","10:11:15")</f>
      </c>
      <c r="U2258" s="20">
        <f>HYPERLINK("https://vnm.spiral.com.vn//uploaded/20210513/a7f8aa30-7234-4fd1-bce0-caa2caf1284c.jpg","11:04:54")</f>
      </c>
      <c r="V2258" s="18">
        <v>0.03725694444444445</v>
      </c>
      <c r="W2258" s="15" t="s">
        <v>11696</v>
      </c>
      <c r="X2258" s="15" t="s">
        <v>11697</v>
      </c>
      <c r="Y2258" s="15" t="s">
        <v>35</v>
      </c>
      <c r="Z2258" s="19">
        <v>0</v>
      </c>
      <c r="AA2258" s="15">
        <v>0</v>
      </c>
      <c r="AB2258" s="15" t="s">
        <v>35</v>
      </c>
    </row>
    <row r="2259">
      <c r="A2259" s="15">
        <v>2255</v>
      </c>
      <c r="B2259" s="15" t="s">
        <v>246</v>
      </c>
      <c r="C2259" s="15" t="s">
        <v>2005</v>
      </c>
      <c r="D2259" s="15" t="s">
        <v>35</v>
      </c>
      <c r="E2259" s="15" t="s">
        <v>35</v>
      </c>
      <c r="F2259" s="15" t="s">
        <v>6614</v>
      </c>
      <c r="G2259" s="15" t="s">
        <v>36</v>
      </c>
      <c r="H2259" s="15" t="s">
        <v>7101</v>
      </c>
      <c r="I2259" s="15" t="s">
        <v>7102</v>
      </c>
      <c r="J2259" s="15" t="s">
        <v>7103</v>
      </c>
      <c r="K2259" s="15" t="s">
        <v>40</v>
      </c>
      <c r="L2259" s="15" t="s">
        <v>41</v>
      </c>
      <c r="M2259" s="15" t="s">
        <v>252</v>
      </c>
      <c r="N2259" s="15" t="s">
        <v>253</v>
      </c>
      <c r="O2259" s="15" t="s">
        <v>44</v>
      </c>
      <c r="P2259" s="15" t="s">
        <v>7104</v>
      </c>
      <c r="Q2259" s="15" t="s">
        <v>7105</v>
      </c>
      <c r="R2259" s="16">
        <v>44329</v>
      </c>
      <c r="S2259" s="17" t="s">
        <v>8968</v>
      </c>
      <c r="T2259" s="20">
        <f>HYPERLINK("https://vnm.spiral.com.vn//uploaded/20210513/030E251D-A5CD-4122-B8BB-4380B1E9478A.jpg","07:00:57")</f>
      </c>
      <c r="U2259" s="20">
        <f>HYPERLINK("https://vnm.spiral.com.vn//uploaded/20210513/EEBF74BF-FB52-4A93-ADDC-7441B2F2A161.jpg","11:04:53")</f>
      </c>
      <c r="V2259" s="18">
        <v>0.16939814814814816</v>
      </c>
      <c r="W2259" s="15" t="s">
        <v>11698</v>
      </c>
      <c r="X2259" s="15" t="s">
        <v>11699</v>
      </c>
      <c r="Y2259" s="15" t="s">
        <v>35</v>
      </c>
      <c r="Z2259" s="19">
        <v>0</v>
      </c>
      <c r="AA2259" s="15">
        <v>0</v>
      </c>
      <c r="AB2259" s="15" t="s">
        <v>35</v>
      </c>
    </row>
    <row r="2260">
      <c r="A2260" s="15">
        <v>2256</v>
      </c>
      <c r="B2260" s="15" t="s">
        <v>87</v>
      </c>
      <c r="C2260" s="15" t="s">
        <v>88</v>
      </c>
      <c r="D2260" s="15" t="s">
        <v>432</v>
      </c>
      <c r="E2260" s="15" t="s">
        <v>116</v>
      </c>
      <c r="F2260" s="15" t="s">
        <v>35</v>
      </c>
      <c r="G2260" s="15" t="s">
        <v>74</v>
      </c>
      <c r="H2260" s="15" t="s">
        <v>11700</v>
      </c>
      <c r="I2260" s="15" t="s">
        <v>11701</v>
      </c>
      <c r="J2260" s="15" t="s">
        <v>11702</v>
      </c>
      <c r="K2260" s="15" t="s">
        <v>625</v>
      </c>
      <c r="L2260" s="15" t="s">
        <v>626</v>
      </c>
      <c r="M2260" s="15" t="s">
        <v>627</v>
      </c>
      <c r="N2260" s="15" t="s">
        <v>628</v>
      </c>
      <c r="O2260" s="15" t="s">
        <v>82</v>
      </c>
      <c r="P2260" s="15" t="s">
        <v>1804</v>
      </c>
      <c r="Q2260" s="15" t="s">
        <v>1805</v>
      </c>
      <c r="R2260" s="16">
        <v>44329</v>
      </c>
      <c r="S2260" s="17" t="s">
        <v>70</v>
      </c>
      <c r="T2260" s="20">
        <f>HYPERLINK("https://vnm.spiral.com.vn//uploaded/20210513/1f6ad91d-e21e-4841-8da1-6f5dcac55800.JPEG","10:49:40")</f>
      </c>
      <c r="U2260" s="20">
        <f>HYPERLINK("https://vnm.spiral.com.vn//uploaded/20210513/9e85cf51-ac0c-4c13-8c76-c208eadf5eab.JPEG","11:04:48")</f>
      </c>
      <c r="V2260" s="18">
        <v>0.01050925925925926</v>
      </c>
      <c r="W2260" s="15" t="s">
        <v>11703</v>
      </c>
      <c r="X2260" s="15" t="s">
        <v>11704</v>
      </c>
      <c r="Y2260" s="15" t="s">
        <v>35</v>
      </c>
      <c r="Z2260" s="19">
        <v>0</v>
      </c>
      <c r="AA2260" s="15">
        <v>0</v>
      </c>
      <c r="AB2260" s="15" t="s">
        <v>35</v>
      </c>
    </row>
    <row r="2261">
      <c r="A2261" s="15">
        <v>2257</v>
      </c>
      <c r="B2261" s="15" t="s">
        <v>343</v>
      </c>
      <c r="C2261" s="15" t="s">
        <v>344</v>
      </c>
      <c r="D2261" s="15" t="s">
        <v>432</v>
      </c>
      <c r="E2261" s="15" t="s">
        <v>116</v>
      </c>
      <c r="F2261" s="15" t="s">
        <v>35</v>
      </c>
      <c r="G2261" s="15" t="s">
        <v>74</v>
      </c>
      <c r="H2261" s="15" t="s">
        <v>4410</v>
      </c>
      <c r="I2261" s="15" t="s">
        <v>4411</v>
      </c>
      <c r="J2261" s="15" t="s">
        <v>4412</v>
      </c>
      <c r="K2261" s="15" t="s">
        <v>1168</v>
      </c>
      <c r="L2261" s="15" t="s">
        <v>1169</v>
      </c>
      <c r="M2261" s="15" t="s">
        <v>1170</v>
      </c>
      <c r="N2261" s="15" t="s">
        <v>1171</v>
      </c>
      <c r="O2261" s="15" t="s">
        <v>82</v>
      </c>
      <c r="P2261" s="15" t="s">
        <v>2597</v>
      </c>
      <c r="Q2261" s="15" t="s">
        <v>2598</v>
      </c>
      <c r="R2261" s="16">
        <v>44329</v>
      </c>
      <c r="S2261" s="17" t="s">
        <v>70</v>
      </c>
      <c r="T2261" s="20">
        <f>HYPERLINK("https://vnm.spiral.com.vn//uploaded/20210513/11a658b5-c3a2-4cba-8f05-7c67b3d8b3d8.JPEG","09:19:12")</f>
      </c>
      <c r="U2261" s="20">
        <f>HYPERLINK("https://vnm.spiral.com.vn//uploaded/20210513/3a91cc1d-55dc-4004-87d0-efaaabc2025e.JPEG","11:04:33")</f>
      </c>
      <c r="V2261" s="18">
        <v>0.07315972222222222</v>
      </c>
      <c r="W2261" s="15" t="s">
        <v>11705</v>
      </c>
      <c r="X2261" s="15" t="s">
        <v>11706</v>
      </c>
      <c r="Y2261" s="15" t="s">
        <v>35</v>
      </c>
      <c r="Z2261" s="19">
        <v>0</v>
      </c>
      <c r="AA2261" s="15">
        <v>0</v>
      </c>
      <c r="AB2261" s="15" t="s">
        <v>35</v>
      </c>
    </row>
    <row r="2262">
      <c r="A2262" s="15">
        <v>2258</v>
      </c>
      <c r="B2262" s="15" t="s">
        <v>33</v>
      </c>
      <c r="C2262" s="15" t="s">
        <v>492</v>
      </c>
      <c r="D2262" s="15" t="s">
        <v>35</v>
      </c>
      <c r="E2262" s="15" t="s">
        <v>35</v>
      </c>
      <c r="F2262" s="15" t="s">
        <v>35</v>
      </c>
      <c r="G2262" s="15" t="s">
        <v>36</v>
      </c>
      <c r="H2262" s="15" t="s">
        <v>791</v>
      </c>
      <c r="I2262" s="15" t="s">
        <v>792</v>
      </c>
      <c r="J2262" s="15" t="s">
        <v>793</v>
      </c>
      <c r="K2262" s="15" t="s">
        <v>40</v>
      </c>
      <c r="L2262" s="15" t="s">
        <v>41</v>
      </c>
      <c r="M2262" s="15" t="s">
        <v>42</v>
      </c>
      <c r="N2262" s="15" t="s">
        <v>43</v>
      </c>
      <c r="O2262" s="15" t="s">
        <v>44</v>
      </c>
      <c r="P2262" s="15" t="s">
        <v>794</v>
      </c>
      <c r="Q2262" s="15" t="s">
        <v>795</v>
      </c>
      <c r="R2262" s="16">
        <v>44329</v>
      </c>
      <c r="S2262" s="17" t="s">
        <v>7099</v>
      </c>
      <c r="T2262" s="20">
        <f>HYPERLINK("https://vnm.spiral.com.vn//uploaded/20210513/b9c34527-8700-427d-b934-88609b0804f1.JPEG","08:02:24")</f>
      </c>
      <c r="U2262" s="20">
        <f>HYPERLINK("https://vnm.spiral.com.vn//uploaded/20210513/62c20c25-ed32-438d-b96f-cca9850e4385.JPEG","11:04:33")</f>
      </c>
      <c r="V2262" s="18">
        <v>0.12649305555555557</v>
      </c>
      <c r="W2262" s="15" t="s">
        <v>11707</v>
      </c>
      <c r="X2262" s="15" t="s">
        <v>11708</v>
      </c>
      <c r="Y2262" s="15" t="s">
        <v>35</v>
      </c>
      <c r="Z2262" s="19">
        <v>0</v>
      </c>
      <c r="AA2262" s="15">
        <v>0</v>
      </c>
      <c r="AB2262" s="15" t="s">
        <v>35</v>
      </c>
    </row>
    <row r="2263">
      <c r="A2263" s="15">
        <v>2259</v>
      </c>
      <c r="B2263" s="15" t="s">
        <v>246</v>
      </c>
      <c r="C2263" s="15" t="s">
        <v>782</v>
      </c>
      <c r="D2263" s="15" t="s">
        <v>35</v>
      </c>
      <c r="E2263" s="15" t="s">
        <v>35</v>
      </c>
      <c r="F2263" s="15" t="s">
        <v>6328</v>
      </c>
      <c r="G2263" s="15" t="s">
        <v>36</v>
      </c>
      <c r="H2263" s="15" t="s">
        <v>8501</v>
      </c>
      <c r="I2263" s="15" t="s">
        <v>8502</v>
      </c>
      <c r="J2263" s="15" t="s">
        <v>8503</v>
      </c>
      <c r="K2263" s="15" t="s">
        <v>40</v>
      </c>
      <c r="L2263" s="15" t="s">
        <v>41</v>
      </c>
      <c r="M2263" s="15" t="s">
        <v>252</v>
      </c>
      <c r="N2263" s="15" t="s">
        <v>253</v>
      </c>
      <c r="O2263" s="15" t="s">
        <v>44</v>
      </c>
      <c r="P2263" s="15" t="s">
        <v>8504</v>
      </c>
      <c r="Q2263" s="15" t="s">
        <v>255</v>
      </c>
      <c r="R2263" s="16">
        <v>44329</v>
      </c>
      <c r="S2263" s="17" t="s">
        <v>8968</v>
      </c>
      <c r="T2263" s="20">
        <f>HYPERLINK("https://vnm.spiral.com.vn//uploaded/20210513/ecf20ee3-1cac-4025-af0c-fe37842bb301.JPEG","06:56:53")</f>
      </c>
      <c r="U2263" s="20">
        <f>HYPERLINK("https://vnm.spiral.com.vn//uploaded/20210513/92e3f409-94f8-4e92-bfee-e5d1f30ee6c3.JPEG","11:04:24")</f>
      </c>
      <c r="V2263" s="18">
        <v>0.17188657407407407</v>
      </c>
      <c r="W2263" s="15" t="s">
        <v>11709</v>
      </c>
      <c r="X2263" s="15" t="s">
        <v>11710</v>
      </c>
      <c r="Y2263" s="15" t="s">
        <v>35</v>
      </c>
      <c r="Z2263" s="19">
        <v>0</v>
      </c>
      <c r="AA2263" s="15">
        <v>0</v>
      </c>
      <c r="AB2263" s="15" t="s">
        <v>35</v>
      </c>
    </row>
    <row r="2264">
      <c r="A2264" s="15">
        <v>2260</v>
      </c>
      <c r="B2264" s="15" t="s">
        <v>103</v>
      </c>
      <c r="C2264" s="15" t="s">
        <v>2116</v>
      </c>
      <c r="D2264" s="15" t="s">
        <v>35</v>
      </c>
      <c r="E2264" s="15" t="s">
        <v>35</v>
      </c>
      <c r="F2264" s="15" t="s">
        <v>35</v>
      </c>
      <c r="G2264" s="15" t="s">
        <v>36</v>
      </c>
      <c r="H2264" s="15" t="s">
        <v>9058</v>
      </c>
      <c r="I2264" s="15" t="s">
        <v>9059</v>
      </c>
      <c r="J2264" s="15" t="s">
        <v>9060</v>
      </c>
      <c r="K2264" s="15" t="s">
        <v>40</v>
      </c>
      <c r="L2264" s="15" t="s">
        <v>41</v>
      </c>
      <c r="M2264" s="15" t="s">
        <v>108</v>
      </c>
      <c r="N2264" s="15" t="s">
        <v>109</v>
      </c>
      <c r="O2264" s="15" t="s">
        <v>44</v>
      </c>
      <c r="P2264" s="15" t="s">
        <v>9061</v>
      </c>
      <c r="Q2264" s="15" t="s">
        <v>9062</v>
      </c>
      <c r="R2264" s="16">
        <v>44329</v>
      </c>
      <c r="S2264" s="17" t="s">
        <v>11711</v>
      </c>
      <c r="T2264" s="20">
        <f>HYPERLINK("https://vnm.spiral.com.vn//uploaded/20210513/baa721fa-858f-46d5-89d5-d1bcf9cec752.JPEG","07:10:58")</f>
      </c>
      <c r="U2264" s="20">
        <f>HYPERLINK("https://vnm.spiral.com.vn//uploaded/20210513/eada9ba4-dce8-4927-b9b9-90c76b7d94be.JPEG","11:04:12")</f>
      </c>
      <c r="V2264" s="18">
        <v>0.16196759259259258</v>
      </c>
      <c r="W2264" s="15" t="s">
        <v>11712</v>
      </c>
      <c r="X2264" s="15" t="s">
        <v>11713</v>
      </c>
      <c r="Y2264" s="15" t="s">
        <v>35</v>
      </c>
      <c r="Z2264" s="19">
        <v>0</v>
      </c>
      <c r="AA2264" s="15">
        <v>0</v>
      </c>
      <c r="AB2264" s="15" t="s">
        <v>35</v>
      </c>
    </row>
    <row r="2265">
      <c r="A2265" s="15">
        <v>2261</v>
      </c>
      <c r="B2265" s="15" t="s">
        <v>87</v>
      </c>
      <c r="C2265" s="15" t="s">
        <v>88</v>
      </c>
      <c r="D2265" s="15" t="s">
        <v>135</v>
      </c>
      <c r="E2265" s="15" t="s">
        <v>116</v>
      </c>
      <c r="F2265" s="15" t="s">
        <v>35</v>
      </c>
      <c r="G2265" s="15" t="s">
        <v>74</v>
      </c>
      <c r="H2265" s="15" t="s">
        <v>11714</v>
      </c>
      <c r="I2265" s="15" t="s">
        <v>11715</v>
      </c>
      <c r="J2265" s="15" t="s">
        <v>11716</v>
      </c>
      <c r="K2265" s="15" t="s">
        <v>390</v>
      </c>
      <c r="L2265" s="15" t="s">
        <v>391</v>
      </c>
      <c r="M2265" s="15" t="s">
        <v>392</v>
      </c>
      <c r="N2265" s="15" t="s">
        <v>393</v>
      </c>
      <c r="O2265" s="15" t="s">
        <v>82</v>
      </c>
      <c r="P2265" s="15" t="s">
        <v>1497</v>
      </c>
      <c r="Q2265" s="15" t="s">
        <v>1498</v>
      </c>
      <c r="R2265" s="16">
        <v>44329</v>
      </c>
      <c r="S2265" s="17" t="s">
        <v>70</v>
      </c>
      <c r="T2265" s="20">
        <f>HYPERLINK("https://vnm.spiral.com.vn//uploaded/20210513/fba7ff38-687b-4bc3-899b-437361a3bcfb.JPEG","09:35:49")</f>
      </c>
      <c r="U2265" s="20">
        <f>HYPERLINK("https://vnm.spiral.com.vn//uploaded/20210513/6b6256dd-96da-4427-bde0-e60e779d92a0.JPEG","11:04:03")</f>
      </c>
      <c r="V2265" s="18">
        <v>0.061273148148148146</v>
      </c>
      <c r="W2265" s="15" t="s">
        <v>11717</v>
      </c>
      <c r="X2265" s="15" t="s">
        <v>11718</v>
      </c>
      <c r="Y2265" s="15" t="s">
        <v>35</v>
      </c>
      <c r="Z2265" s="19">
        <v>0</v>
      </c>
      <c r="AA2265" s="15">
        <v>0</v>
      </c>
      <c r="AB2265" s="15" t="s">
        <v>35</v>
      </c>
    </row>
    <row r="2266">
      <c r="A2266" s="15">
        <v>2262</v>
      </c>
      <c r="B2266" s="15" t="s">
        <v>343</v>
      </c>
      <c r="C2266" s="15" t="s">
        <v>344</v>
      </c>
      <c r="D2266" s="15" t="s">
        <v>536</v>
      </c>
      <c r="E2266" s="15" t="s">
        <v>116</v>
      </c>
      <c r="F2266" s="15" t="s">
        <v>35</v>
      </c>
      <c r="G2266" s="15" t="s">
        <v>74</v>
      </c>
      <c r="H2266" s="15" t="s">
        <v>11719</v>
      </c>
      <c r="I2266" s="15" t="s">
        <v>11720</v>
      </c>
      <c r="J2266" s="15" t="s">
        <v>11721</v>
      </c>
      <c r="K2266" s="15" t="s">
        <v>997</v>
      </c>
      <c r="L2266" s="15" t="s">
        <v>998</v>
      </c>
      <c r="M2266" s="15" t="s">
        <v>1325</v>
      </c>
      <c r="N2266" s="15" t="s">
        <v>1326</v>
      </c>
      <c r="O2266" s="15" t="s">
        <v>82</v>
      </c>
      <c r="P2266" s="15" t="s">
        <v>2576</v>
      </c>
      <c r="Q2266" s="15" t="s">
        <v>2577</v>
      </c>
      <c r="R2266" s="16">
        <v>44329</v>
      </c>
      <c r="S2266" s="17" t="s">
        <v>70</v>
      </c>
      <c r="T2266" s="20">
        <f>HYPERLINK("https://vnm.spiral.com.vn//uploaded/20210513/a45c8547-0934-464a-a5b3-a013474939d0.JPEG","10:25:00")</f>
      </c>
      <c r="U2266" s="20">
        <f>HYPERLINK("https://vnm.spiral.com.vn//uploaded/20210513/f6e21d17-23ed-4e31-9a9b-45ef8099a2c7.JPEG","11:03:50")</f>
      </c>
      <c r="V2266" s="18">
        <v>0.02696759259259259</v>
      </c>
      <c r="W2266" s="15" t="s">
        <v>11722</v>
      </c>
      <c r="X2266" s="15" t="s">
        <v>11723</v>
      </c>
      <c r="Y2266" s="15" t="s">
        <v>35</v>
      </c>
      <c r="Z2266" s="19">
        <v>0</v>
      </c>
      <c r="AA2266" s="15">
        <v>0</v>
      </c>
      <c r="AB2266" s="15" t="s">
        <v>35</v>
      </c>
    </row>
    <row r="2267">
      <c r="A2267" s="15">
        <v>2263</v>
      </c>
      <c r="B2267" s="15" t="s">
        <v>103</v>
      </c>
      <c r="C2267" s="15" t="s">
        <v>1078</v>
      </c>
      <c r="D2267" s="15" t="s">
        <v>135</v>
      </c>
      <c r="E2267" s="15" t="s">
        <v>116</v>
      </c>
      <c r="F2267" s="15" t="s">
        <v>35</v>
      </c>
      <c r="G2267" s="15" t="s">
        <v>74</v>
      </c>
      <c r="H2267" s="15" t="s">
        <v>11724</v>
      </c>
      <c r="I2267" s="15" t="s">
        <v>11725</v>
      </c>
      <c r="J2267" s="15" t="s">
        <v>11726</v>
      </c>
      <c r="K2267" s="15" t="s">
        <v>436</v>
      </c>
      <c r="L2267" s="15" t="s">
        <v>437</v>
      </c>
      <c r="M2267" s="15" t="s">
        <v>1429</v>
      </c>
      <c r="N2267" s="15" t="s">
        <v>1430</v>
      </c>
      <c r="O2267" s="15" t="s">
        <v>82</v>
      </c>
      <c r="P2267" s="15" t="s">
        <v>1825</v>
      </c>
      <c r="Q2267" s="15" t="s">
        <v>144</v>
      </c>
      <c r="R2267" s="16">
        <v>44329</v>
      </c>
      <c r="S2267" s="17" t="s">
        <v>70</v>
      </c>
      <c r="T2267" s="20">
        <f>HYPERLINK("https://vnm.spiral.com.vn//uploaded/20210513/f1235b1f-d6ae-4d50-bafa-bb825052114b.JPEG","10:17:00")</f>
      </c>
      <c r="U2267" s="20">
        <f>HYPERLINK("https://vnm.spiral.com.vn//uploaded/20210513/73d7e04e-a6a2-44ea-9b32-765eaafd46cd.JPEG","11:03:48")</f>
      </c>
      <c r="V2267" s="18">
        <v>0.0325</v>
      </c>
      <c r="W2267" s="15" t="s">
        <v>11727</v>
      </c>
      <c r="X2267" s="15" t="s">
        <v>11728</v>
      </c>
      <c r="Y2267" s="15" t="s">
        <v>35</v>
      </c>
      <c r="Z2267" s="19">
        <v>0</v>
      </c>
      <c r="AA2267" s="15">
        <v>0</v>
      </c>
      <c r="AB2267" s="15" t="s">
        <v>35</v>
      </c>
    </row>
    <row r="2268">
      <c r="A2268" s="15">
        <v>2264</v>
      </c>
      <c r="B2268" s="15" t="s">
        <v>246</v>
      </c>
      <c r="C2268" s="15" t="s">
        <v>247</v>
      </c>
      <c r="D2268" s="15" t="s">
        <v>35</v>
      </c>
      <c r="E2268" s="15" t="s">
        <v>35</v>
      </c>
      <c r="F2268" s="15" t="s">
        <v>7347</v>
      </c>
      <c r="G2268" s="15" t="s">
        <v>36</v>
      </c>
      <c r="H2268" s="15" t="s">
        <v>7348</v>
      </c>
      <c r="I2268" s="15" t="s">
        <v>7349</v>
      </c>
      <c r="J2268" s="15" t="s">
        <v>7350</v>
      </c>
      <c r="K2268" s="15" t="s">
        <v>40</v>
      </c>
      <c r="L2268" s="15" t="s">
        <v>41</v>
      </c>
      <c r="M2268" s="15" t="s">
        <v>252</v>
      </c>
      <c r="N2268" s="15" t="s">
        <v>253</v>
      </c>
      <c r="O2268" s="15" t="s">
        <v>44</v>
      </c>
      <c r="P2268" s="15" t="s">
        <v>7351</v>
      </c>
      <c r="Q2268" s="15" t="s">
        <v>7352</v>
      </c>
      <c r="R2268" s="16">
        <v>44329</v>
      </c>
      <c r="S2268" s="17" t="s">
        <v>3018</v>
      </c>
      <c r="T2268" s="20">
        <f>HYPERLINK("https://vnm.spiral.com.vn//uploaded/20210513/f334460a-e84c-4bac-861a-e4907c8265a7.JPEG","07:59:18")</f>
      </c>
      <c r="U2268" s="20">
        <f>HYPERLINK("https://vnm.spiral.com.vn//uploaded/20210513/a0244b86-7afe-46b2-9aa8-86f3dd3b1c7f.JPEG","11:03:46")</f>
      </c>
      <c r="V2268" s="18">
        <v>0.12810185185185186</v>
      </c>
      <c r="W2268" s="15" t="s">
        <v>11729</v>
      </c>
      <c r="X2268" s="15" t="s">
        <v>11730</v>
      </c>
      <c r="Y2268" s="15" t="s">
        <v>35</v>
      </c>
      <c r="Z2268" s="19">
        <v>0</v>
      </c>
      <c r="AA2268" s="15">
        <v>0</v>
      </c>
      <c r="AB2268" s="15" t="s">
        <v>35</v>
      </c>
    </row>
    <row r="2269">
      <c r="A2269" s="15">
        <v>2265</v>
      </c>
      <c r="B2269" s="15" t="s">
        <v>33</v>
      </c>
      <c r="C2269" s="15" t="s">
        <v>34</v>
      </c>
      <c r="D2269" s="15" t="s">
        <v>35</v>
      </c>
      <c r="E2269" s="15" t="s">
        <v>35</v>
      </c>
      <c r="F2269" s="15" t="s">
        <v>35</v>
      </c>
      <c r="G2269" s="15" t="s">
        <v>36</v>
      </c>
      <c r="H2269" s="15" t="s">
        <v>8072</v>
      </c>
      <c r="I2269" s="15" t="s">
        <v>8073</v>
      </c>
      <c r="J2269" s="15" t="s">
        <v>8074</v>
      </c>
      <c r="K2269" s="15" t="s">
        <v>40</v>
      </c>
      <c r="L2269" s="15" t="s">
        <v>41</v>
      </c>
      <c r="M2269" s="15" t="s">
        <v>42</v>
      </c>
      <c r="N2269" s="15" t="s">
        <v>43</v>
      </c>
      <c r="O2269" s="15" t="s">
        <v>44</v>
      </c>
      <c r="P2269" s="15" t="s">
        <v>8075</v>
      </c>
      <c r="Q2269" s="15" t="s">
        <v>8076</v>
      </c>
      <c r="R2269" s="16">
        <v>44329</v>
      </c>
      <c r="S2269" s="17" t="s">
        <v>8968</v>
      </c>
      <c r="T2269" s="20">
        <f>HYPERLINK("https://vnm.spiral.com.vn//uploaded/20210513/12CB086F-570C-4C02-A767-AA5396DEE467.jpg","07:03:16")</f>
      </c>
      <c r="U2269" s="20">
        <f>HYPERLINK("https://vnm.spiral.com.vn//uploaded/20210513/4AFCD371-965C-4594-AE1D-3A37210FD153.jpg","11:03:39")</f>
      </c>
      <c r="V2269" s="18">
        <v>0.16693287037037038</v>
      </c>
      <c r="W2269" s="15" t="s">
        <v>11731</v>
      </c>
      <c r="X2269" s="15" t="s">
        <v>11732</v>
      </c>
      <c r="Y2269" s="15" t="s">
        <v>35</v>
      </c>
      <c r="Z2269" s="19">
        <v>0</v>
      </c>
      <c r="AA2269" s="15">
        <v>0</v>
      </c>
      <c r="AB2269" s="15" t="s">
        <v>35</v>
      </c>
    </row>
    <row r="2270">
      <c r="A2270" s="15">
        <v>2266</v>
      </c>
      <c r="B2270" s="15" t="s">
        <v>87</v>
      </c>
      <c r="C2270" s="15" t="s">
        <v>88</v>
      </c>
      <c r="D2270" s="15" t="s">
        <v>432</v>
      </c>
      <c r="E2270" s="15" t="s">
        <v>116</v>
      </c>
      <c r="F2270" s="15" t="s">
        <v>35</v>
      </c>
      <c r="G2270" s="15" t="s">
        <v>74</v>
      </c>
      <c r="H2270" s="15" t="s">
        <v>11733</v>
      </c>
      <c r="I2270" s="15" t="s">
        <v>11734</v>
      </c>
      <c r="J2270" s="15" t="s">
        <v>11735</v>
      </c>
      <c r="K2270" s="15" t="s">
        <v>625</v>
      </c>
      <c r="L2270" s="15" t="s">
        <v>626</v>
      </c>
      <c r="M2270" s="15" t="s">
        <v>627</v>
      </c>
      <c r="N2270" s="15" t="s">
        <v>628</v>
      </c>
      <c r="O2270" s="15" t="s">
        <v>82</v>
      </c>
      <c r="P2270" s="15" t="s">
        <v>851</v>
      </c>
      <c r="Q2270" s="15" t="s">
        <v>852</v>
      </c>
      <c r="R2270" s="16">
        <v>44329</v>
      </c>
      <c r="S2270" s="17" t="s">
        <v>70</v>
      </c>
      <c r="T2270" s="20">
        <f>HYPERLINK("https://vnm.spiral.com.vn//uploaded/20210513/690BDD2E-092C-4C44-BF54-93775F06945A.jpg","10:40:24")</f>
      </c>
      <c r="U2270" s="20">
        <f>HYPERLINK("https://vnm.spiral.com.vn//uploaded/20210513/52CDDE01-D9E2-4B70-91E6-7F9714A3A78E.jpg","11:03:32")</f>
      </c>
      <c r="V2270" s="18">
        <v>0.016064814814814816</v>
      </c>
      <c r="W2270" s="15" t="s">
        <v>11736</v>
      </c>
      <c r="X2270" s="15" t="s">
        <v>11737</v>
      </c>
      <c r="Y2270" s="15" t="s">
        <v>35</v>
      </c>
      <c r="Z2270" s="19">
        <v>0</v>
      </c>
      <c r="AA2270" s="15">
        <v>0</v>
      </c>
      <c r="AB2270" s="15" t="s">
        <v>35</v>
      </c>
    </row>
    <row r="2271">
      <c r="A2271" s="15">
        <v>2267</v>
      </c>
      <c r="B2271" s="15" t="s">
        <v>61</v>
      </c>
      <c r="C2271" s="15" t="s">
        <v>712</v>
      </c>
      <c r="D2271" s="15" t="s">
        <v>35</v>
      </c>
      <c r="E2271" s="15" t="s">
        <v>35</v>
      </c>
      <c r="F2271" s="15" t="s">
        <v>35</v>
      </c>
      <c r="G2271" s="15" t="s">
        <v>36</v>
      </c>
      <c r="H2271" s="15" t="s">
        <v>4984</v>
      </c>
      <c r="I2271" s="15" t="s">
        <v>4985</v>
      </c>
      <c r="J2271" s="15" t="s">
        <v>4986</v>
      </c>
      <c r="K2271" s="15" t="s">
        <v>40</v>
      </c>
      <c r="L2271" s="15" t="s">
        <v>41</v>
      </c>
      <c r="M2271" s="15" t="s">
        <v>205</v>
      </c>
      <c r="N2271" s="15" t="s">
        <v>206</v>
      </c>
      <c r="O2271" s="15" t="s">
        <v>44</v>
      </c>
      <c r="P2271" s="15" t="s">
        <v>4987</v>
      </c>
      <c r="Q2271" s="15" t="s">
        <v>4988</v>
      </c>
      <c r="R2271" s="16">
        <v>44329</v>
      </c>
      <c r="S2271" s="17" t="s">
        <v>8968</v>
      </c>
      <c r="T2271" s="20">
        <f>HYPERLINK("https://vnm.spiral.com.vn//uploaded/20210513/8484b6b0-dd2a-4efc-b684-ed3a9c115a9b.JPEG","06:56:47")</f>
      </c>
      <c r="U2271" s="20">
        <f>HYPERLINK("https://vnm.spiral.com.vn//uploaded/20210513/a6963358-a7c9-43ec-aa0a-2d0480eea81d.JPEG","11:03:26")</f>
      </c>
      <c r="V2271" s="18">
        <v>0.1712847222222222</v>
      </c>
      <c r="W2271" s="15" t="s">
        <v>11738</v>
      </c>
      <c r="X2271" s="15" t="s">
        <v>11739</v>
      </c>
      <c r="Y2271" s="15" t="s">
        <v>35</v>
      </c>
      <c r="Z2271" s="19">
        <v>0</v>
      </c>
      <c r="AA2271" s="15">
        <v>0</v>
      </c>
      <c r="AB2271" s="15" t="s">
        <v>35</v>
      </c>
    </row>
    <row r="2272">
      <c r="A2272" s="15">
        <v>2268</v>
      </c>
      <c r="B2272" s="15" t="s">
        <v>61</v>
      </c>
      <c r="C2272" s="15" t="s">
        <v>147</v>
      </c>
      <c r="D2272" s="15" t="s">
        <v>35</v>
      </c>
      <c r="E2272" s="15" t="s">
        <v>35</v>
      </c>
      <c r="F2272" s="15" t="s">
        <v>35</v>
      </c>
      <c r="G2272" s="15" t="s">
        <v>36</v>
      </c>
      <c r="H2272" s="15" t="s">
        <v>2558</v>
      </c>
      <c r="I2272" s="15" t="s">
        <v>2559</v>
      </c>
      <c r="J2272" s="15" t="s">
        <v>2560</v>
      </c>
      <c r="K2272" s="15" t="s">
        <v>40</v>
      </c>
      <c r="L2272" s="15" t="s">
        <v>41</v>
      </c>
      <c r="M2272" s="15" t="s">
        <v>66</v>
      </c>
      <c r="N2272" s="15" t="s">
        <v>67</v>
      </c>
      <c r="O2272" s="15" t="s">
        <v>44</v>
      </c>
      <c r="P2272" s="15" t="s">
        <v>2561</v>
      </c>
      <c r="Q2272" s="15" t="s">
        <v>2562</v>
      </c>
      <c r="R2272" s="16">
        <v>44329</v>
      </c>
      <c r="S2272" s="17" t="s">
        <v>8968</v>
      </c>
      <c r="T2272" s="20">
        <f>HYPERLINK("https://vnm.spiral.com.vn//uploaded/20210513/6931E24C-AEE3-48B8-A57F-BA7B50588F12.jpg","07:08:47")</f>
      </c>
      <c r="U2272" s="20">
        <f>HYPERLINK("https://vnm.spiral.com.vn//uploaded/20210513/B5C307A0-B5D4-4CDD-B7D1-BBDD6A91494F.jpg","11:03:26")</f>
      </c>
      <c r="V2272" s="18">
        <v>0.16295138888888888</v>
      </c>
      <c r="W2272" s="15" t="s">
        <v>11740</v>
      </c>
      <c r="X2272" s="15" t="s">
        <v>11740</v>
      </c>
      <c r="Y2272" s="15" t="s">
        <v>35</v>
      </c>
      <c r="Z2272" s="19">
        <v>0</v>
      </c>
      <c r="AA2272" s="15">
        <v>0</v>
      </c>
      <c r="AB2272" s="15" t="s">
        <v>35</v>
      </c>
    </row>
    <row r="2273">
      <c r="A2273" s="15">
        <v>2269</v>
      </c>
      <c r="B2273" s="15" t="s">
        <v>343</v>
      </c>
      <c r="C2273" s="15" t="s">
        <v>344</v>
      </c>
      <c r="D2273" s="15" t="s">
        <v>1644</v>
      </c>
      <c r="E2273" s="15" t="s">
        <v>35</v>
      </c>
      <c r="F2273" s="15" t="s">
        <v>35</v>
      </c>
      <c r="G2273" s="15" t="s">
        <v>74</v>
      </c>
      <c r="H2273" s="15" t="s">
        <v>11741</v>
      </c>
      <c r="I2273" s="15" t="s">
        <v>11742</v>
      </c>
      <c r="J2273" s="15" t="s">
        <v>11743</v>
      </c>
      <c r="K2273" s="15" t="s">
        <v>584</v>
      </c>
      <c r="L2273" s="15" t="s">
        <v>585</v>
      </c>
      <c r="M2273" s="15" t="s">
        <v>827</v>
      </c>
      <c r="N2273" s="15" t="s">
        <v>828</v>
      </c>
      <c r="O2273" s="15" t="s">
        <v>82</v>
      </c>
      <c r="P2273" s="15" t="s">
        <v>2471</v>
      </c>
      <c r="Q2273" s="15" t="s">
        <v>2472</v>
      </c>
      <c r="R2273" s="16">
        <v>44329</v>
      </c>
      <c r="S2273" s="17" t="s">
        <v>70</v>
      </c>
      <c r="T2273" s="20">
        <f>HYPERLINK("https://vnm.spiral.com.vn//uploaded/20210513/AEBFC669-E99E-47ED-A1A6-79653382C967.jpg","10:48:09")</f>
      </c>
      <c r="U2273" s="20">
        <f>HYPERLINK("https://vnm.spiral.com.vn//uploaded/20210513/F9691CE2-9466-42CD-AFFD-28E5B58D4085.jpg","11:03:22")</f>
      </c>
      <c r="V2273" s="18">
        <v>0.01056712962962963</v>
      </c>
      <c r="W2273" s="15" t="s">
        <v>11744</v>
      </c>
      <c r="X2273" s="15" t="s">
        <v>11745</v>
      </c>
      <c r="Y2273" s="15" t="s">
        <v>35</v>
      </c>
      <c r="Z2273" s="19">
        <v>0</v>
      </c>
      <c r="AA2273" s="15">
        <v>0</v>
      </c>
      <c r="AB2273" s="15" t="s">
        <v>35</v>
      </c>
    </row>
    <row r="2274">
      <c r="A2274" s="15">
        <v>2270</v>
      </c>
      <c r="B2274" s="15" t="s">
        <v>61</v>
      </c>
      <c r="C2274" s="15" t="s">
        <v>442</v>
      </c>
      <c r="D2274" s="15" t="s">
        <v>89</v>
      </c>
      <c r="E2274" s="15" t="s">
        <v>90</v>
      </c>
      <c r="F2274" s="15" t="s">
        <v>35</v>
      </c>
      <c r="G2274" s="15" t="s">
        <v>74</v>
      </c>
      <c r="H2274" s="15" t="s">
        <v>11746</v>
      </c>
      <c r="I2274" s="15" t="s">
        <v>11747</v>
      </c>
      <c r="J2274" s="15" t="s">
        <v>11748</v>
      </c>
      <c r="K2274" s="15" t="s">
        <v>232</v>
      </c>
      <c r="L2274" s="15" t="s">
        <v>233</v>
      </c>
      <c r="M2274" s="15" t="s">
        <v>453</v>
      </c>
      <c r="N2274" s="15" t="s">
        <v>454</v>
      </c>
      <c r="O2274" s="15" t="s">
        <v>156</v>
      </c>
      <c r="P2274" s="15" t="s">
        <v>11749</v>
      </c>
      <c r="Q2274" s="15" t="s">
        <v>11750</v>
      </c>
      <c r="R2274" s="16">
        <v>44329</v>
      </c>
      <c r="S2274" s="17" t="s">
        <v>9411</v>
      </c>
      <c r="T2274" s="20">
        <f>HYPERLINK("https://vnm.spiral.com.vn//uploaded/20210513/4D4A5D9E-1C8A-4981-9E41-A2E720365174.jpg","11:03:21")</f>
      </c>
      <c r="U2274" s="18"/>
      <c r="V2274" s="18" t="s">
        <v>35</v>
      </c>
      <c r="W2274" s="15" t="s">
        <v>11751</v>
      </c>
      <c r="X2274" s="15" t="s">
        <v>35</v>
      </c>
      <c r="Y2274" s="15" t="s">
        <v>35</v>
      </c>
      <c r="Z2274" s="19">
        <v>0</v>
      </c>
      <c r="AA2274" s="15">
        <v>0</v>
      </c>
      <c r="AB2274" s="15" t="s">
        <v>35</v>
      </c>
    </row>
    <row r="2275">
      <c r="A2275" s="15">
        <v>2271</v>
      </c>
      <c r="B2275" s="15" t="s">
        <v>343</v>
      </c>
      <c r="C2275" s="15" t="s">
        <v>344</v>
      </c>
      <c r="D2275" s="15" t="s">
        <v>345</v>
      </c>
      <c r="E2275" s="15" t="s">
        <v>90</v>
      </c>
      <c r="F2275" s="15" t="s">
        <v>35</v>
      </c>
      <c r="G2275" s="15" t="s">
        <v>74</v>
      </c>
      <c r="H2275" s="15" t="s">
        <v>11752</v>
      </c>
      <c r="I2275" s="15" t="s">
        <v>11753</v>
      </c>
      <c r="J2275" s="15" t="s">
        <v>11754</v>
      </c>
      <c r="K2275" s="15" t="s">
        <v>349</v>
      </c>
      <c r="L2275" s="15" t="s">
        <v>350</v>
      </c>
      <c r="M2275" s="15" t="s">
        <v>351</v>
      </c>
      <c r="N2275" s="15" t="s">
        <v>352</v>
      </c>
      <c r="O2275" s="15" t="s">
        <v>82</v>
      </c>
      <c r="P2275" s="15" t="s">
        <v>3737</v>
      </c>
      <c r="Q2275" s="15" t="s">
        <v>3738</v>
      </c>
      <c r="R2275" s="16">
        <v>44329</v>
      </c>
      <c r="S2275" s="17" t="s">
        <v>70</v>
      </c>
      <c r="T2275" s="20">
        <f>HYPERLINK("https://vnm.spiral.com.vn//uploaded/20210513/36c6de48-35cb-45cd-89a1-89850c3a852d.JPEG","07:56:26")</f>
      </c>
      <c r="U2275" s="20">
        <f>HYPERLINK("https://vnm.spiral.com.vn//uploaded/20210513/cee9b77e-b248-4ce8-b5fd-a170264e9d81.JPEG","11:03:13")</f>
      </c>
      <c r="V2275" s="18">
        <v>0.12971064814814814</v>
      </c>
      <c r="W2275" s="15" t="s">
        <v>11755</v>
      </c>
      <c r="X2275" s="15" t="s">
        <v>11756</v>
      </c>
      <c r="Y2275" s="15" t="s">
        <v>35</v>
      </c>
      <c r="Z2275" s="19">
        <v>0</v>
      </c>
      <c r="AA2275" s="15">
        <v>0</v>
      </c>
      <c r="AB2275" s="15" t="s">
        <v>35</v>
      </c>
    </row>
    <row r="2276">
      <c r="A2276" s="15">
        <v>2272</v>
      </c>
      <c r="B2276" s="15" t="s">
        <v>61</v>
      </c>
      <c r="C2276" s="15" t="s">
        <v>303</v>
      </c>
      <c r="D2276" s="15" t="s">
        <v>35</v>
      </c>
      <c r="E2276" s="15" t="s">
        <v>35</v>
      </c>
      <c r="F2276" s="15" t="s">
        <v>1947</v>
      </c>
      <c r="G2276" s="15" t="s">
        <v>36</v>
      </c>
      <c r="H2276" s="15" t="s">
        <v>8605</v>
      </c>
      <c r="I2276" s="15" t="s">
        <v>8606</v>
      </c>
      <c r="J2276" s="15" t="s">
        <v>8607</v>
      </c>
      <c r="K2276" s="15" t="s">
        <v>40</v>
      </c>
      <c r="L2276" s="15" t="s">
        <v>41</v>
      </c>
      <c r="M2276" s="15" t="s">
        <v>205</v>
      </c>
      <c r="N2276" s="15" t="s">
        <v>206</v>
      </c>
      <c r="O2276" s="15" t="s">
        <v>44</v>
      </c>
      <c r="P2276" s="15" t="s">
        <v>8608</v>
      </c>
      <c r="Q2276" s="15" t="s">
        <v>8609</v>
      </c>
      <c r="R2276" s="16">
        <v>44329</v>
      </c>
      <c r="S2276" s="17" t="s">
        <v>8968</v>
      </c>
      <c r="T2276" s="20">
        <f>HYPERLINK("https://vnm.spiral.com.vn//uploaded/20210513/78b51f50-693e-42ea-a0d8-ed705d570f33.JPEG","06:54:51")</f>
      </c>
      <c r="U2276" s="20">
        <f>HYPERLINK("https://vnm.spiral.com.vn//uploaded/20210513/a5cd5e21-5021-4a4d-b998-c45760c0b4b5.JPEG","11:03:02")</f>
      </c>
      <c r="V2276" s="18">
        <v>0.17234953703703704</v>
      </c>
      <c r="W2276" s="15" t="s">
        <v>11757</v>
      </c>
      <c r="X2276" s="15" t="s">
        <v>11758</v>
      </c>
      <c r="Y2276" s="15" t="s">
        <v>35</v>
      </c>
      <c r="Z2276" s="19">
        <v>0</v>
      </c>
      <c r="AA2276" s="15">
        <v>0</v>
      </c>
      <c r="AB2276" s="15" t="s">
        <v>35</v>
      </c>
    </row>
    <row r="2277">
      <c r="A2277" s="15">
        <v>2273</v>
      </c>
      <c r="B2277" s="15" t="s">
        <v>33</v>
      </c>
      <c r="C2277" s="15" t="s">
        <v>765</v>
      </c>
      <c r="D2277" s="15" t="s">
        <v>35</v>
      </c>
      <c r="E2277" s="15" t="s">
        <v>35</v>
      </c>
      <c r="F2277" s="15" t="s">
        <v>35</v>
      </c>
      <c r="G2277" s="15" t="s">
        <v>74</v>
      </c>
      <c r="H2277" s="15" t="s">
        <v>11759</v>
      </c>
      <c r="I2277" s="15" t="s">
        <v>11760</v>
      </c>
      <c r="J2277" s="15" t="s">
        <v>11761</v>
      </c>
      <c r="K2277" s="15" t="s">
        <v>769</v>
      </c>
      <c r="L2277" s="15" t="s">
        <v>770</v>
      </c>
      <c r="M2277" s="15" t="s">
        <v>1532</v>
      </c>
      <c r="N2277" s="15" t="s">
        <v>1533</v>
      </c>
      <c r="O2277" s="15" t="s">
        <v>82</v>
      </c>
      <c r="P2277" s="15" t="s">
        <v>3805</v>
      </c>
      <c r="Q2277" s="15" t="s">
        <v>3806</v>
      </c>
      <c r="R2277" s="16">
        <v>44329</v>
      </c>
      <c r="S2277" s="17" t="s">
        <v>70</v>
      </c>
      <c r="T2277" s="20">
        <f>HYPERLINK("https://vnm.spiral.com.vn//uploaded/20210513/efff2130-7a63-4946-8cfd-6e433d34f732.JPEG","10:46:57")</f>
      </c>
      <c r="U2277" s="20">
        <f>HYPERLINK("https://vnm.spiral.com.vn//uploaded/20210513/9da00d6e-5c96-47aa-9653-c483bf829f14.JPEG","11:02:57")</f>
      </c>
      <c r="V2277" s="18">
        <v>0.011111111111111112</v>
      </c>
      <c r="W2277" s="15" t="s">
        <v>11762</v>
      </c>
      <c r="X2277" s="15" t="s">
        <v>11763</v>
      </c>
      <c r="Y2277" s="15" t="s">
        <v>35</v>
      </c>
      <c r="Z2277" s="19">
        <v>0</v>
      </c>
      <c r="AA2277" s="15">
        <v>0</v>
      </c>
      <c r="AB2277" s="15" t="s">
        <v>35</v>
      </c>
    </row>
    <row r="2278">
      <c r="A2278" s="15">
        <v>2274</v>
      </c>
      <c r="B2278" s="15" t="s">
        <v>103</v>
      </c>
      <c r="C2278" s="15" t="s">
        <v>174</v>
      </c>
      <c r="D2278" s="15" t="s">
        <v>35</v>
      </c>
      <c r="E2278" s="15" t="s">
        <v>35</v>
      </c>
      <c r="F2278" s="15" t="s">
        <v>35</v>
      </c>
      <c r="G2278" s="15" t="s">
        <v>35</v>
      </c>
      <c r="H2278" s="15" t="s">
        <v>8127</v>
      </c>
      <c r="I2278" s="15" t="s">
        <v>8128</v>
      </c>
      <c r="J2278" s="15" t="s">
        <v>8129</v>
      </c>
      <c r="K2278" s="15" t="s">
        <v>40</v>
      </c>
      <c r="L2278" s="15" t="s">
        <v>41</v>
      </c>
      <c r="M2278" s="15" t="s">
        <v>108</v>
      </c>
      <c r="N2278" s="15" t="s">
        <v>109</v>
      </c>
      <c r="O2278" s="15" t="s">
        <v>44</v>
      </c>
      <c r="P2278" s="15" t="s">
        <v>8130</v>
      </c>
      <c r="Q2278" s="15" t="s">
        <v>8131</v>
      </c>
      <c r="R2278" s="16">
        <v>44329</v>
      </c>
      <c r="S2278" s="17" t="s">
        <v>8968</v>
      </c>
      <c r="T2278" s="20">
        <f>HYPERLINK("https://vnm.spiral.com.vn//uploaded/20210513/5ecc4413-88b2-47d7-8757-034721c60b99.JPEG","07:04:42")</f>
      </c>
      <c r="U2278" s="20">
        <f>HYPERLINK("https://vnm.spiral.com.vn//uploaded/20210513/b273afe3-f0c5-4a76-b7d7-e82581d48be4.JPEG","11:02:54")</f>
      </c>
      <c r="V2278" s="18">
        <v>0.16541666666666666</v>
      </c>
      <c r="W2278" s="15" t="s">
        <v>11764</v>
      </c>
      <c r="X2278" s="15" t="s">
        <v>11765</v>
      </c>
      <c r="Y2278" s="15" t="s">
        <v>35</v>
      </c>
      <c r="Z2278" s="19">
        <v>0</v>
      </c>
      <c r="AA2278" s="15">
        <v>0</v>
      </c>
      <c r="AB2278" s="15" t="s">
        <v>35</v>
      </c>
    </row>
    <row r="2279">
      <c r="A2279" s="15">
        <v>2275</v>
      </c>
      <c r="B2279" s="15" t="s">
        <v>87</v>
      </c>
      <c r="C2279" s="15" t="s">
        <v>88</v>
      </c>
      <c r="D2279" s="15" t="s">
        <v>357</v>
      </c>
      <c r="E2279" s="15" t="s">
        <v>90</v>
      </c>
      <c r="F2279" s="15" t="s">
        <v>35</v>
      </c>
      <c r="G2279" s="15" t="s">
        <v>74</v>
      </c>
      <c r="H2279" s="15" t="s">
        <v>11766</v>
      </c>
      <c r="I2279" s="15" t="s">
        <v>11767</v>
      </c>
      <c r="J2279" s="15" t="s">
        <v>11768</v>
      </c>
      <c r="K2279" s="15" t="s">
        <v>94</v>
      </c>
      <c r="L2279" s="15" t="s">
        <v>95</v>
      </c>
      <c r="M2279" s="15" t="s">
        <v>1570</v>
      </c>
      <c r="N2279" s="15" t="s">
        <v>1571</v>
      </c>
      <c r="O2279" s="15" t="s">
        <v>98</v>
      </c>
      <c r="P2279" s="15" t="s">
        <v>2024</v>
      </c>
      <c r="Q2279" s="15" t="s">
        <v>2025</v>
      </c>
      <c r="R2279" s="16">
        <v>44329</v>
      </c>
      <c r="S2279" s="17" t="s">
        <v>70</v>
      </c>
      <c r="T2279" s="20">
        <f>HYPERLINK("https://vnm.spiral.com.vn//uploaded/20210513/a948ef11-9385-4a58-9aa9-2cdbef6cff79.JPEG","10:32:52")</f>
      </c>
      <c r="U2279" s="20">
        <f>HYPERLINK("https://vnm.spiral.com.vn//uploaded/20210513/bef1ac8a-4661-4653-834a-ca0da222b27e.JPEG","11:02:29")</f>
      </c>
      <c r="V2279" s="18">
        <v>0.02056712962962963</v>
      </c>
      <c r="W2279" s="15" t="s">
        <v>11769</v>
      </c>
      <c r="X2279" s="15" t="s">
        <v>11770</v>
      </c>
      <c r="Y2279" s="15" t="s">
        <v>35</v>
      </c>
      <c r="Z2279" s="19">
        <v>0</v>
      </c>
      <c r="AA2279" s="15">
        <v>0</v>
      </c>
      <c r="AB2279" s="15" t="s">
        <v>35</v>
      </c>
    </row>
    <row r="2280">
      <c r="A2280" s="15">
        <v>2276</v>
      </c>
      <c r="B2280" s="15" t="s">
        <v>103</v>
      </c>
      <c r="C2280" s="15" t="s">
        <v>186</v>
      </c>
      <c r="D2280" s="15" t="s">
        <v>35</v>
      </c>
      <c r="E2280" s="15" t="s">
        <v>35</v>
      </c>
      <c r="F2280" s="15" t="s">
        <v>35</v>
      </c>
      <c r="G2280" s="15" t="s">
        <v>36</v>
      </c>
      <c r="H2280" s="15" t="s">
        <v>5772</v>
      </c>
      <c r="I2280" s="15" t="s">
        <v>5773</v>
      </c>
      <c r="J2280" s="15" t="s">
        <v>5774</v>
      </c>
      <c r="K2280" s="15" t="s">
        <v>40</v>
      </c>
      <c r="L2280" s="15" t="s">
        <v>41</v>
      </c>
      <c r="M2280" s="15" t="s">
        <v>565</v>
      </c>
      <c r="N2280" s="15" t="s">
        <v>566</v>
      </c>
      <c r="O2280" s="15" t="s">
        <v>44</v>
      </c>
      <c r="P2280" s="15" t="s">
        <v>5775</v>
      </c>
      <c r="Q2280" s="15" t="s">
        <v>5776</v>
      </c>
      <c r="R2280" s="16">
        <v>44329</v>
      </c>
      <c r="S2280" s="17" t="s">
        <v>8968</v>
      </c>
      <c r="T2280" s="20">
        <f>HYPERLINK("https://vnm.spiral.com.vn//uploaded/20210513/394CEB12-E2B0-4E62-A674-3B1C32E37CD2.jpg","06:58:59")</f>
      </c>
      <c r="U2280" s="20">
        <f>HYPERLINK("https://vnm.spiral.com.vn//uploaded/20210513/06416A5D-6CAB-411A-A9F0-B2522FA2AB45.jpg","11:02:29")</f>
      </c>
      <c r="V2280" s="18">
        <v>0.16909722222222223</v>
      </c>
      <c r="W2280" s="15" t="s">
        <v>11771</v>
      </c>
      <c r="X2280" s="15" t="s">
        <v>11772</v>
      </c>
      <c r="Y2280" s="15" t="s">
        <v>35</v>
      </c>
      <c r="Z2280" s="19">
        <v>0</v>
      </c>
      <c r="AA2280" s="15">
        <v>0</v>
      </c>
      <c r="AB2280" s="15" t="s">
        <v>35</v>
      </c>
    </row>
    <row r="2281">
      <c r="A2281" s="15">
        <v>2277</v>
      </c>
      <c r="B2281" s="15" t="s">
        <v>343</v>
      </c>
      <c r="C2281" s="15" t="s">
        <v>344</v>
      </c>
      <c r="D2281" s="15" t="s">
        <v>1644</v>
      </c>
      <c r="E2281" s="15" t="s">
        <v>35</v>
      </c>
      <c r="F2281" s="15" t="s">
        <v>35</v>
      </c>
      <c r="G2281" s="15" t="s">
        <v>74</v>
      </c>
      <c r="H2281" s="15" t="s">
        <v>11773</v>
      </c>
      <c r="I2281" s="15" t="s">
        <v>11774</v>
      </c>
      <c r="J2281" s="15" t="s">
        <v>11775</v>
      </c>
      <c r="K2281" s="15" t="s">
        <v>540</v>
      </c>
      <c r="L2281" s="15" t="s">
        <v>541</v>
      </c>
      <c r="M2281" s="15" t="s">
        <v>584</v>
      </c>
      <c r="N2281" s="15" t="s">
        <v>585</v>
      </c>
      <c r="O2281" s="15" t="s">
        <v>98</v>
      </c>
      <c r="P2281" s="15" t="s">
        <v>827</v>
      </c>
      <c r="Q2281" s="15" t="s">
        <v>828</v>
      </c>
      <c r="R2281" s="16">
        <v>44329</v>
      </c>
      <c r="S2281" s="17" t="s">
        <v>35</v>
      </c>
      <c r="T2281" s="20">
        <f>HYPERLINK("https://vnm.spiral.com.vn//uploaded/20210513/351C4751-41AA-40DA-A4C3-0D7CA6C044EC.jpg","10:31:37")</f>
      </c>
      <c r="U2281" s="20">
        <f>HYPERLINK("https://vnm.spiral.com.vn//uploaded/20210513/967CCA61-B9E4-4C2A-9034-97B73A7AA348.jpg","11:02:25")</f>
      </c>
      <c r="V2281" s="18">
        <v>0.021388888888888888</v>
      </c>
      <c r="W2281" s="15" t="s">
        <v>11776</v>
      </c>
      <c r="X2281" s="15" t="s">
        <v>11777</v>
      </c>
      <c r="Y2281" s="15" t="s">
        <v>35</v>
      </c>
      <c r="Z2281" s="19">
        <v>0</v>
      </c>
      <c r="AA2281" s="15">
        <v>0</v>
      </c>
      <c r="AB2281" s="15" t="s">
        <v>35</v>
      </c>
    </row>
    <row r="2282">
      <c r="A2282" s="15">
        <v>2278</v>
      </c>
      <c r="B2282" s="15" t="s">
        <v>87</v>
      </c>
      <c r="C2282" s="15" t="s">
        <v>88</v>
      </c>
      <c r="D2282" s="15" t="s">
        <v>89</v>
      </c>
      <c r="E2282" s="15" t="s">
        <v>90</v>
      </c>
      <c r="F2282" s="15" t="s">
        <v>35</v>
      </c>
      <c r="G2282" s="15" t="s">
        <v>74</v>
      </c>
      <c r="H2282" s="15" t="s">
        <v>3296</v>
      </c>
      <c r="I2282" s="15" t="s">
        <v>3297</v>
      </c>
      <c r="J2282" s="15" t="s">
        <v>3298</v>
      </c>
      <c r="K2282" s="15" t="s">
        <v>94</v>
      </c>
      <c r="L2282" s="15" t="s">
        <v>95</v>
      </c>
      <c r="M2282" s="15" t="s">
        <v>96</v>
      </c>
      <c r="N2282" s="15" t="s">
        <v>97</v>
      </c>
      <c r="O2282" s="15" t="s">
        <v>98</v>
      </c>
      <c r="P2282" s="15" t="s">
        <v>1831</v>
      </c>
      <c r="Q2282" s="15" t="s">
        <v>1832</v>
      </c>
      <c r="R2282" s="16">
        <v>44329</v>
      </c>
      <c r="S2282" s="17" t="s">
        <v>70</v>
      </c>
      <c r="T2282" s="20">
        <f>HYPERLINK("https://vnm.spiral.com.vn//uploaded/20210513/154393c3-76af-4525-9efd-9b330d8f614a.JPEG","10:02:10")</f>
      </c>
      <c r="U2282" s="20">
        <f>HYPERLINK("https://vnm.spiral.com.vn//uploaded/20210513/a1ef1592-4cd6-4f9a-a40c-7943951ace19.JPEG","11:02:13")</f>
      </c>
      <c r="V2282" s="18">
        <v>0.04170138888888889</v>
      </c>
      <c r="W2282" s="15" t="s">
        <v>11778</v>
      </c>
      <c r="X2282" s="15" t="s">
        <v>11779</v>
      </c>
      <c r="Y2282" s="15" t="s">
        <v>35</v>
      </c>
      <c r="Z2282" s="19">
        <v>0</v>
      </c>
      <c r="AA2282" s="15">
        <v>0</v>
      </c>
      <c r="AB2282" s="15" t="s">
        <v>35</v>
      </c>
    </row>
    <row r="2283">
      <c r="A2283" s="15">
        <v>2279</v>
      </c>
      <c r="B2283" s="15" t="s">
        <v>61</v>
      </c>
      <c r="C2283" s="15" t="s">
        <v>1106</v>
      </c>
      <c r="D2283" s="15" t="s">
        <v>35</v>
      </c>
      <c r="E2283" s="15" t="s">
        <v>35</v>
      </c>
      <c r="F2283" s="15" t="s">
        <v>35</v>
      </c>
      <c r="G2283" s="15" t="s">
        <v>36</v>
      </c>
      <c r="H2283" s="15" t="s">
        <v>6366</v>
      </c>
      <c r="I2283" s="15" t="s">
        <v>6367</v>
      </c>
      <c r="J2283" s="15" t="s">
        <v>6368</v>
      </c>
      <c r="K2283" s="15" t="s">
        <v>40</v>
      </c>
      <c r="L2283" s="15" t="s">
        <v>41</v>
      </c>
      <c r="M2283" s="15" t="s">
        <v>66</v>
      </c>
      <c r="N2283" s="15" t="s">
        <v>67</v>
      </c>
      <c r="O2283" s="15" t="s">
        <v>44</v>
      </c>
      <c r="P2283" s="15" t="s">
        <v>6369</v>
      </c>
      <c r="Q2283" s="15" t="s">
        <v>6370</v>
      </c>
      <c r="R2283" s="16">
        <v>44329</v>
      </c>
      <c r="S2283" s="17" t="s">
        <v>8968</v>
      </c>
      <c r="T2283" s="20">
        <f>HYPERLINK("https://vnm.spiral.com.vn//uploaded/20210513/8710e2bf-4d14-452e-903c-85e4880c9a5b.JPEG","07:02:12")</f>
      </c>
      <c r="U2283" s="20">
        <f>HYPERLINK("https://vnm.spiral.com.vn//uploaded/20210513/3ce98bf9-ce33-4b7b-98ed-b61cfb6bfd37.JPEG","11:02:10")</f>
      </c>
      <c r="V2283" s="18">
        <v>0.16664351851851852</v>
      </c>
      <c r="W2283" s="15" t="s">
        <v>11780</v>
      </c>
      <c r="X2283" s="15" t="s">
        <v>11781</v>
      </c>
      <c r="Y2283" s="15" t="s">
        <v>35</v>
      </c>
      <c r="Z2283" s="19">
        <v>0</v>
      </c>
      <c r="AA2283" s="15">
        <v>0</v>
      </c>
      <c r="AB2283" s="15" t="s">
        <v>35</v>
      </c>
    </row>
    <row r="2284">
      <c r="A2284" s="15">
        <v>2280</v>
      </c>
      <c r="B2284" s="15" t="s">
        <v>49</v>
      </c>
      <c r="C2284" s="15" t="s">
        <v>756</v>
      </c>
      <c r="D2284" s="15" t="s">
        <v>35</v>
      </c>
      <c r="E2284" s="15" t="s">
        <v>35</v>
      </c>
      <c r="F2284" s="15" t="s">
        <v>4536</v>
      </c>
      <c r="G2284" s="15" t="s">
        <v>36</v>
      </c>
      <c r="H2284" s="15" t="s">
        <v>7065</v>
      </c>
      <c r="I2284" s="15" t="s">
        <v>7066</v>
      </c>
      <c r="J2284" s="15" t="s">
        <v>7067</v>
      </c>
      <c r="K2284" s="15" t="s">
        <v>40</v>
      </c>
      <c r="L2284" s="15" t="s">
        <v>41</v>
      </c>
      <c r="M2284" s="15" t="s">
        <v>55</v>
      </c>
      <c r="N2284" s="15" t="s">
        <v>56</v>
      </c>
      <c r="O2284" s="15" t="s">
        <v>44</v>
      </c>
      <c r="P2284" s="15" t="s">
        <v>7068</v>
      </c>
      <c r="Q2284" s="15" t="s">
        <v>7069</v>
      </c>
      <c r="R2284" s="16">
        <v>44329</v>
      </c>
      <c r="S2284" s="17" t="s">
        <v>7099</v>
      </c>
      <c r="T2284" s="20">
        <f>HYPERLINK("https://vnm.spiral.com.vn//uploaded/20210513/E032F5FC-8435-4050-828F-A85480CC2C91.jpg","07:57:42")</f>
      </c>
      <c r="U2284" s="20">
        <f>HYPERLINK("https://vnm.spiral.com.vn//uploaded/20210513/68A471B5-0EE1-46F2-BC75-336551A93104.jpg","11:02:05")</f>
      </c>
      <c r="V2284" s="18">
        <v>0.1280439814814815</v>
      </c>
      <c r="W2284" s="15" t="s">
        <v>11782</v>
      </c>
      <c r="X2284" s="15" t="s">
        <v>11783</v>
      </c>
      <c r="Y2284" s="15" t="s">
        <v>35</v>
      </c>
      <c r="Z2284" s="19">
        <v>0</v>
      </c>
      <c r="AA2284" s="15">
        <v>0</v>
      </c>
      <c r="AB2284" s="15" t="s">
        <v>35</v>
      </c>
    </row>
    <row r="2285">
      <c r="A2285" s="15">
        <v>2281</v>
      </c>
      <c r="B2285" s="15" t="s">
        <v>103</v>
      </c>
      <c r="C2285" s="15" t="s">
        <v>1078</v>
      </c>
      <c r="D2285" s="15" t="s">
        <v>89</v>
      </c>
      <c r="E2285" s="15" t="s">
        <v>90</v>
      </c>
      <c r="F2285" s="15" t="s">
        <v>35</v>
      </c>
      <c r="G2285" s="15" t="s">
        <v>74</v>
      </c>
      <c r="H2285" s="15" t="s">
        <v>1426</v>
      </c>
      <c r="I2285" s="15" t="s">
        <v>1427</v>
      </c>
      <c r="J2285" s="15" t="s">
        <v>1428</v>
      </c>
      <c r="K2285" s="15" t="s">
        <v>190</v>
      </c>
      <c r="L2285" s="15" t="s">
        <v>191</v>
      </c>
      <c r="M2285" s="15" t="s">
        <v>436</v>
      </c>
      <c r="N2285" s="15" t="s">
        <v>437</v>
      </c>
      <c r="O2285" s="15" t="s">
        <v>98</v>
      </c>
      <c r="P2285" s="15" t="s">
        <v>1429</v>
      </c>
      <c r="Q2285" s="15" t="s">
        <v>1430</v>
      </c>
      <c r="R2285" s="16">
        <v>44329</v>
      </c>
      <c r="S2285" s="17" t="s">
        <v>35</v>
      </c>
      <c r="T2285" s="20">
        <f>HYPERLINK("https://vnm.spiral.com.vn//uploaded/20210513/34d1d514-94fd-4ff6-a0ec-d6e0720493f7.JPEG","08:22:15")</f>
      </c>
      <c r="U2285" s="20">
        <f>HYPERLINK("https://vnm.spiral.com.vn//uploaded/20210513/4615b053-83bd-491c-aedf-d3fbed03ca26.JPEG","11:01:46")</f>
      </c>
      <c r="V2285" s="18">
        <v>0.11077546296296296</v>
      </c>
      <c r="W2285" s="15" t="s">
        <v>11784</v>
      </c>
      <c r="X2285" s="15" t="s">
        <v>11785</v>
      </c>
      <c r="Y2285" s="15" t="s">
        <v>35</v>
      </c>
      <c r="Z2285" s="19">
        <v>0</v>
      </c>
      <c r="AA2285" s="15">
        <v>0</v>
      </c>
      <c r="AB2285" s="15" t="s">
        <v>35</v>
      </c>
    </row>
    <row r="2286">
      <c r="A2286" s="15">
        <v>2282</v>
      </c>
      <c r="B2286" s="15" t="s">
        <v>87</v>
      </c>
      <c r="C2286" s="15" t="s">
        <v>88</v>
      </c>
      <c r="D2286" s="15" t="s">
        <v>35</v>
      </c>
      <c r="E2286" s="15" t="s">
        <v>35</v>
      </c>
      <c r="F2286" s="15" t="s">
        <v>2077</v>
      </c>
      <c r="G2286" s="15" t="s">
        <v>36</v>
      </c>
      <c r="H2286" s="15" t="s">
        <v>11786</v>
      </c>
      <c r="I2286" s="15" t="s">
        <v>11787</v>
      </c>
      <c r="J2286" s="15" t="s">
        <v>11788</v>
      </c>
      <c r="K2286" s="15" t="s">
        <v>40</v>
      </c>
      <c r="L2286" s="15" t="s">
        <v>41</v>
      </c>
      <c r="M2286" s="15" t="s">
        <v>289</v>
      </c>
      <c r="N2286" s="15" t="s">
        <v>290</v>
      </c>
      <c r="O2286" s="15" t="s">
        <v>44</v>
      </c>
      <c r="P2286" s="15" t="s">
        <v>11789</v>
      </c>
      <c r="Q2286" s="15" t="s">
        <v>11790</v>
      </c>
      <c r="R2286" s="16">
        <v>44329</v>
      </c>
      <c r="S2286" s="17" t="s">
        <v>11791</v>
      </c>
      <c r="T2286" s="20">
        <f>HYPERLINK("https://vnm.spiral.com.vn//uploaded/20210513/d4ebfe54-3e3a-4072-a997-765c0de2818c.JPEG","11:01:44")</f>
      </c>
      <c r="U2286" s="18"/>
      <c r="V2286" s="18" t="s">
        <v>35</v>
      </c>
      <c r="W2286" s="15" t="s">
        <v>11792</v>
      </c>
      <c r="X2286" s="15" t="s">
        <v>35</v>
      </c>
      <c r="Y2286" s="15" t="s">
        <v>35</v>
      </c>
      <c r="Z2286" s="19">
        <v>0</v>
      </c>
      <c r="AA2286" s="15">
        <v>0</v>
      </c>
      <c r="AB2286" s="15" t="s">
        <v>35</v>
      </c>
    </row>
    <row r="2287">
      <c r="A2287" s="15">
        <v>2283</v>
      </c>
      <c r="B2287" s="15" t="s">
        <v>103</v>
      </c>
      <c r="C2287" s="15" t="s">
        <v>2116</v>
      </c>
      <c r="D2287" s="15" t="s">
        <v>35</v>
      </c>
      <c r="E2287" s="15" t="s">
        <v>35</v>
      </c>
      <c r="F2287" s="15" t="s">
        <v>35</v>
      </c>
      <c r="G2287" s="15" t="s">
        <v>35</v>
      </c>
      <c r="H2287" s="15" t="s">
        <v>6413</v>
      </c>
      <c r="I2287" s="15" t="s">
        <v>6414</v>
      </c>
      <c r="J2287" s="15" t="s">
        <v>6415</v>
      </c>
      <c r="K2287" s="15" t="s">
        <v>40</v>
      </c>
      <c r="L2287" s="15" t="s">
        <v>41</v>
      </c>
      <c r="M2287" s="15" t="s">
        <v>108</v>
      </c>
      <c r="N2287" s="15" t="s">
        <v>109</v>
      </c>
      <c r="O2287" s="15" t="s">
        <v>44</v>
      </c>
      <c r="P2287" s="15" t="s">
        <v>6416</v>
      </c>
      <c r="Q2287" s="15" t="s">
        <v>6417</v>
      </c>
      <c r="R2287" s="16">
        <v>44329</v>
      </c>
      <c r="S2287" s="17" t="s">
        <v>7099</v>
      </c>
      <c r="T2287" s="20">
        <f>HYPERLINK("https://vnm.spiral.com.vn//uploaded/20210513/AEB687B2-51DD-4404-91AB-6215BFB2D74B.jpg","07:36:57")</f>
      </c>
      <c r="U2287" s="20">
        <f>HYPERLINK("https://vnm.spiral.com.vn//uploaded/20210513/E1949813-DABA-4D32-B493-D3715E32F7EE.jpg","11:01:44")</f>
      </c>
      <c r="V2287" s="18">
        <v>0.14221064814814816</v>
      </c>
      <c r="W2287" s="15" t="s">
        <v>11793</v>
      </c>
      <c r="X2287" s="15" t="s">
        <v>11794</v>
      </c>
      <c r="Y2287" s="15" t="s">
        <v>35</v>
      </c>
      <c r="Z2287" s="19">
        <v>0</v>
      </c>
      <c r="AA2287" s="15">
        <v>0</v>
      </c>
      <c r="AB2287" s="15" t="s">
        <v>35</v>
      </c>
    </row>
    <row r="2288">
      <c r="A2288" s="15">
        <v>2284</v>
      </c>
      <c r="B2288" s="15" t="s">
        <v>61</v>
      </c>
      <c r="C2288" s="15" t="s">
        <v>228</v>
      </c>
      <c r="D2288" s="15" t="s">
        <v>35</v>
      </c>
      <c r="E2288" s="15" t="s">
        <v>35</v>
      </c>
      <c r="F2288" s="15" t="s">
        <v>35</v>
      </c>
      <c r="G2288" s="15" t="s">
        <v>36</v>
      </c>
      <c r="H2288" s="15" t="s">
        <v>11795</v>
      </c>
      <c r="I2288" s="15" t="s">
        <v>11796</v>
      </c>
      <c r="J2288" s="15" t="s">
        <v>11797</v>
      </c>
      <c r="K2288" s="15" t="s">
        <v>40</v>
      </c>
      <c r="L2288" s="15" t="s">
        <v>41</v>
      </c>
      <c r="M2288" s="15" t="s">
        <v>205</v>
      </c>
      <c r="N2288" s="15" t="s">
        <v>206</v>
      </c>
      <c r="O2288" s="15" t="s">
        <v>44</v>
      </c>
      <c r="P2288" s="15" t="s">
        <v>11798</v>
      </c>
      <c r="Q2288" s="15" t="s">
        <v>11799</v>
      </c>
      <c r="R2288" s="16">
        <v>44329</v>
      </c>
      <c r="S2288" s="17" t="s">
        <v>9729</v>
      </c>
      <c r="T2288" s="20">
        <f>HYPERLINK("https://vnm.spiral.com.vn//uploaded/20210513/3264a6fc-c5d7-44c5-b84c-9aa437686635.JPEG","11:01:33")</f>
      </c>
      <c r="U2288" s="18"/>
      <c r="V2288" s="18" t="s">
        <v>35</v>
      </c>
      <c r="W2288" s="15" t="s">
        <v>11800</v>
      </c>
      <c r="X2288" s="15" t="s">
        <v>35</v>
      </c>
      <c r="Y2288" s="15" t="s">
        <v>35</v>
      </c>
      <c r="Z2288" s="19">
        <v>0</v>
      </c>
      <c r="AA2288" s="15">
        <v>0</v>
      </c>
      <c r="AB2288" s="15" t="s">
        <v>35</v>
      </c>
    </row>
    <row r="2289">
      <c r="A2289" s="15">
        <v>2285</v>
      </c>
      <c r="B2289" s="15" t="s">
        <v>87</v>
      </c>
      <c r="C2289" s="15" t="s">
        <v>88</v>
      </c>
      <c r="D2289" s="15" t="s">
        <v>35</v>
      </c>
      <c r="E2289" s="15" t="s">
        <v>35</v>
      </c>
      <c r="F2289" s="15" t="s">
        <v>2077</v>
      </c>
      <c r="G2289" s="15" t="s">
        <v>36</v>
      </c>
      <c r="H2289" s="15" t="s">
        <v>11801</v>
      </c>
      <c r="I2289" s="15" t="s">
        <v>11802</v>
      </c>
      <c r="J2289" s="15" t="s">
        <v>11803</v>
      </c>
      <c r="K2289" s="15" t="s">
        <v>40</v>
      </c>
      <c r="L2289" s="15" t="s">
        <v>41</v>
      </c>
      <c r="M2289" s="15" t="s">
        <v>289</v>
      </c>
      <c r="N2289" s="15" t="s">
        <v>290</v>
      </c>
      <c r="O2289" s="15" t="s">
        <v>44</v>
      </c>
      <c r="P2289" s="15" t="s">
        <v>5357</v>
      </c>
      <c r="Q2289" s="15" t="s">
        <v>5358</v>
      </c>
      <c r="R2289" s="16">
        <v>44329</v>
      </c>
      <c r="S2289" s="17" t="s">
        <v>8968</v>
      </c>
      <c r="T2289" s="20">
        <f>HYPERLINK("https://vnm.spiral.com.vn//uploaded/20210513/2c60f144-5de7-4035-bda4-2bf6f5c6443d.JPEG","06:53:45")</f>
      </c>
      <c r="U2289" s="20">
        <f>HYPERLINK("https://vnm.spiral.com.vn//uploaded/20210513/05bb8e91-1e03-448a-9fbf-3ac41251e1ed.JPEG","11:01:24")</f>
      </c>
      <c r="V2289" s="18">
        <v>0.17197916666666666</v>
      </c>
      <c r="W2289" s="15" t="s">
        <v>11804</v>
      </c>
      <c r="X2289" s="15" t="s">
        <v>11805</v>
      </c>
      <c r="Y2289" s="15" t="s">
        <v>35</v>
      </c>
      <c r="Z2289" s="19">
        <v>0</v>
      </c>
      <c r="AA2289" s="15">
        <v>0</v>
      </c>
      <c r="AB2289" s="15" t="s">
        <v>35</v>
      </c>
    </row>
    <row r="2290">
      <c r="A2290" s="15">
        <v>2286</v>
      </c>
      <c r="B2290" s="15" t="s">
        <v>33</v>
      </c>
      <c r="C2290" s="15" t="s">
        <v>34</v>
      </c>
      <c r="D2290" s="15" t="s">
        <v>35</v>
      </c>
      <c r="E2290" s="15" t="s">
        <v>35</v>
      </c>
      <c r="F2290" s="15" t="s">
        <v>35</v>
      </c>
      <c r="G2290" s="15" t="s">
        <v>36</v>
      </c>
      <c r="H2290" s="15" t="s">
        <v>11806</v>
      </c>
      <c r="I2290" s="15" t="s">
        <v>11807</v>
      </c>
      <c r="J2290" s="15" t="s">
        <v>11808</v>
      </c>
      <c r="K2290" s="15" t="s">
        <v>40</v>
      </c>
      <c r="L2290" s="15" t="s">
        <v>41</v>
      </c>
      <c r="M2290" s="15" t="s">
        <v>42</v>
      </c>
      <c r="N2290" s="15" t="s">
        <v>43</v>
      </c>
      <c r="O2290" s="15" t="s">
        <v>44</v>
      </c>
      <c r="P2290" s="15" t="s">
        <v>7609</v>
      </c>
      <c r="Q2290" s="15" t="s">
        <v>7128</v>
      </c>
      <c r="R2290" s="16">
        <v>44329</v>
      </c>
      <c r="S2290" s="17" t="s">
        <v>8968</v>
      </c>
      <c r="T2290" s="20">
        <f>HYPERLINK("https://vnm.spiral.com.vn//uploaded/20210513/15a22998-4848-48b2-b2b3-fdf400c61ad2.JPEG","07:03:32")</f>
      </c>
      <c r="U2290" s="20">
        <f>HYPERLINK("https://vnm.spiral.com.vn//uploaded/20210513/1d7f6855-dcba-4e0e-b549-b36193511599.JPEG","11:01:17")</f>
      </c>
      <c r="V2290" s="18">
        <v>0.16510416666666666</v>
      </c>
      <c r="W2290" s="15" t="s">
        <v>11809</v>
      </c>
      <c r="X2290" s="15" t="s">
        <v>11810</v>
      </c>
      <c r="Y2290" s="15" t="s">
        <v>35</v>
      </c>
      <c r="Z2290" s="19">
        <v>0</v>
      </c>
      <c r="AA2290" s="15">
        <v>0</v>
      </c>
      <c r="AB2290" s="15" t="s">
        <v>35</v>
      </c>
    </row>
    <row r="2291">
      <c r="A2291" s="15">
        <v>2287</v>
      </c>
      <c r="B2291" s="15" t="s">
        <v>87</v>
      </c>
      <c r="C2291" s="15" t="s">
        <v>88</v>
      </c>
      <c r="D2291" s="15" t="s">
        <v>35</v>
      </c>
      <c r="E2291" s="15" t="s">
        <v>35</v>
      </c>
      <c r="F2291" s="15" t="s">
        <v>2667</v>
      </c>
      <c r="G2291" s="15" t="s">
        <v>36</v>
      </c>
      <c r="H2291" s="15" t="s">
        <v>7015</v>
      </c>
      <c r="I2291" s="15" t="s">
        <v>7016</v>
      </c>
      <c r="J2291" s="15" t="s">
        <v>7017</v>
      </c>
      <c r="K2291" s="15" t="s">
        <v>40</v>
      </c>
      <c r="L2291" s="15" t="s">
        <v>41</v>
      </c>
      <c r="M2291" s="15" t="s">
        <v>1195</v>
      </c>
      <c r="N2291" s="15" t="s">
        <v>1196</v>
      </c>
      <c r="O2291" s="15" t="s">
        <v>44</v>
      </c>
      <c r="P2291" s="15" t="s">
        <v>7018</v>
      </c>
      <c r="Q2291" s="15" t="s">
        <v>7019</v>
      </c>
      <c r="R2291" s="16">
        <v>44329</v>
      </c>
      <c r="S2291" s="17" t="s">
        <v>8968</v>
      </c>
      <c r="T2291" s="20">
        <f>HYPERLINK("https://vnm.spiral.com.vn//uploaded/20210513/507b2b64-6ff0-406f-8235-67f99a4dad8d.JPEG","07:30:58")</f>
      </c>
      <c r="U2291" s="20">
        <f>HYPERLINK("https://vnm.spiral.com.vn//uploaded/20210513/d9b28fe0-1595-4e44-98a7-d01aaa44cff2.JPEG","11:01:13")</f>
      </c>
      <c r="V2291" s="18">
        <v>0.14600694444444445</v>
      </c>
      <c r="W2291" s="15" t="s">
        <v>11811</v>
      </c>
      <c r="X2291" s="15" t="s">
        <v>7020</v>
      </c>
      <c r="Y2291" s="15" t="s">
        <v>35</v>
      </c>
      <c r="Z2291" s="19">
        <v>0</v>
      </c>
      <c r="AA2291" s="15">
        <v>0</v>
      </c>
      <c r="AB2291" s="15" t="s">
        <v>35</v>
      </c>
    </row>
    <row r="2292">
      <c r="A2292" s="15">
        <v>2288</v>
      </c>
      <c r="B2292" s="15" t="s">
        <v>87</v>
      </c>
      <c r="C2292" s="15" t="s">
        <v>88</v>
      </c>
      <c r="D2292" s="15" t="s">
        <v>35</v>
      </c>
      <c r="E2292" s="15" t="s">
        <v>35</v>
      </c>
      <c r="F2292" s="15" t="s">
        <v>35</v>
      </c>
      <c r="G2292" s="15" t="s">
        <v>74</v>
      </c>
      <c r="H2292" s="15" t="s">
        <v>11812</v>
      </c>
      <c r="I2292" s="15" t="s">
        <v>11813</v>
      </c>
      <c r="J2292" s="15" t="s">
        <v>11814</v>
      </c>
      <c r="K2292" s="15" t="s">
        <v>120</v>
      </c>
      <c r="L2292" s="15" t="s">
        <v>121</v>
      </c>
      <c r="M2292" s="15" t="s">
        <v>1073</v>
      </c>
      <c r="N2292" s="15" t="s">
        <v>1074</v>
      </c>
      <c r="O2292" s="15" t="s">
        <v>82</v>
      </c>
      <c r="P2292" s="15" t="s">
        <v>6397</v>
      </c>
      <c r="Q2292" s="15" t="s">
        <v>6398</v>
      </c>
      <c r="R2292" s="16">
        <v>44329</v>
      </c>
      <c r="S2292" s="17" t="s">
        <v>70</v>
      </c>
      <c r="T2292" s="20">
        <f>HYPERLINK("https://vnm.spiral.com.vn//uploaded/20210513/9f94a3e0-db50-4f9b-8932-c874b3f95d49.jpg","10:55:02")</f>
      </c>
      <c r="U2292" s="20">
        <f>HYPERLINK("https://vnm.spiral.com.vn//uploaded/20210513/d2531a52-31e3-41ce-a04f-022c6e661c3c.jpg","11:01:01")</f>
      </c>
      <c r="V2292" s="18">
        <v>0.004155092592592592</v>
      </c>
      <c r="W2292" s="15" t="s">
        <v>11815</v>
      </c>
      <c r="X2292" s="15" t="s">
        <v>11816</v>
      </c>
      <c r="Y2292" s="15" t="s">
        <v>35</v>
      </c>
      <c r="Z2292" s="19">
        <v>0</v>
      </c>
      <c r="AA2292" s="15">
        <v>0</v>
      </c>
      <c r="AB2292" s="15" t="s">
        <v>35</v>
      </c>
    </row>
    <row r="2293">
      <c r="A2293" s="15">
        <v>2289</v>
      </c>
      <c r="B2293" s="15" t="s">
        <v>87</v>
      </c>
      <c r="C2293" s="15" t="s">
        <v>88</v>
      </c>
      <c r="D2293" s="15" t="s">
        <v>35</v>
      </c>
      <c r="E2293" s="15" t="s">
        <v>35</v>
      </c>
      <c r="F2293" s="15" t="s">
        <v>806</v>
      </c>
      <c r="G2293" s="15" t="s">
        <v>36</v>
      </c>
      <c r="H2293" s="15" t="s">
        <v>11817</v>
      </c>
      <c r="I2293" s="15" t="s">
        <v>11818</v>
      </c>
      <c r="J2293" s="15" t="s">
        <v>11819</v>
      </c>
      <c r="K2293" s="15" t="s">
        <v>40</v>
      </c>
      <c r="L2293" s="15" t="s">
        <v>41</v>
      </c>
      <c r="M2293" s="15" t="s">
        <v>810</v>
      </c>
      <c r="N2293" s="15" t="s">
        <v>811</v>
      </c>
      <c r="O2293" s="15" t="s">
        <v>44</v>
      </c>
      <c r="P2293" s="15" t="s">
        <v>11820</v>
      </c>
      <c r="Q2293" s="15" t="s">
        <v>11821</v>
      </c>
      <c r="R2293" s="16">
        <v>44329</v>
      </c>
      <c r="S2293" s="17" t="s">
        <v>971</v>
      </c>
      <c r="T2293" s="20">
        <f>HYPERLINK("https://vnm.spiral.com.vn//uploaded/20210513/D7E9B8A0-4E3D-405F-91E0-A81991C1D65A.jpg","06:55:11")</f>
      </c>
      <c r="U2293" s="20">
        <f>HYPERLINK("https://vnm.spiral.com.vn//uploaded/20210513/ED37B072-60EB-466F-B74F-A3256EAAD8D8.jpg","11:00:57")</f>
      </c>
      <c r="V2293" s="18">
        <v>0.1706712962962963</v>
      </c>
      <c r="W2293" s="15" t="s">
        <v>11822</v>
      </c>
      <c r="X2293" s="15" t="s">
        <v>11823</v>
      </c>
      <c r="Y2293" s="15" t="s">
        <v>35</v>
      </c>
      <c r="Z2293" s="19">
        <v>0</v>
      </c>
      <c r="AA2293" s="15">
        <v>0</v>
      </c>
      <c r="AB2293" s="15" t="s">
        <v>35</v>
      </c>
    </row>
    <row r="2294">
      <c r="A2294" s="15">
        <v>2290</v>
      </c>
      <c r="B2294" s="15" t="s">
        <v>87</v>
      </c>
      <c r="C2294" s="15" t="s">
        <v>88</v>
      </c>
      <c r="D2294" s="15" t="s">
        <v>35</v>
      </c>
      <c r="E2294" s="15" t="s">
        <v>35</v>
      </c>
      <c r="F2294" s="15" t="s">
        <v>2077</v>
      </c>
      <c r="G2294" s="15" t="s">
        <v>36</v>
      </c>
      <c r="H2294" s="15" t="s">
        <v>11824</v>
      </c>
      <c r="I2294" s="15" t="s">
        <v>11825</v>
      </c>
      <c r="J2294" s="15" t="s">
        <v>11826</v>
      </c>
      <c r="K2294" s="15" t="s">
        <v>40</v>
      </c>
      <c r="L2294" s="15" t="s">
        <v>41</v>
      </c>
      <c r="M2294" s="15" t="s">
        <v>289</v>
      </c>
      <c r="N2294" s="15" t="s">
        <v>290</v>
      </c>
      <c r="O2294" s="15" t="s">
        <v>44</v>
      </c>
      <c r="P2294" s="15" t="s">
        <v>11827</v>
      </c>
      <c r="Q2294" s="15" t="s">
        <v>11828</v>
      </c>
      <c r="R2294" s="16">
        <v>44329</v>
      </c>
      <c r="S2294" s="17" t="s">
        <v>8968</v>
      </c>
      <c r="T2294" s="20">
        <f>HYPERLINK("https://vnm.spiral.com.vn//uploaded/20210513/1eb0bdbc-f5c6-4a3f-a58b-c6896c106f6c.JPEG","06:49:06")</f>
      </c>
      <c r="U2294" s="20">
        <f>HYPERLINK("https://vnm.spiral.com.vn//uploaded/20210513/38f23931-1f8c-4f32-842c-648bd0333b94.JPEG","11:00:48")</f>
      </c>
      <c r="V2294" s="18">
        <v>0.17479166666666668</v>
      </c>
      <c r="W2294" s="15" t="s">
        <v>11829</v>
      </c>
      <c r="X2294" s="15" t="s">
        <v>11830</v>
      </c>
      <c r="Y2294" s="15" t="s">
        <v>35</v>
      </c>
      <c r="Z2294" s="19">
        <v>0</v>
      </c>
      <c r="AA2294" s="15">
        <v>0</v>
      </c>
      <c r="AB2294" s="15" t="s">
        <v>35</v>
      </c>
    </row>
    <row r="2295">
      <c r="A2295" s="15">
        <v>2291</v>
      </c>
      <c r="B2295" s="15" t="s">
        <v>61</v>
      </c>
      <c r="C2295" s="15" t="s">
        <v>442</v>
      </c>
      <c r="D2295" s="15" t="s">
        <v>35</v>
      </c>
      <c r="E2295" s="15" t="s">
        <v>35</v>
      </c>
      <c r="F2295" s="15" t="s">
        <v>35</v>
      </c>
      <c r="G2295" s="15" t="s">
        <v>36</v>
      </c>
      <c r="H2295" s="15" t="s">
        <v>8529</v>
      </c>
      <c r="I2295" s="15" t="s">
        <v>8530</v>
      </c>
      <c r="J2295" s="15" t="s">
        <v>8531</v>
      </c>
      <c r="K2295" s="15" t="s">
        <v>40</v>
      </c>
      <c r="L2295" s="15" t="s">
        <v>41</v>
      </c>
      <c r="M2295" s="15" t="s">
        <v>205</v>
      </c>
      <c r="N2295" s="15" t="s">
        <v>206</v>
      </c>
      <c r="O2295" s="15" t="s">
        <v>44</v>
      </c>
      <c r="P2295" s="15" t="s">
        <v>8532</v>
      </c>
      <c r="Q2295" s="15" t="s">
        <v>8533</v>
      </c>
      <c r="R2295" s="16">
        <v>44329</v>
      </c>
      <c r="S2295" s="17" t="s">
        <v>7099</v>
      </c>
      <c r="T2295" s="20">
        <f>HYPERLINK("https://vnm.spiral.com.vn//uploaded/20210513/9ab939e6-e332-4940-bce6-c491d85b17f4.JPEG","07:59:20")</f>
      </c>
      <c r="U2295" s="20">
        <f>HYPERLINK("https://vnm.spiral.com.vn//uploaded/20210513/fdd61c4f-9e39-4022-8fb3-3b55ec6d3cc7.JPEG","11:00:43")</f>
      </c>
      <c r="V2295" s="18">
        <v>0.12596064814814814</v>
      </c>
      <c r="W2295" s="15" t="s">
        <v>11831</v>
      </c>
      <c r="X2295" s="15" t="s">
        <v>11832</v>
      </c>
      <c r="Y2295" s="15" t="s">
        <v>35</v>
      </c>
      <c r="Z2295" s="19">
        <v>0</v>
      </c>
      <c r="AA2295" s="15">
        <v>0</v>
      </c>
      <c r="AB2295" s="15" t="s">
        <v>35</v>
      </c>
    </row>
    <row r="2296">
      <c r="A2296" s="15">
        <v>2292</v>
      </c>
      <c r="B2296" s="15" t="s">
        <v>103</v>
      </c>
      <c r="C2296" s="15" t="s">
        <v>174</v>
      </c>
      <c r="D2296" s="15" t="s">
        <v>35</v>
      </c>
      <c r="E2296" s="15" t="s">
        <v>35</v>
      </c>
      <c r="F2296" s="15" t="s">
        <v>35</v>
      </c>
      <c r="G2296" s="15" t="s">
        <v>36</v>
      </c>
      <c r="H2296" s="15" t="s">
        <v>1037</v>
      </c>
      <c r="I2296" s="15" t="s">
        <v>1038</v>
      </c>
      <c r="J2296" s="15" t="s">
        <v>1039</v>
      </c>
      <c r="K2296" s="15" t="s">
        <v>40</v>
      </c>
      <c r="L2296" s="15" t="s">
        <v>41</v>
      </c>
      <c r="M2296" s="15" t="s">
        <v>108</v>
      </c>
      <c r="N2296" s="15" t="s">
        <v>109</v>
      </c>
      <c r="O2296" s="15" t="s">
        <v>44</v>
      </c>
      <c r="P2296" s="15" t="s">
        <v>1040</v>
      </c>
      <c r="Q2296" s="15" t="s">
        <v>1041</v>
      </c>
      <c r="R2296" s="16">
        <v>44329</v>
      </c>
      <c r="S2296" s="17" t="s">
        <v>8968</v>
      </c>
      <c r="T2296" s="20">
        <f>HYPERLINK("https://vnm.spiral.com.vn//uploaded/20210513/03F601E3-0F58-4408-9D1D-A8A2A721F98A.jpg","07:04:41")</f>
      </c>
      <c r="U2296" s="20">
        <f>HYPERLINK("https://vnm.spiral.com.vn//uploaded/20210513/D7C43E0C-6430-4BB0-B5B8-A352D8DA20E4.jpg","11:00:43")</f>
      </c>
      <c r="V2296" s="18">
        <v>0.16391203703703705</v>
      </c>
      <c r="W2296" s="15" t="s">
        <v>11833</v>
      </c>
      <c r="X2296" s="15" t="s">
        <v>11834</v>
      </c>
      <c r="Y2296" s="15" t="s">
        <v>35</v>
      </c>
      <c r="Z2296" s="19">
        <v>0</v>
      </c>
      <c r="AA2296" s="15">
        <v>0</v>
      </c>
      <c r="AB2296" s="15" t="s">
        <v>35</v>
      </c>
    </row>
    <row r="2297">
      <c r="A2297" s="15">
        <v>2293</v>
      </c>
      <c r="B2297" s="15" t="s">
        <v>343</v>
      </c>
      <c r="C2297" s="15" t="s">
        <v>2069</v>
      </c>
      <c r="D2297" s="15" t="s">
        <v>35</v>
      </c>
      <c r="E2297" s="15" t="s">
        <v>35</v>
      </c>
      <c r="F2297" s="15" t="s">
        <v>35</v>
      </c>
      <c r="G2297" s="15" t="s">
        <v>36</v>
      </c>
      <c r="H2297" s="15" t="s">
        <v>11835</v>
      </c>
      <c r="I2297" s="15" t="s">
        <v>11836</v>
      </c>
      <c r="J2297" s="15" t="s">
        <v>11837</v>
      </c>
      <c r="K2297" s="15" t="s">
        <v>40</v>
      </c>
      <c r="L2297" s="15" t="s">
        <v>41</v>
      </c>
      <c r="M2297" s="15" t="s">
        <v>595</v>
      </c>
      <c r="N2297" s="15" t="s">
        <v>596</v>
      </c>
      <c r="O2297" s="15" t="s">
        <v>44</v>
      </c>
      <c r="P2297" s="15" t="s">
        <v>7745</v>
      </c>
      <c r="Q2297" s="15" t="s">
        <v>140</v>
      </c>
      <c r="R2297" s="16">
        <v>44329</v>
      </c>
      <c r="S2297" s="17" t="s">
        <v>8968</v>
      </c>
      <c r="T2297" s="20">
        <f>HYPERLINK("https://vnm.spiral.com.vn//uploaded/20210513/1594FCCC-38E2-4711-9D7C-5E43D7C728ED.jpg","06:57:17")</f>
      </c>
      <c r="U2297" s="20">
        <f>HYPERLINK("https://vnm.spiral.com.vn//uploaded/20210513/CAA1DBD0-D08A-47C2-B533-810097C382B2.jpg","11:00:36")</f>
      </c>
      <c r="V2297" s="18">
        <v>0.16896990740740742</v>
      </c>
      <c r="W2297" s="15" t="s">
        <v>11838</v>
      </c>
      <c r="X2297" s="15" t="s">
        <v>11839</v>
      </c>
      <c r="Y2297" s="15" t="s">
        <v>35</v>
      </c>
      <c r="Z2297" s="19">
        <v>0</v>
      </c>
      <c r="AA2297" s="15">
        <v>0</v>
      </c>
      <c r="AB2297" s="15" t="s">
        <v>35</v>
      </c>
    </row>
    <row r="2298">
      <c r="A2298" s="15">
        <v>2294</v>
      </c>
      <c r="B2298" s="15" t="s">
        <v>61</v>
      </c>
      <c r="C2298" s="15" t="s">
        <v>442</v>
      </c>
      <c r="D2298" s="15" t="s">
        <v>35</v>
      </c>
      <c r="E2298" s="15" t="s">
        <v>35</v>
      </c>
      <c r="F2298" s="15" t="s">
        <v>8249</v>
      </c>
      <c r="G2298" s="15" t="s">
        <v>36</v>
      </c>
      <c r="H2298" s="15" t="s">
        <v>8250</v>
      </c>
      <c r="I2298" s="15" t="s">
        <v>8251</v>
      </c>
      <c r="J2298" s="15" t="s">
        <v>8252</v>
      </c>
      <c r="K2298" s="15" t="s">
        <v>40</v>
      </c>
      <c r="L2298" s="15" t="s">
        <v>41</v>
      </c>
      <c r="M2298" s="15" t="s">
        <v>205</v>
      </c>
      <c r="N2298" s="15" t="s">
        <v>206</v>
      </c>
      <c r="O2298" s="15" t="s">
        <v>44</v>
      </c>
      <c r="P2298" s="15" t="s">
        <v>8253</v>
      </c>
      <c r="Q2298" s="15" t="s">
        <v>8254</v>
      </c>
      <c r="R2298" s="16">
        <v>44329</v>
      </c>
      <c r="S2298" s="17" t="s">
        <v>8968</v>
      </c>
      <c r="T2298" s="20">
        <f>HYPERLINK("https://vnm.spiral.com.vn//uploaded/20210513/fb7f12e7-a5a5-4178-812b-5adf8e54f412.JPEG","06:46:44")</f>
      </c>
      <c r="U2298" s="20">
        <f>HYPERLINK("https://vnm.spiral.com.vn//uploaded/20210513/0b090101-010a-4271-ab60-f5aa445dfa9d.JPEG","11:00:35")</f>
      </c>
      <c r="V2298" s="18">
        <v>0.17628472222222222</v>
      </c>
      <c r="W2298" s="15" t="s">
        <v>11840</v>
      </c>
      <c r="X2298" s="15" t="s">
        <v>11841</v>
      </c>
      <c r="Y2298" s="15" t="s">
        <v>35</v>
      </c>
      <c r="Z2298" s="19">
        <v>0</v>
      </c>
      <c r="AA2298" s="15">
        <v>0</v>
      </c>
      <c r="AB2298" s="15" t="s">
        <v>35</v>
      </c>
    </row>
    <row r="2299">
      <c r="A2299" s="15">
        <v>2295</v>
      </c>
      <c r="B2299" s="15" t="s">
        <v>61</v>
      </c>
      <c r="C2299" s="15" t="s">
        <v>904</v>
      </c>
      <c r="D2299" s="15" t="s">
        <v>35</v>
      </c>
      <c r="E2299" s="15" t="s">
        <v>35</v>
      </c>
      <c r="F2299" s="15" t="s">
        <v>35</v>
      </c>
      <c r="G2299" s="15" t="s">
        <v>36</v>
      </c>
      <c r="H2299" s="15" t="s">
        <v>6285</v>
      </c>
      <c r="I2299" s="15" t="s">
        <v>6286</v>
      </c>
      <c r="J2299" s="15" t="s">
        <v>6287</v>
      </c>
      <c r="K2299" s="15" t="s">
        <v>40</v>
      </c>
      <c r="L2299" s="15" t="s">
        <v>41</v>
      </c>
      <c r="M2299" s="15" t="s">
        <v>66</v>
      </c>
      <c r="N2299" s="15" t="s">
        <v>67</v>
      </c>
      <c r="O2299" s="15" t="s">
        <v>44</v>
      </c>
      <c r="P2299" s="15" t="s">
        <v>6288</v>
      </c>
      <c r="Q2299" s="15" t="s">
        <v>6289</v>
      </c>
      <c r="R2299" s="16">
        <v>44329</v>
      </c>
      <c r="S2299" s="17" t="s">
        <v>8968</v>
      </c>
      <c r="T2299" s="20">
        <f>HYPERLINK("https://vnm.spiral.com.vn//uploaded/20210513/499F6780-3C05-4889-B9A9-769329E180B5.jpg","07:03:22")</f>
      </c>
      <c r="U2299" s="20">
        <f>HYPERLINK("https://vnm.spiral.com.vn//uploaded/20210513/88BDB888-F5C0-4932-90A9-113FFA51F066.jpg","11:00:34")</f>
      </c>
      <c r="V2299" s="18">
        <v>0.16472222222222221</v>
      </c>
      <c r="W2299" s="15" t="s">
        <v>11842</v>
      </c>
      <c r="X2299" s="15" t="s">
        <v>11843</v>
      </c>
      <c r="Y2299" s="15" t="s">
        <v>35</v>
      </c>
      <c r="Z2299" s="19">
        <v>0</v>
      </c>
      <c r="AA2299" s="15">
        <v>0</v>
      </c>
      <c r="AB2299" s="15" t="s">
        <v>35</v>
      </c>
    </row>
    <row r="2300">
      <c r="A2300" s="15">
        <v>2296</v>
      </c>
      <c r="B2300" s="15" t="s">
        <v>49</v>
      </c>
      <c r="C2300" s="15" t="s">
        <v>1389</v>
      </c>
      <c r="D2300" s="15" t="s">
        <v>35</v>
      </c>
      <c r="E2300" s="15" t="s">
        <v>35</v>
      </c>
      <c r="F2300" s="15" t="s">
        <v>4871</v>
      </c>
      <c r="G2300" s="15" t="s">
        <v>36</v>
      </c>
      <c r="H2300" s="15" t="s">
        <v>6859</v>
      </c>
      <c r="I2300" s="15" t="s">
        <v>6860</v>
      </c>
      <c r="J2300" s="15" t="s">
        <v>6861</v>
      </c>
      <c r="K2300" s="15" t="s">
        <v>40</v>
      </c>
      <c r="L2300" s="15" t="s">
        <v>41</v>
      </c>
      <c r="M2300" s="15" t="s">
        <v>55</v>
      </c>
      <c r="N2300" s="15" t="s">
        <v>56</v>
      </c>
      <c r="O2300" s="15" t="s">
        <v>44</v>
      </c>
      <c r="P2300" s="15" t="s">
        <v>6862</v>
      </c>
      <c r="Q2300" s="15" t="s">
        <v>6863</v>
      </c>
      <c r="R2300" s="16">
        <v>44329</v>
      </c>
      <c r="S2300" s="17" t="s">
        <v>8968</v>
      </c>
      <c r="T2300" s="20">
        <f>HYPERLINK("https://vnm.spiral.com.vn//uploaded/20210513/bd26f4f2-7a26-4e6d-8302-cfb21cbfa1ab.JPEG","06:32:52")</f>
      </c>
      <c r="U2300" s="20">
        <f>HYPERLINK("https://vnm.spiral.com.vn//uploaded/20210513/8b55f37a-6152-431b-9912-6614168850c5.JPEG","11:00:27")</f>
      </c>
      <c r="V2300" s="18">
        <v>0.18582175925925926</v>
      </c>
      <c r="W2300" s="15" t="s">
        <v>11844</v>
      </c>
      <c r="X2300" s="15" t="s">
        <v>11845</v>
      </c>
      <c r="Y2300" s="15" t="s">
        <v>35</v>
      </c>
      <c r="Z2300" s="19">
        <v>0</v>
      </c>
      <c r="AA2300" s="15">
        <v>0</v>
      </c>
      <c r="AB2300" s="15" t="s">
        <v>35</v>
      </c>
    </row>
    <row r="2301">
      <c r="A2301" s="15">
        <v>2297</v>
      </c>
      <c r="B2301" s="15" t="s">
        <v>343</v>
      </c>
      <c r="C2301" s="15" t="s">
        <v>344</v>
      </c>
      <c r="D2301" s="15" t="s">
        <v>35</v>
      </c>
      <c r="E2301" s="15" t="s">
        <v>35</v>
      </c>
      <c r="F2301" s="15" t="s">
        <v>35</v>
      </c>
      <c r="G2301" s="15" t="s">
        <v>36</v>
      </c>
      <c r="H2301" s="15" t="s">
        <v>7788</v>
      </c>
      <c r="I2301" s="15" t="s">
        <v>7789</v>
      </c>
      <c r="J2301" s="15" t="s">
        <v>7790</v>
      </c>
      <c r="K2301" s="15" t="s">
        <v>40</v>
      </c>
      <c r="L2301" s="15" t="s">
        <v>41</v>
      </c>
      <c r="M2301" s="15" t="s">
        <v>409</v>
      </c>
      <c r="N2301" s="15" t="s">
        <v>410</v>
      </c>
      <c r="O2301" s="15" t="s">
        <v>44</v>
      </c>
      <c r="P2301" s="15" t="s">
        <v>7791</v>
      </c>
      <c r="Q2301" s="15" t="s">
        <v>7792</v>
      </c>
      <c r="R2301" s="16">
        <v>44329</v>
      </c>
      <c r="S2301" s="17" t="s">
        <v>8968</v>
      </c>
      <c r="T2301" s="20">
        <f>HYPERLINK("https://vnm.spiral.com.vn//uploaded/20210513/1B041438-FB06-45DB-B65D-9FCD325BD1B6.jpg","06:54:08")</f>
      </c>
      <c r="U2301" s="20">
        <f>HYPERLINK("https://vnm.spiral.com.vn//uploaded/20210513/D6849609-271F-46BC-9D26-51A333360989.jpg","11:00:24")</f>
      </c>
      <c r="V2301" s="18">
        <v>0.17101851851851851</v>
      </c>
      <c r="W2301" s="15" t="s">
        <v>7793</v>
      </c>
      <c r="X2301" s="15" t="s">
        <v>7793</v>
      </c>
      <c r="Y2301" s="15" t="s">
        <v>35</v>
      </c>
      <c r="Z2301" s="19">
        <v>0</v>
      </c>
      <c r="AA2301" s="15">
        <v>0</v>
      </c>
      <c r="AB2301" s="15" t="s">
        <v>35</v>
      </c>
    </row>
    <row r="2302">
      <c r="A2302" s="15">
        <v>2298</v>
      </c>
      <c r="B2302" s="15" t="s">
        <v>33</v>
      </c>
      <c r="C2302" s="15" t="s">
        <v>765</v>
      </c>
      <c r="D2302" s="15" t="s">
        <v>35</v>
      </c>
      <c r="E2302" s="15" t="s">
        <v>35</v>
      </c>
      <c r="F2302" s="15" t="s">
        <v>35</v>
      </c>
      <c r="G2302" s="15" t="s">
        <v>36</v>
      </c>
      <c r="H2302" s="15" t="s">
        <v>11846</v>
      </c>
      <c r="I2302" s="15" t="s">
        <v>11847</v>
      </c>
      <c r="J2302" s="15" t="s">
        <v>11848</v>
      </c>
      <c r="K2302" s="15" t="s">
        <v>40</v>
      </c>
      <c r="L2302" s="15" t="s">
        <v>41</v>
      </c>
      <c r="M2302" s="15" t="s">
        <v>42</v>
      </c>
      <c r="N2302" s="15" t="s">
        <v>43</v>
      </c>
      <c r="O2302" s="15" t="s">
        <v>44</v>
      </c>
      <c r="P2302" s="15" t="s">
        <v>7598</v>
      </c>
      <c r="Q2302" s="15" t="s">
        <v>6696</v>
      </c>
      <c r="R2302" s="16">
        <v>44329</v>
      </c>
      <c r="S2302" s="17" t="s">
        <v>8968</v>
      </c>
      <c r="T2302" s="20">
        <f>HYPERLINK("https://vnm.spiral.com.vn//uploaded/20210513/341C7A12-01EC-492A-823B-23BB12D854A7.jpg","06:56:38")</f>
      </c>
      <c r="U2302" s="20">
        <f>HYPERLINK("https://vnm.spiral.com.vn//uploaded/20210513/5356CABB-2489-44AF-9050-9952B54CB5E3.jpg","11:00:18")</f>
      </c>
      <c r="V2302" s="18">
        <v>0.16921296296296295</v>
      </c>
      <c r="W2302" s="15" t="s">
        <v>11849</v>
      </c>
      <c r="X2302" s="15" t="s">
        <v>11850</v>
      </c>
      <c r="Y2302" s="15" t="s">
        <v>35</v>
      </c>
      <c r="Z2302" s="19">
        <v>0</v>
      </c>
      <c r="AA2302" s="15">
        <v>0</v>
      </c>
      <c r="AB2302" s="15" t="s">
        <v>35</v>
      </c>
    </row>
    <row r="2303">
      <c r="A2303" s="15">
        <v>2299</v>
      </c>
      <c r="B2303" s="15" t="s">
        <v>61</v>
      </c>
      <c r="C2303" s="15" t="s">
        <v>201</v>
      </c>
      <c r="D2303" s="15" t="s">
        <v>35</v>
      </c>
      <c r="E2303" s="15" t="s">
        <v>35</v>
      </c>
      <c r="F2303" s="15" t="s">
        <v>2302</v>
      </c>
      <c r="G2303" s="15" t="s">
        <v>36</v>
      </c>
      <c r="H2303" s="15" t="s">
        <v>11851</v>
      </c>
      <c r="I2303" s="15" t="s">
        <v>11852</v>
      </c>
      <c r="J2303" s="15" t="s">
        <v>11853</v>
      </c>
      <c r="K2303" s="15" t="s">
        <v>40</v>
      </c>
      <c r="L2303" s="15" t="s">
        <v>41</v>
      </c>
      <c r="M2303" s="15" t="s">
        <v>205</v>
      </c>
      <c r="N2303" s="15" t="s">
        <v>206</v>
      </c>
      <c r="O2303" s="15" t="s">
        <v>44</v>
      </c>
      <c r="P2303" s="15" t="s">
        <v>8103</v>
      </c>
      <c r="Q2303" s="15" t="s">
        <v>8104</v>
      </c>
      <c r="R2303" s="16">
        <v>44329</v>
      </c>
      <c r="S2303" s="17" t="s">
        <v>8968</v>
      </c>
      <c r="T2303" s="20">
        <f>HYPERLINK("https://vnm.spiral.com.vn//uploaded/20210513/946b6f52-d442-4362-81c8-02afc617a93c.JPEG","06:57:40")</f>
      </c>
      <c r="U2303" s="20">
        <f>HYPERLINK("https://vnm.spiral.com.vn//uploaded/20210513/a0294d33-6c68-4f86-8180-81dcfadabbe1.JPEG","11:00:14")</f>
      </c>
      <c r="V2303" s="18">
        <v>0.16844907407407408</v>
      </c>
      <c r="W2303" s="15" t="s">
        <v>11854</v>
      </c>
      <c r="X2303" s="15" t="s">
        <v>11855</v>
      </c>
      <c r="Y2303" s="15" t="s">
        <v>35</v>
      </c>
      <c r="Z2303" s="19">
        <v>0</v>
      </c>
      <c r="AA2303" s="15">
        <v>0</v>
      </c>
      <c r="AB2303" s="15" t="s">
        <v>35</v>
      </c>
    </row>
    <row r="2304">
      <c r="A2304" s="15">
        <v>2300</v>
      </c>
      <c r="B2304" s="15" t="s">
        <v>33</v>
      </c>
      <c r="C2304" s="15" t="s">
        <v>211</v>
      </c>
      <c r="D2304" s="15" t="s">
        <v>35</v>
      </c>
      <c r="E2304" s="15" t="s">
        <v>35</v>
      </c>
      <c r="F2304" s="15" t="s">
        <v>35</v>
      </c>
      <c r="G2304" s="15" t="s">
        <v>36</v>
      </c>
      <c r="H2304" s="15" t="s">
        <v>11856</v>
      </c>
      <c r="I2304" s="15" t="s">
        <v>11857</v>
      </c>
      <c r="J2304" s="15" t="s">
        <v>11858</v>
      </c>
      <c r="K2304" s="15" t="s">
        <v>40</v>
      </c>
      <c r="L2304" s="15" t="s">
        <v>41</v>
      </c>
      <c r="M2304" s="15" t="s">
        <v>42</v>
      </c>
      <c r="N2304" s="15" t="s">
        <v>43</v>
      </c>
      <c r="O2304" s="15" t="s">
        <v>44</v>
      </c>
      <c r="P2304" s="15" t="s">
        <v>8277</v>
      </c>
      <c r="Q2304" s="15" t="s">
        <v>1981</v>
      </c>
      <c r="R2304" s="16">
        <v>44329</v>
      </c>
      <c r="S2304" s="17" t="s">
        <v>8968</v>
      </c>
      <c r="T2304" s="20">
        <f>HYPERLINK("https://vnm.spiral.com.vn//uploaded/20210513/b1349806-fbdf-403c-9b16-01b6623594c2.JPEG","07:09:34")</f>
      </c>
      <c r="U2304" s="20">
        <f>HYPERLINK("https://vnm.spiral.com.vn//uploaded/20210513/156439f9-cf36-4551-a90c-d43ce5c35ae3.JPEG","11:00:10")</f>
      </c>
      <c r="V2304" s="18">
        <v>0.1601388888888889</v>
      </c>
      <c r="W2304" s="15" t="s">
        <v>11859</v>
      </c>
      <c r="X2304" s="15" t="s">
        <v>11860</v>
      </c>
      <c r="Y2304" s="15" t="s">
        <v>35</v>
      </c>
      <c r="Z2304" s="19">
        <v>0</v>
      </c>
      <c r="AA2304" s="15">
        <v>0</v>
      </c>
      <c r="AB2304" s="15" t="s">
        <v>35</v>
      </c>
    </row>
    <row r="2305">
      <c r="A2305" s="15">
        <v>2301</v>
      </c>
      <c r="B2305" s="15" t="s">
        <v>87</v>
      </c>
      <c r="C2305" s="15" t="s">
        <v>88</v>
      </c>
      <c r="D2305" s="15" t="s">
        <v>115</v>
      </c>
      <c r="E2305" s="15" t="s">
        <v>116</v>
      </c>
      <c r="F2305" s="15" t="s">
        <v>35</v>
      </c>
      <c r="G2305" s="15" t="s">
        <v>74</v>
      </c>
      <c r="H2305" s="15" t="s">
        <v>10749</v>
      </c>
      <c r="I2305" s="15" t="s">
        <v>10750</v>
      </c>
      <c r="J2305" s="15" t="s">
        <v>10751</v>
      </c>
      <c r="K2305" s="15" t="s">
        <v>94</v>
      </c>
      <c r="L2305" s="15" t="s">
        <v>95</v>
      </c>
      <c r="M2305" s="15" t="s">
        <v>120</v>
      </c>
      <c r="N2305" s="15" t="s">
        <v>121</v>
      </c>
      <c r="O2305" s="15" t="s">
        <v>98</v>
      </c>
      <c r="P2305" s="15" t="s">
        <v>122</v>
      </c>
      <c r="Q2305" s="15" t="s">
        <v>123</v>
      </c>
      <c r="R2305" s="16">
        <v>44329</v>
      </c>
      <c r="S2305" s="17" t="s">
        <v>70</v>
      </c>
      <c r="T2305" s="20">
        <f>HYPERLINK("https://vnm.spiral.com.vn//uploaded/20210513/fac48bf8-739f-4088-a669-53ba295637f7.jpg","09:12:13")</f>
      </c>
      <c r="U2305" s="20">
        <f>HYPERLINK("https://vnm.spiral.com.vn//uploaded/20210513/7e2473d9-3728-4cf0-9cfe-5d3869ca086f.jpg","11:00:05")</f>
      </c>
      <c r="V2305" s="18">
        <v>0.07490740740740741</v>
      </c>
      <c r="W2305" s="15" t="s">
        <v>11861</v>
      </c>
      <c r="X2305" s="15" t="s">
        <v>11862</v>
      </c>
      <c r="Y2305" s="15" t="s">
        <v>35</v>
      </c>
      <c r="Z2305" s="19">
        <v>0</v>
      </c>
      <c r="AA2305" s="15">
        <v>0</v>
      </c>
      <c r="AB2305" s="15" t="s">
        <v>35</v>
      </c>
    </row>
    <row r="2306">
      <c r="A2306" s="15">
        <v>2302</v>
      </c>
      <c r="B2306" s="15" t="s">
        <v>87</v>
      </c>
      <c r="C2306" s="15" t="s">
        <v>88</v>
      </c>
      <c r="D2306" s="15" t="s">
        <v>115</v>
      </c>
      <c r="E2306" s="15" t="s">
        <v>116</v>
      </c>
      <c r="F2306" s="15" t="s">
        <v>35</v>
      </c>
      <c r="G2306" s="15" t="s">
        <v>74</v>
      </c>
      <c r="H2306" s="15" t="s">
        <v>11863</v>
      </c>
      <c r="I2306" s="15" t="s">
        <v>11864</v>
      </c>
      <c r="J2306" s="15" t="s">
        <v>11865</v>
      </c>
      <c r="K2306" s="15" t="s">
        <v>120</v>
      </c>
      <c r="L2306" s="15" t="s">
        <v>121</v>
      </c>
      <c r="M2306" s="15" t="s">
        <v>122</v>
      </c>
      <c r="N2306" s="15" t="s">
        <v>123</v>
      </c>
      <c r="O2306" s="15" t="s">
        <v>82</v>
      </c>
      <c r="P2306" s="15" t="s">
        <v>2677</v>
      </c>
      <c r="Q2306" s="15" t="s">
        <v>2678</v>
      </c>
      <c r="R2306" s="16">
        <v>44329</v>
      </c>
      <c r="S2306" s="17" t="s">
        <v>70</v>
      </c>
      <c r="T2306" s="20">
        <f>HYPERLINK("https://vnm.spiral.com.vn//uploaded/20210513/a945277f-4cad-4027-a214-2ff875d1b38a.jpg","09:18:43")</f>
      </c>
      <c r="U2306" s="20">
        <f>HYPERLINK("https://vnm.spiral.com.vn//uploaded/20210513/72b47d6c-1ea9-4ff4-97ae-5c0b3ade72b7.jpg","11:00:05")</f>
      </c>
      <c r="V2306" s="18">
        <v>0.07039351851851852</v>
      </c>
      <c r="W2306" s="15" t="s">
        <v>11866</v>
      </c>
      <c r="X2306" s="15" t="s">
        <v>11867</v>
      </c>
      <c r="Y2306" s="15" t="s">
        <v>35</v>
      </c>
      <c r="Z2306" s="19">
        <v>0</v>
      </c>
      <c r="AA2306" s="15">
        <v>0</v>
      </c>
      <c r="AB2306" s="15" t="s">
        <v>35</v>
      </c>
    </row>
    <row r="2307">
      <c r="A2307" s="15">
        <v>2303</v>
      </c>
      <c r="B2307" s="15" t="s">
        <v>87</v>
      </c>
      <c r="C2307" s="15" t="s">
        <v>88</v>
      </c>
      <c r="D2307" s="15" t="s">
        <v>35</v>
      </c>
      <c r="E2307" s="15" t="s">
        <v>35</v>
      </c>
      <c r="F2307" s="15" t="s">
        <v>2667</v>
      </c>
      <c r="G2307" s="15" t="s">
        <v>36</v>
      </c>
      <c r="H2307" s="15" t="s">
        <v>11868</v>
      </c>
      <c r="I2307" s="15" t="s">
        <v>11869</v>
      </c>
      <c r="J2307" s="15" t="s">
        <v>11870</v>
      </c>
      <c r="K2307" s="15" t="s">
        <v>40</v>
      </c>
      <c r="L2307" s="15" t="s">
        <v>41</v>
      </c>
      <c r="M2307" s="15" t="s">
        <v>1195</v>
      </c>
      <c r="N2307" s="15" t="s">
        <v>1196</v>
      </c>
      <c r="O2307" s="15" t="s">
        <v>44</v>
      </c>
      <c r="P2307" s="15" t="s">
        <v>11871</v>
      </c>
      <c r="Q2307" s="15" t="s">
        <v>11872</v>
      </c>
      <c r="R2307" s="16">
        <v>44329</v>
      </c>
      <c r="S2307" s="17" t="s">
        <v>11791</v>
      </c>
      <c r="T2307" s="20">
        <f>HYPERLINK("https://vnm.spiral.com.vn//uploaded/20210513/8020195f-03a4-4247-aac0-cf9172d608a4.JPEG","10:59:58")</f>
      </c>
      <c r="U2307" s="18"/>
      <c r="V2307" s="18" t="s">
        <v>35</v>
      </c>
      <c r="W2307" s="15" t="s">
        <v>11873</v>
      </c>
      <c r="X2307" s="15" t="s">
        <v>35</v>
      </c>
      <c r="Y2307" s="15" t="s">
        <v>35</v>
      </c>
      <c r="Z2307" s="19">
        <v>0</v>
      </c>
      <c r="AA2307" s="15">
        <v>0</v>
      </c>
      <c r="AB2307" s="15" t="s">
        <v>35</v>
      </c>
    </row>
    <row r="2308">
      <c r="A2308" s="15">
        <v>2304</v>
      </c>
      <c r="B2308" s="15" t="s">
        <v>33</v>
      </c>
      <c r="C2308" s="15" t="s">
        <v>219</v>
      </c>
      <c r="D2308" s="15" t="s">
        <v>35</v>
      </c>
      <c r="E2308" s="15" t="s">
        <v>35</v>
      </c>
      <c r="F2308" s="15" t="s">
        <v>8243</v>
      </c>
      <c r="G2308" s="15" t="s">
        <v>36</v>
      </c>
      <c r="H2308" s="15" t="s">
        <v>8244</v>
      </c>
      <c r="I2308" s="15" t="s">
        <v>8245</v>
      </c>
      <c r="J2308" s="15" t="s">
        <v>8246</v>
      </c>
      <c r="K2308" s="15" t="s">
        <v>40</v>
      </c>
      <c r="L2308" s="15" t="s">
        <v>41</v>
      </c>
      <c r="M2308" s="15" t="s">
        <v>42</v>
      </c>
      <c r="N2308" s="15" t="s">
        <v>43</v>
      </c>
      <c r="O2308" s="15" t="s">
        <v>44</v>
      </c>
      <c r="P2308" s="15" t="s">
        <v>8247</v>
      </c>
      <c r="Q2308" s="15" t="s">
        <v>733</v>
      </c>
      <c r="R2308" s="16">
        <v>44329</v>
      </c>
      <c r="S2308" s="17" t="s">
        <v>8968</v>
      </c>
      <c r="T2308" s="20">
        <f>HYPERLINK("https://vnm.spiral.com.vn//uploaded/20210513/ce65c9c9-32ab-46f8-957a-625e4fe16a92.JPEG","07:04:18")</f>
      </c>
      <c r="U2308" s="20">
        <f>HYPERLINK("https://vnm.spiral.com.vn//uploaded/20210513/ce903a32-82c1-45b2-9dcd-3b77385a426c.JPEG","10:59:53")</f>
      </c>
      <c r="V2308" s="18">
        <v>0.16359953703703703</v>
      </c>
      <c r="W2308" s="15" t="s">
        <v>11874</v>
      </c>
      <c r="X2308" s="15" t="s">
        <v>11875</v>
      </c>
      <c r="Y2308" s="15" t="s">
        <v>35</v>
      </c>
      <c r="Z2308" s="19">
        <v>0</v>
      </c>
      <c r="AA2308" s="15">
        <v>0</v>
      </c>
      <c r="AB2308" s="15" t="s">
        <v>35</v>
      </c>
    </row>
    <row r="2309">
      <c r="A2309" s="15">
        <v>2305</v>
      </c>
      <c r="B2309" s="15" t="s">
        <v>87</v>
      </c>
      <c r="C2309" s="15" t="s">
        <v>88</v>
      </c>
      <c r="D2309" s="15" t="s">
        <v>357</v>
      </c>
      <c r="E2309" s="15" t="s">
        <v>90</v>
      </c>
      <c r="F2309" s="15" t="s">
        <v>35</v>
      </c>
      <c r="G2309" s="15" t="s">
        <v>74</v>
      </c>
      <c r="H2309" s="15" t="s">
        <v>11876</v>
      </c>
      <c r="I2309" s="15" t="s">
        <v>11877</v>
      </c>
      <c r="J2309" s="15" t="s">
        <v>11878</v>
      </c>
      <c r="K2309" s="15" t="s">
        <v>1570</v>
      </c>
      <c r="L2309" s="15" t="s">
        <v>1571</v>
      </c>
      <c r="M2309" s="15" t="s">
        <v>2024</v>
      </c>
      <c r="N2309" s="15" t="s">
        <v>2025</v>
      </c>
      <c r="O2309" s="15" t="s">
        <v>82</v>
      </c>
      <c r="P2309" s="15" t="s">
        <v>2521</v>
      </c>
      <c r="Q2309" s="15" t="s">
        <v>2522</v>
      </c>
      <c r="R2309" s="16">
        <v>44329</v>
      </c>
      <c r="S2309" s="17" t="s">
        <v>70</v>
      </c>
      <c r="T2309" s="20">
        <f>HYPERLINK("https://vnm.spiral.com.vn//uploaded/20210513/4fff1a5a-4fad-4d5a-8752-8910d5b09d82.JPEG","10:36:03")</f>
      </c>
      <c r="U2309" s="20">
        <f>HYPERLINK("https://vnm.spiral.com.vn//uploaded/20210513/fa62464d-a480-4f20-8227-84d0a16a0dcf.JPEG","10:59:51")</f>
      </c>
      <c r="V2309" s="18">
        <v>0.016527777777777777</v>
      </c>
      <c r="W2309" s="15" t="s">
        <v>11879</v>
      </c>
      <c r="X2309" s="15" t="s">
        <v>11880</v>
      </c>
      <c r="Y2309" s="15" t="s">
        <v>35</v>
      </c>
      <c r="Z2309" s="19">
        <v>0</v>
      </c>
      <c r="AA2309" s="15">
        <v>0</v>
      </c>
      <c r="AB2309" s="15" t="s">
        <v>35</v>
      </c>
    </row>
    <row r="2310">
      <c r="A2310" s="15">
        <v>2306</v>
      </c>
      <c r="B2310" s="15" t="s">
        <v>61</v>
      </c>
      <c r="C2310" s="15" t="s">
        <v>303</v>
      </c>
      <c r="D2310" s="15" t="s">
        <v>35</v>
      </c>
      <c r="E2310" s="15" t="s">
        <v>35</v>
      </c>
      <c r="F2310" s="15" t="s">
        <v>35</v>
      </c>
      <c r="G2310" s="15" t="s">
        <v>36</v>
      </c>
      <c r="H2310" s="15" t="s">
        <v>8512</v>
      </c>
      <c r="I2310" s="15" t="s">
        <v>8513</v>
      </c>
      <c r="J2310" s="15" t="s">
        <v>8514</v>
      </c>
      <c r="K2310" s="15" t="s">
        <v>40</v>
      </c>
      <c r="L2310" s="15" t="s">
        <v>41</v>
      </c>
      <c r="M2310" s="15" t="s">
        <v>205</v>
      </c>
      <c r="N2310" s="15" t="s">
        <v>206</v>
      </c>
      <c r="O2310" s="15" t="s">
        <v>44</v>
      </c>
      <c r="P2310" s="15" t="s">
        <v>8515</v>
      </c>
      <c r="Q2310" s="15" t="s">
        <v>8516</v>
      </c>
      <c r="R2310" s="16">
        <v>44329</v>
      </c>
      <c r="S2310" s="17" t="s">
        <v>8968</v>
      </c>
      <c r="T2310" s="20">
        <f>HYPERLINK("https://vnm.spiral.com.vn//uploaded/20210513/25d2309c-dabf-4369-90de-d4fc44a67539.JPEG","07:02:04")</f>
      </c>
      <c r="U2310" s="20">
        <f>HYPERLINK("https://vnm.spiral.com.vn//uploaded/20210513/32c62a72-c623-4393-9002-2bd4b1b7e83b.JPEG","10:59:47")</f>
      </c>
      <c r="V2310" s="18">
        <v>0.16508101851851853</v>
      </c>
      <c r="W2310" s="15" t="s">
        <v>11881</v>
      </c>
      <c r="X2310" s="15" t="s">
        <v>11882</v>
      </c>
      <c r="Y2310" s="15" t="s">
        <v>35</v>
      </c>
      <c r="Z2310" s="19">
        <v>0</v>
      </c>
      <c r="AA2310" s="15">
        <v>0</v>
      </c>
      <c r="AB2310" s="15" t="s">
        <v>35</v>
      </c>
    </row>
    <row r="2311">
      <c r="A2311" s="15">
        <v>2307</v>
      </c>
      <c r="B2311" s="15" t="s">
        <v>87</v>
      </c>
      <c r="C2311" s="15" t="s">
        <v>88</v>
      </c>
      <c r="D2311" s="15" t="s">
        <v>35</v>
      </c>
      <c r="E2311" s="15" t="s">
        <v>35</v>
      </c>
      <c r="F2311" s="15" t="s">
        <v>2667</v>
      </c>
      <c r="G2311" s="15" t="s">
        <v>36</v>
      </c>
      <c r="H2311" s="15" t="s">
        <v>11883</v>
      </c>
      <c r="I2311" s="15" t="s">
        <v>11884</v>
      </c>
      <c r="J2311" s="15" t="s">
        <v>11885</v>
      </c>
      <c r="K2311" s="15" t="s">
        <v>40</v>
      </c>
      <c r="L2311" s="15" t="s">
        <v>41</v>
      </c>
      <c r="M2311" s="15" t="s">
        <v>1195</v>
      </c>
      <c r="N2311" s="15" t="s">
        <v>1196</v>
      </c>
      <c r="O2311" s="15" t="s">
        <v>44</v>
      </c>
      <c r="P2311" s="15" t="s">
        <v>6351</v>
      </c>
      <c r="Q2311" s="15" t="s">
        <v>6352</v>
      </c>
      <c r="R2311" s="16">
        <v>44329</v>
      </c>
      <c r="S2311" s="17" t="s">
        <v>8968</v>
      </c>
      <c r="T2311" s="20">
        <f>HYPERLINK("https://vnm.spiral.com.vn//uploaded/20210513/14A9DF31-7B6E-4E33-8B42-0373CE7FDEBA.jpg","07:00:44")</f>
      </c>
      <c r="U2311" s="20">
        <f>HYPERLINK("https://vnm.spiral.com.vn//uploaded/20210513/F02B7776-B3E3-421B-B236-1515C7214BFA.jpg","10:59:46")</f>
      </c>
      <c r="V2311" s="18">
        <v>0.16599537037037038</v>
      </c>
      <c r="W2311" s="15" t="s">
        <v>11886</v>
      </c>
      <c r="X2311" s="15" t="s">
        <v>11887</v>
      </c>
      <c r="Y2311" s="15" t="s">
        <v>35</v>
      </c>
      <c r="Z2311" s="19">
        <v>0</v>
      </c>
      <c r="AA2311" s="15">
        <v>0</v>
      </c>
      <c r="AB2311" s="15" t="s">
        <v>35</v>
      </c>
    </row>
    <row r="2312">
      <c r="A2312" s="15">
        <v>2308</v>
      </c>
      <c r="B2312" s="15" t="s">
        <v>87</v>
      </c>
      <c r="C2312" s="15" t="s">
        <v>88</v>
      </c>
      <c r="D2312" s="15" t="s">
        <v>35</v>
      </c>
      <c r="E2312" s="15" t="s">
        <v>35</v>
      </c>
      <c r="F2312" s="15" t="s">
        <v>35</v>
      </c>
      <c r="G2312" s="15" t="s">
        <v>74</v>
      </c>
      <c r="H2312" s="15" t="s">
        <v>11888</v>
      </c>
      <c r="I2312" s="15" t="s">
        <v>11889</v>
      </c>
      <c r="J2312" s="15" t="s">
        <v>11890</v>
      </c>
      <c r="K2312" s="15" t="s">
        <v>888</v>
      </c>
      <c r="L2312" s="15" t="s">
        <v>889</v>
      </c>
      <c r="M2312" s="15" t="s">
        <v>890</v>
      </c>
      <c r="N2312" s="15" t="s">
        <v>891</v>
      </c>
      <c r="O2312" s="15" t="s">
        <v>82</v>
      </c>
      <c r="P2312" s="15" t="s">
        <v>1914</v>
      </c>
      <c r="Q2312" s="15" t="s">
        <v>1915</v>
      </c>
      <c r="R2312" s="16">
        <v>44329</v>
      </c>
      <c r="S2312" s="17" t="s">
        <v>70</v>
      </c>
      <c r="T2312" s="20">
        <f>HYPERLINK("https://vnm.spiral.com.vn//uploaded/20210513/4DAC8F8C-524F-456C-8E7B-16D5DDC0AD35.jpg","10:25:45")</f>
      </c>
      <c r="U2312" s="20">
        <f>HYPERLINK("https://vnm.spiral.com.vn//uploaded/20210513/773E7471-F675-4B93-AB5F-2E1F4781619B.jpg","10:58:12")</f>
      </c>
      <c r="V2312" s="18">
        <v>0.022534722222222223</v>
      </c>
      <c r="W2312" s="15" t="s">
        <v>11891</v>
      </c>
      <c r="X2312" s="15" t="s">
        <v>11891</v>
      </c>
      <c r="Y2312" s="15" t="s">
        <v>35</v>
      </c>
      <c r="Z2312" s="19">
        <v>0</v>
      </c>
      <c r="AA2312" s="15">
        <v>0</v>
      </c>
      <c r="AB2312" s="15" t="s">
        <v>35</v>
      </c>
    </row>
    <row r="2313">
      <c r="A2313" s="15">
        <v>2309</v>
      </c>
      <c r="B2313" s="15" t="s">
        <v>33</v>
      </c>
      <c r="C2313" s="15" t="s">
        <v>34</v>
      </c>
      <c r="D2313" s="15" t="s">
        <v>35</v>
      </c>
      <c r="E2313" s="15" t="s">
        <v>35</v>
      </c>
      <c r="F2313" s="15" t="s">
        <v>35</v>
      </c>
      <c r="G2313" s="15" t="s">
        <v>36</v>
      </c>
      <c r="H2313" s="15" t="s">
        <v>11892</v>
      </c>
      <c r="I2313" s="15" t="s">
        <v>11893</v>
      </c>
      <c r="J2313" s="15" t="s">
        <v>11894</v>
      </c>
      <c r="K2313" s="15" t="s">
        <v>40</v>
      </c>
      <c r="L2313" s="15" t="s">
        <v>41</v>
      </c>
      <c r="M2313" s="15" t="s">
        <v>42</v>
      </c>
      <c r="N2313" s="15" t="s">
        <v>43</v>
      </c>
      <c r="O2313" s="15" t="s">
        <v>44</v>
      </c>
      <c r="P2313" s="15" t="s">
        <v>8441</v>
      </c>
      <c r="Q2313" s="15" t="s">
        <v>8442</v>
      </c>
      <c r="R2313" s="16">
        <v>44329</v>
      </c>
      <c r="S2313" s="17" t="s">
        <v>8968</v>
      </c>
      <c r="T2313" s="20">
        <f>HYPERLINK("https://vnm.spiral.com.vn//uploaded/20210513/5ff1d0a4-ade3-4e9b-8cef-671b4bc764c1.JPEG","07:02:28")</f>
      </c>
      <c r="U2313" s="20">
        <f>HYPERLINK("https://vnm.spiral.com.vn//uploaded/20210513/ae18f624-7d2d-4749-8e94-bbc782068b45.JPEG","10:58:10")</f>
      </c>
      <c r="V2313" s="18">
        <v>0.16368055555555555</v>
      </c>
      <c r="W2313" s="15" t="s">
        <v>11895</v>
      </c>
      <c r="X2313" s="15" t="s">
        <v>11896</v>
      </c>
      <c r="Y2313" s="15" t="s">
        <v>35</v>
      </c>
      <c r="Z2313" s="19">
        <v>0</v>
      </c>
      <c r="AA2313" s="15">
        <v>0</v>
      </c>
      <c r="AB2313" s="15" t="s">
        <v>35</v>
      </c>
    </row>
    <row r="2314">
      <c r="A2314" s="15">
        <v>2310</v>
      </c>
      <c r="B2314" s="15" t="s">
        <v>343</v>
      </c>
      <c r="C2314" s="15" t="s">
        <v>344</v>
      </c>
      <c r="D2314" s="15" t="s">
        <v>1644</v>
      </c>
      <c r="E2314" s="15" t="s">
        <v>35</v>
      </c>
      <c r="F2314" s="15" t="s">
        <v>35</v>
      </c>
      <c r="G2314" s="15" t="s">
        <v>74</v>
      </c>
      <c r="H2314" s="15" t="s">
        <v>11897</v>
      </c>
      <c r="I2314" s="15" t="s">
        <v>11898</v>
      </c>
      <c r="J2314" s="15" t="s">
        <v>11899</v>
      </c>
      <c r="K2314" s="15" t="s">
        <v>584</v>
      </c>
      <c r="L2314" s="15" t="s">
        <v>585</v>
      </c>
      <c r="M2314" s="15" t="s">
        <v>827</v>
      </c>
      <c r="N2314" s="15" t="s">
        <v>828</v>
      </c>
      <c r="O2314" s="15" t="s">
        <v>82</v>
      </c>
      <c r="P2314" s="15" t="s">
        <v>2319</v>
      </c>
      <c r="Q2314" s="15" t="s">
        <v>2320</v>
      </c>
      <c r="R2314" s="16">
        <v>44329</v>
      </c>
      <c r="S2314" s="17" t="s">
        <v>70</v>
      </c>
      <c r="T2314" s="20">
        <f>HYPERLINK("https://vnm.spiral.com.vn//uploaded/20210513/31F2899B-5951-4E80-A420-778675028C57.jpg","10:42:47")</f>
      </c>
      <c r="U2314" s="20">
        <f>HYPERLINK("https://vnm.spiral.com.vn//uploaded/20210513/E1527A3C-16ED-455D-AD33-9532937FB8EE.jpg","10:58:09")</f>
      </c>
      <c r="V2314" s="18">
        <v>0.010671296296296297</v>
      </c>
      <c r="W2314" s="15" t="s">
        <v>11900</v>
      </c>
      <c r="X2314" s="15" t="s">
        <v>11901</v>
      </c>
      <c r="Y2314" s="15" t="s">
        <v>35</v>
      </c>
      <c r="Z2314" s="19">
        <v>0</v>
      </c>
      <c r="AA2314" s="15">
        <v>0</v>
      </c>
      <c r="AB2314" s="15" t="s">
        <v>35</v>
      </c>
    </row>
    <row r="2315">
      <c r="A2315" s="15">
        <v>2311</v>
      </c>
      <c r="B2315" s="15" t="s">
        <v>33</v>
      </c>
      <c r="C2315" s="15" t="s">
        <v>34</v>
      </c>
      <c r="D2315" s="15" t="s">
        <v>5711</v>
      </c>
      <c r="E2315" s="15" t="s">
        <v>35</v>
      </c>
      <c r="F2315" s="15" t="s">
        <v>35</v>
      </c>
      <c r="G2315" s="15" t="s">
        <v>74</v>
      </c>
      <c r="H2315" s="15" t="s">
        <v>11902</v>
      </c>
      <c r="I2315" s="15" t="s">
        <v>11903</v>
      </c>
      <c r="J2315" s="15" t="s">
        <v>11904</v>
      </c>
      <c r="K2315" s="15" t="s">
        <v>540</v>
      </c>
      <c r="L2315" s="15" t="s">
        <v>541</v>
      </c>
      <c r="M2315" s="15" t="s">
        <v>78</v>
      </c>
      <c r="N2315" s="15" t="s">
        <v>79</v>
      </c>
      <c r="O2315" s="15" t="s">
        <v>98</v>
      </c>
      <c r="P2315" s="15" t="s">
        <v>426</v>
      </c>
      <c r="Q2315" s="15" t="s">
        <v>427</v>
      </c>
      <c r="R2315" s="16">
        <v>44329</v>
      </c>
      <c r="S2315" s="17" t="s">
        <v>35</v>
      </c>
      <c r="T2315" s="20">
        <f>HYPERLINK("https://vnm.spiral.com.vn//uploaded/20210513/7eb1f07f-eae0-4ebe-ab4b-4563ea9b3b43.JPEG","08:04:44")</f>
      </c>
      <c r="U2315" s="20">
        <f>HYPERLINK("https://vnm.spiral.com.vn//uploaded/20210513/84fe5e4e-8c03-4fae-8f77-fe519c50d7c8.JPEG","10:58:01")</f>
      </c>
      <c r="V2315" s="18">
        <v>0.12033564814814815</v>
      </c>
      <c r="W2315" s="15" t="s">
        <v>11905</v>
      </c>
      <c r="X2315" s="15" t="s">
        <v>11906</v>
      </c>
      <c r="Y2315" s="15" t="s">
        <v>35</v>
      </c>
      <c r="Z2315" s="19">
        <v>0</v>
      </c>
      <c r="AA2315" s="15">
        <v>0</v>
      </c>
      <c r="AB2315" s="15" t="s">
        <v>35</v>
      </c>
    </row>
    <row r="2316">
      <c r="A2316" s="15">
        <v>2312</v>
      </c>
      <c r="B2316" s="15" t="s">
        <v>49</v>
      </c>
      <c r="C2316" s="15" t="s">
        <v>162</v>
      </c>
      <c r="D2316" s="15" t="s">
        <v>135</v>
      </c>
      <c r="E2316" s="15" t="s">
        <v>116</v>
      </c>
      <c r="F2316" s="15" t="s">
        <v>35</v>
      </c>
      <c r="G2316" s="15" t="s">
        <v>74</v>
      </c>
      <c r="H2316" s="15" t="s">
        <v>11907</v>
      </c>
      <c r="I2316" s="15" t="s">
        <v>11908</v>
      </c>
      <c r="J2316" s="15" t="s">
        <v>11909</v>
      </c>
      <c r="K2316" s="15" t="s">
        <v>166</v>
      </c>
      <c r="L2316" s="15" t="s">
        <v>167</v>
      </c>
      <c r="M2316" s="15" t="s">
        <v>168</v>
      </c>
      <c r="N2316" s="15" t="s">
        <v>169</v>
      </c>
      <c r="O2316" s="15" t="s">
        <v>82</v>
      </c>
      <c r="P2316" s="15" t="s">
        <v>3365</v>
      </c>
      <c r="Q2316" s="15" t="s">
        <v>3366</v>
      </c>
      <c r="R2316" s="16">
        <v>44329</v>
      </c>
      <c r="S2316" s="17" t="s">
        <v>70</v>
      </c>
      <c r="T2316" s="20">
        <f>HYPERLINK("https://vnm.spiral.com.vn//uploaded/20210513/b369a1a5-d00a-4edd-83f2-985f9c4c9b58.JPEG","09:56:13")</f>
      </c>
      <c r="U2316" s="20">
        <f>HYPERLINK("https://vnm.spiral.com.vn//uploaded/20210513/f877b5cb-e4c0-4c13-9c86-688cc46d4e8b.JPEG","10:57:53")</f>
      </c>
      <c r="V2316" s="18">
        <v>0.04282407407407408</v>
      </c>
      <c r="W2316" s="15" t="s">
        <v>11910</v>
      </c>
      <c r="X2316" s="15" t="s">
        <v>11911</v>
      </c>
      <c r="Y2316" s="15" t="s">
        <v>35</v>
      </c>
      <c r="Z2316" s="19">
        <v>0</v>
      </c>
      <c r="AA2316" s="15">
        <v>0</v>
      </c>
      <c r="AB2316" s="15" t="s">
        <v>35</v>
      </c>
    </row>
    <row r="2317">
      <c r="A2317" s="15">
        <v>2313</v>
      </c>
      <c r="B2317" s="15" t="s">
        <v>87</v>
      </c>
      <c r="C2317" s="15" t="s">
        <v>88</v>
      </c>
      <c r="D2317" s="15" t="s">
        <v>35</v>
      </c>
      <c r="E2317" s="15" t="s">
        <v>35</v>
      </c>
      <c r="F2317" s="15" t="s">
        <v>4780</v>
      </c>
      <c r="G2317" s="15" t="s">
        <v>36</v>
      </c>
      <c r="H2317" s="15" t="s">
        <v>11912</v>
      </c>
      <c r="I2317" s="15" t="s">
        <v>11913</v>
      </c>
      <c r="J2317" s="15" t="s">
        <v>11914</v>
      </c>
      <c r="K2317" s="15" t="s">
        <v>40</v>
      </c>
      <c r="L2317" s="15" t="s">
        <v>41</v>
      </c>
      <c r="M2317" s="15" t="s">
        <v>810</v>
      </c>
      <c r="N2317" s="15" t="s">
        <v>811</v>
      </c>
      <c r="O2317" s="15" t="s">
        <v>44</v>
      </c>
      <c r="P2317" s="15" t="s">
        <v>11915</v>
      </c>
      <c r="Q2317" s="15" t="s">
        <v>11916</v>
      </c>
      <c r="R2317" s="16">
        <v>44329</v>
      </c>
      <c r="S2317" s="17" t="s">
        <v>11791</v>
      </c>
      <c r="T2317" s="20">
        <f>HYPERLINK("https://vnm.spiral.com.vn//uploaded/20210513/0CEF02BA-F8B4-4987-801D-8E29CB3A9BD2.jpg","10:57:40")</f>
      </c>
      <c r="U2317" s="18"/>
      <c r="V2317" s="18" t="s">
        <v>35</v>
      </c>
      <c r="W2317" s="15" t="s">
        <v>11917</v>
      </c>
      <c r="X2317" s="15" t="s">
        <v>35</v>
      </c>
      <c r="Y2317" s="15" t="s">
        <v>35</v>
      </c>
      <c r="Z2317" s="19">
        <v>0</v>
      </c>
      <c r="AA2317" s="15">
        <v>0</v>
      </c>
      <c r="AB2317" s="15" t="s">
        <v>35</v>
      </c>
    </row>
    <row r="2318">
      <c r="A2318" s="15">
        <v>2314</v>
      </c>
      <c r="B2318" s="15" t="s">
        <v>87</v>
      </c>
      <c r="C2318" s="15" t="s">
        <v>88</v>
      </c>
      <c r="D2318" s="15" t="s">
        <v>35</v>
      </c>
      <c r="E2318" s="15" t="s">
        <v>35</v>
      </c>
      <c r="F2318" s="15" t="s">
        <v>2789</v>
      </c>
      <c r="G2318" s="15" t="s">
        <v>36</v>
      </c>
      <c r="H2318" s="15" t="s">
        <v>6647</v>
      </c>
      <c r="I2318" s="15" t="s">
        <v>6648</v>
      </c>
      <c r="J2318" s="15" t="s">
        <v>6649</v>
      </c>
      <c r="K2318" s="15" t="s">
        <v>40</v>
      </c>
      <c r="L2318" s="15" t="s">
        <v>41</v>
      </c>
      <c r="M2318" s="15" t="s">
        <v>289</v>
      </c>
      <c r="N2318" s="15" t="s">
        <v>290</v>
      </c>
      <c r="O2318" s="15" t="s">
        <v>44</v>
      </c>
      <c r="P2318" s="15" t="s">
        <v>6650</v>
      </c>
      <c r="Q2318" s="15" t="s">
        <v>6651</v>
      </c>
      <c r="R2318" s="16">
        <v>44329</v>
      </c>
      <c r="S2318" s="17" t="s">
        <v>8968</v>
      </c>
      <c r="T2318" s="20">
        <f>HYPERLINK("https://vnm.spiral.com.vn//uploaded/20210513/038AA1B2-D523-4B2C-8C3F-90342FC16BA4.jpg","07:03:20")</f>
      </c>
      <c r="U2318" s="20">
        <f>HYPERLINK("https://vnm.spiral.com.vn//uploaded/20210513/715EF555-0E81-4DFC-956D-1C5DED7D1465.jpg","10:57:19")</f>
      </c>
      <c r="V2318" s="18">
        <v>0.16248842592592594</v>
      </c>
      <c r="W2318" s="15" t="s">
        <v>11918</v>
      </c>
      <c r="X2318" s="15" t="s">
        <v>11919</v>
      </c>
      <c r="Y2318" s="15" t="s">
        <v>35</v>
      </c>
      <c r="Z2318" s="19">
        <v>0</v>
      </c>
      <c r="AA2318" s="15">
        <v>0</v>
      </c>
      <c r="AB2318" s="15" t="s">
        <v>35</v>
      </c>
    </row>
    <row r="2319">
      <c r="A2319" s="15">
        <v>2315</v>
      </c>
      <c r="B2319" s="15" t="s">
        <v>87</v>
      </c>
      <c r="C2319" s="15" t="s">
        <v>88</v>
      </c>
      <c r="D2319" s="15" t="s">
        <v>135</v>
      </c>
      <c r="E2319" s="15" t="s">
        <v>116</v>
      </c>
      <c r="F2319" s="15" t="s">
        <v>35</v>
      </c>
      <c r="G2319" s="15" t="s">
        <v>74</v>
      </c>
      <c r="H2319" s="15" t="s">
        <v>11920</v>
      </c>
      <c r="I2319" s="15" t="s">
        <v>11921</v>
      </c>
      <c r="J2319" s="15" t="s">
        <v>11922</v>
      </c>
      <c r="K2319" s="15" t="s">
        <v>139</v>
      </c>
      <c r="L2319" s="15" t="s">
        <v>140</v>
      </c>
      <c r="M2319" s="15" t="s">
        <v>530</v>
      </c>
      <c r="N2319" s="15" t="s">
        <v>531</v>
      </c>
      <c r="O2319" s="15" t="s">
        <v>82</v>
      </c>
      <c r="P2319" s="15" t="s">
        <v>2108</v>
      </c>
      <c r="Q2319" s="15" t="s">
        <v>2109</v>
      </c>
      <c r="R2319" s="16">
        <v>44329</v>
      </c>
      <c r="S2319" s="17" t="s">
        <v>70</v>
      </c>
      <c r="T2319" s="20">
        <f>HYPERLINK("https://vnm.spiral.com.vn//uploaded/20210513/430748ca-95be-431c-80e7-11f633acbe66.JPEG","09:58:07")</f>
      </c>
      <c r="U2319" s="20">
        <f>HYPERLINK("https://vnm.spiral.com.vn//uploaded/20210513/f0d69aa8-8f4e-4631-943f-8247a2604ec4.JPEG","10:57:11")</f>
      </c>
      <c r="V2319" s="18">
        <v>0.04101851851851852</v>
      </c>
      <c r="W2319" s="15" t="s">
        <v>11923</v>
      </c>
      <c r="X2319" s="15" t="s">
        <v>11924</v>
      </c>
      <c r="Y2319" s="15" t="s">
        <v>35</v>
      </c>
      <c r="Z2319" s="19">
        <v>0</v>
      </c>
      <c r="AA2319" s="15">
        <v>0</v>
      </c>
      <c r="AB2319" s="15" t="s">
        <v>35</v>
      </c>
    </row>
    <row r="2320">
      <c r="A2320" s="15">
        <v>2316</v>
      </c>
      <c r="B2320" s="15" t="s">
        <v>246</v>
      </c>
      <c r="C2320" s="15" t="s">
        <v>864</v>
      </c>
      <c r="D2320" s="15" t="s">
        <v>35</v>
      </c>
      <c r="E2320" s="15" t="s">
        <v>35</v>
      </c>
      <c r="F2320" s="15" t="s">
        <v>35</v>
      </c>
      <c r="G2320" s="15" t="s">
        <v>35</v>
      </c>
      <c r="H2320" s="15" t="s">
        <v>7324</v>
      </c>
      <c r="I2320" s="15" t="s">
        <v>7325</v>
      </c>
      <c r="J2320" s="15" t="s">
        <v>7326</v>
      </c>
      <c r="K2320" s="15" t="s">
        <v>40</v>
      </c>
      <c r="L2320" s="15" t="s">
        <v>41</v>
      </c>
      <c r="M2320" s="15" t="s">
        <v>252</v>
      </c>
      <c r="N2320" s="15" t="s">
        <v>253</v>
      </c>
      <c r="O2320" s="15" t="s">
        <v>44</v>
      </c>
      <c r="P2320" s="15" t="s">
        <v>7327</v>
      </c>
      <c r="Q2320" s="15" t="s">
        <v>7328</v>
      </c>
      <c r="R2320" s="16">
        <v>44329</v>
      </c>
      <c r="S2320" s="17" t="s">
        <v>8968</v>
      </c>
      <c r="T2320" s="20">
        <f>HYPERLINK("https://vnm.spiral.com.vn//uploaded/20210513/4A83D4E7-FDA9-48FD-999F-F6EE5AB0F42B.jpg","06:57:31")</f>
      </c>
      <c r="U2320" s="20">
        <f>HYPERLINK("https://vnm.spiral.com.vn//uploaded/20210513/24BBEFDB-84A8-40E1-B182-045AB65D30C3.jpg","10:57:09")</f>
      </c>
      <c r="V2320" s="18">
        <v>0.16641203703703702</v>
      </c>
      <c r="W2320" s="15" t="s">
        <v>11925</v>
      </c>
      <c r="X2320" s="15" t="s">
        <v>11926</v>
      </c>
      <c r="Y2320" s="15" t="s">
        <v>35</v>
      </c>
      <c r="Z2320" s="19">
        <v>0</v>
      </c>
      <c r="AA2320" s="15">
        <v>0</v>
      </c>
      <c r="AB2320" s="15" t="s">
        <v>35</v>
      </c>
    </row>
    <row r="2321">
      <c r="A2321" s="15">
        <v>2317</v>
      </c>
      <c r="B2321" s="15" t="s">
        <v>87</v>
      </c>
      <c r="C2321" s="15" t="s">
        <v>88</v>
      </c>
      <c r="D2321" s="15" t="s">
        <v>74</v>
      </c>
      <c r="E2321" s="15" t="s">
        <v>90</v>
      </c>
      <c r="F2321" s="15" t="s">
        <v>35</v>
      </c>
      <c r="G2321" s="15" t="s">
        <v>74</v>
      </c>
      <c r="H2321" s="15" t="s">
        <v>11927</v>
      </c>
      <c r="I2321" s="15" t="s">
        <v>11928</v>
      </c>
      <c r="J2321" s="15" t="s">
        <v>11929</v>
      </c>
      <c r="K2321" s="15" t="s">
        <v>190</v>
      </c>
      <c r="L2321" s="15" t="s">
        <v>191</v>
      </c>
      <c r="M2321" s="15" t="s">
        <v>1031</v>
      </c>
      <c r="N2321" s="15" t="s">
        <v>1032</v>
      </c>
      <c r="O2321" s="15" t="s">
        <v>82</v>
      </c>
      <c r="P2321" s="15" t="s">
        <v>3909</v>
      </c>
      <c r="Q2321" s="15" t="s">
        <v>3910</v>
      </c>
      <c r="R2321" s="16">
        <v>44329</v>
      </c>
      <c r="S2321" s="17" t="s">
        <v>70</v>
      </c>
      <c r="T2321" s="20">
        <f>HYPERLINK("https://vnm.spiral.com.vn//uploaded/20210513/6DD69D6B-BE00-4058-9E24-DB5DF6344893.jpg","10:16:15")</f>
      </c>
      <c r="U2321" s="20">
        <f>HYPERLINK("https://vnm.spiral.com.vn//uploaded/20210513/458DE552-864B-47C7-8C3E-C46156E9C142.jpg","10:56:31")</f>
      </c>
      <c r="V2321" s="18">
        <v>0.027962962962962964</v>
      </c>
      <c r="W2321" s="15" t="s">
        <v>11930</v>
      </c>
      <c r="X2321" s="15" t="s">
        <v>11931</v>
      </c>
      <c r="Y2321" s="15" t="s">
        <v>35</v>
      </c>
      <c r="Z2321" s="19">
        <v>0</v>
      </c>
      <c r="AA2321" s="15">
        <v>0</v>
      </c>
      <c r="AB2321" s="15" t="s">
        <v>35</v>
      </c>
    </row>
    <row r="2322">
      <c r="A2322" s="15">
        <v>2318</v>
      </c>
      <c r="B2322" s="15" t="s">
        <v>87</v>
      </c>
      <c r="C2322" s="15" t="s">
        <v>88</v>
      </c>
      <c r="D2322" s="15" t="s">
        <v>610</v>
      </c>
      <c r="E2322" s="15" t="s">
        <v>90</v>
      </c>
      <c r="F2322" s="15" t="s">
        <v>35</v>
      </c>
      <c r="G2322" s="15" t="s">
        <v>74</v>
      </c>
      <c r="H2322" s="15" t="s">
        <v>11932</v>
      </c>
      <c r="I2322" s="15" t="s">
        <v>11933</v>
      </c>
      <c r="J2322" s="15" t="s">
        <v>11934</v>
      </c>
      <c r="K2322" s="15" t="s">
        <v>614</v>
      </c>
      <c r="L2322" s="15" t="s">
        <v>615</v>
      </c>
      <c r="M2322" s="15" t="s">
        <v>616</v>
      </c>
      <c r="N2322" s="15" t="s">
        <v>617</v>
      </c>
      <c r="O2322" s="15" t="s">
        <v>82</v>
      </c>
      <c r="P2322" s="15" t="s">
        <v>1846</v>
      </c>
      <c r="Q2322" s="15" t="s">
        <v>1847</v>
      </c>
      <c r="R2322" s="16">
        <v>44329</v>
      </c>
      <c r="S2322" s="17" t="s">
        <v>70</v>
      </c>
      <c r="T2322" s="20">
        <f>HYPERLINK("https://vnm.spiral.com.vn//uploaded/20210513/00e20f7e-51ba-4102-8031-aa73a47ca7c0.JPEG","09:22:46")</f>
      </c>
      <c r="U2322" s="20">
        <f>HYPERLINK("https://vnm.spiral.com.vn//uploaded/20210513/98321a58-e172-4b6e-85d7-4ed5958d3666.JPEG","10:55:36")</f>
      </c>
      <c r="V2322" s="18">
        <v>0.06446759259259259</v>
      </c>
      <c r="W2322" s="15" t="s">
        <v>11935</v>
      </c>
      <c r="X2322" s="15" t="s">
        <v>11936</v>
      </c>
      <c r="Y2322" s="15" t="s">
        <v>35</v>
      </c>
      <c r="Z2322" s="19">
        <v>0</v>
      </c>
      <c r="AA2322" s="15">
        <v>0</v>
      </c>
      <c r="AB2322" s="15" t="s">
        <v>35</v>
      </c>
    </row>
    <row r="2323">
      <c r="A2323" s="15">
        <v>2319</v>
      </c>
      <c r="B2323" s="15" t="s">
        <v>343</v>
      </c>
      <c r="C2323" s="15" t="s">
        <v>344</v>
      </c>
      <c r="D2323" s="15" t="s">
        <v>432</v>
      </c>
      <c r="E2323" s="15" t="s">
        <v>116</v>
      </c>
      <c r="F2323" s="15" t="s">
        <v>35</v>
      </c>
      <c r="G2323" s="15" t="s">
        <v>74</v>
      </c>
      <c r="H2323" s="15" t="s">
        <v>11937</v>
      </c>
      <c r="I2323" s="15" t="s">
        <v>11938</v>
      </c>
      <c r="J2323" s="15" t="s">
        <v>11939</v>
      </c>
      <c r="K2323" s="15" t="s">
        <v>1168</v>
      </c>
      <c r="L2323" s="15" t="s">
        <v>1169</v>
      </c>
      <c r="M2323" s="15" t="s">
        <v>1170</v>
      </c>
      <c r="N2323" s="15" t="s">
        <v>1171</v>
      </c>
      <c r="O2323" s="15" t="s">
        <v>82</v>
      </c>
      <c r="P2323" s="15" t="s">
        <v>1726</v>
      </c>
      <c r="Q2323" s="15" t="s">
        <v>1727</v>
      </c>
      <c r="R2323" s="16">
        <v>44329</v>
      </c>
      <c r="S2323" s="17" t="s">
        <v>70</v>
      </c>
      <c r="T2323" s="20">
        <f>HYPERLINK("https://vnm.spiral.com.vn//uploaded/20210513/b7d48c0b-fbb9-4c40-b431-6966c1049829.JPEG","10:24:01")</f>
      </c>
      <c r="U2323" s="20">
        <f>HYPERLINK("https://vnm.spiral.com.vn//uploaded/20210513/7019edad-7307-40b7-9029-05f803237261.JPEG","10:54:31")</f>
      </c>
      <c r="V2323" s="18">
        <v>0.021180555555555557</v>
      </c>
      <c r="W2323" s="15" t="s">
        <v>11940</v>
      </c>
      <c r="X2323" s="15" t="s">
        <v>11941</v>
      </c>
      <c r="Y2323" s="15" t="s">
        <v>35</v>
      </c>
      <c r="Z2323" s="19">
        <v>0</v>
      </c>
      <c r="AA2323" s="15">
        <v>0</v>
      </c>
      <c r="AB2323" s="15" t="s">
        <v>35</v>
      </c>
    </row>
    <row r="2324">
      <c r="A2324" s="15">
        <v>2320</v>
      </c>
      <c r="B2324" s="15" t="s">
        <v>61</v>
      </c>
      <c r="C2324" s="15" t="s">
        <v>904</v>
      </c>
      <c r="D2324" s="15" t="s">
        <v>35</v>
      </c>
      <c r="E2324" s="15" t="s">
        <v>35</v>
      </c>
      <c r="F2324" s="15" t="s">
        <v>35</v>
      </c>
      <c r="G2324" s="15" t="s">
        <v>36</v>
      </c>
      <c r="H2324" s="15" t="s">
        <v>11942</v>
      </c>
      <c r="I2324" s="15" t="s">
        <v>11943</v>
      </c>
      <c r="J2324" s="15" t="s">
        <v>11944</v>
      </c>
      <c r="K2324" s="15" t="s">
        <v>40</v>
      </c>
      <c r="L2324" s="15" t="s">
        <v>41</v>
      </c>
      <c r="M2324" s="15" t="s">
        <v>66</v>
      </c>
      <c r="N2324" s="15" t="s">
        <v>67</v>
      </c>
      <c r="O2324" s="15" t="s">
        <v>44</v>
      </c>
      <c r="P2324" s="15" t="s">
        <v>11945</v>
      </c>
      <c r="Q2324" s="15" t="s">
        <v>11946</v>
      </c>
      <c r="R2324" s="16">
        <v>44329</v>
      </c>
      <c r="S2324" s="17" t="s">
        <v>11947</v>
      </c>
      <c r="T2324" s="20">
        <f>HYPERLINK("https://vnm.spiral.com.vn//uploaded/20210513/d24ab577-9836-40ef-a5dc-0bec4ec9f028.JPEG","10:54:28")</f>
      </c>
      <c r="U2324" s="18"/>
      <c r="V2324" s="18" t="s">
        <v>35</v>
      </c>
      <c r="W2324" s="15" t="s">
        <v>11948</v>
      </c>
      <c r="X2324" s="15" t="s">
        <v>35</v>
      </c>
      <c r="Y2324" s="15" t="s">
        <v>35</v>
      </c>
      <c r="Z2324" s="19">
        <v>0</v>
      </c>
      <c r="AA2324" s="15">
        <v>0</v>
      </c>
      <c r="AB2324" s="15" t="s">
        <v>35</v>
      </c>
    </row>
    <row r="2325">
      <c r="A2325" s="15">
        <v>2321</v>
      </c>
      <c r="B2325" s="15" t="s">
        <v>343</v>
      </c>
      <c r="C2325" s="15" t="s">
        <v>2069</v>
      </c>
      <c r="D2325" s="15" t="s">
        <v>35</v>
      </c>
      <c r="E2325" s="15" t="s">
        <v>35</v>
      </c>
      <c r="F2325" s="15" t="s">
        <v>5873</v>
      </c>
      <c r="G2325" s="15" t="s">
        <v>36</v>
      </c>
      <c r="H2325" s="15" t="s">
        <v>11949</v>
      </c>
      <c r="I2325" s="15" t="s">
        <v>11950</v>
      </c>
      <c r="J2325" s="15" t="s">
        <v>11951</v>
      </c>
      <c r="K2325" s="15" t="s">
        <v>40</v>
      </c>
      <c r="L2325" s="15" t="s">
        <v>41</v>
      </c>
      <c r="M2325" s="15" t="s">
        <v>595</v>
      </c>
      <c r="N2325" s="15" t="s">
        <v>596</v>
      </c>
      <c r="O2325" s="15" t="s">
        <v>44</v>
      </c>
      <c r="P2325" s="15" t="s">
        <v>5877</v>
      </c>
      <c r="Q2325" s="15" t="s">
        <v>5878</v>
      </c>
      <c r="R2325" s="16">
        <v>44329</v>
      </c>
      <c r="S2325" s="17" t="s">
        <v>8968</v>
      </c>
      <c r="T2325" s="20">
        <f>HYPERLINK("https://vnm.spiral.com.vn//uploaded/20210513/26378F6A-58F7-4811-B513-1FD778B16AE0.jpg","06:45:12")</f>
      </c>
      <c r="U2325" s="20">
        <f>HYPERLINK("https://vnm.spiral.com.vn//uploaded/20210513/7CAAFE53-6E85-4FE4-B2FC-9D9E41BFE71E.jpg","10:54:01")</f>
      </c>
      <c r="V2325" s="18">
        <v>0.17278935185185185</v>
      </c>
      <c r="W2325" s="15" t="s">
        <v>11952</v>
      </c>
      <c r="X2325" s="15" t="s">
        <v>11953</v>
      </c>
      <c r="Y2325" s="15" t="s">
        <v>35</v>
      </c>
      <c r="Z2325" s="19">
        <v>0</v>
      </c>
      <c r="AA2325" s="15">
        <v>0</v>
      </c>
      <c r="AB2325" s="15" t="s">
        <v>35</v>
      </c>
    </row>
    <row r="2326">
      <c r="A2326" s="15">
        <v>2322</v>
      </c>
      <c r="B2326" s="15" t="s">
        <v>103</v>
      </c>
      <c r="C2326" s="15" t="s">
        <v>174</v>
      </c>
      <c r="D2326" s="15" t="s">
        <v>135</v>
      </c>
      <c r="E2326" s="15" t="s">
        <v>116</v>
      </c>
      <c r="F2326" s="15" t="s">
        <v>35</v>
      </c>
      <c r="G2326" s="15" t="s">
        <v>74</v>
      </c>
      <c r="H2326" s="15" t="s">
        <v>11954</v>
      </c>
      <c r="I2326" s="15" t="s">
        <v>11955</v>
      </c>
      <c r="J2326" s="15" t="s">
        <v>11956</v>
      </c>
      <c r="K2326" s="15" t="s">
        <v>178</v>
      </c>
      <c r="L2326" s="15" t="s">
        <v>179</v>
      </c>
      <c r="M2326" s="15" t="s">
        <v>180</v>
      </c>
      <c r="N2326" s="15" t="s">
        <v>181</v>
      </c>
      <c r="O2326" s="15" t="s">
        <v>82</v>
      </c>
      <c r="P2326" s="15" t="s">
        <v>182</v>
      </c>
      <c r="Q2326" s="15" t="s">
        <v>183</v>
      </c>
      <c r="R2326" s="16">
        <v>44329</v>
      </c>
      <c r="S2326" s="17" t="s">
        <v>70</v>
      </c>
      <c r="T2326" s="20">
        <f>HYPERLINK("https://vnm.spiral.com.vn//uploaded/20210513/40367aad-d1e4-40f5-948d-ed7a398ff89c.JPEG","07:57:00")</f>
      </c>
      <c r="U2326" s="20">
        <f>HYPERLINK("https://vnm.spiral.com.vn//uploaded/20210513/1f44ec32-0b45-48b4-83ac-1be774e094c9.JPEG","10:54:00")</f>
      </c>
      <c r="V2326" s="18">
        <v>0.12291666666666666</v>
      </c>
      <c r="W2326" s="15" t="s">
        <v>11957</v>
      </c>
      <c r="X2326" s="15" t="s">
        <v>11958</v>
      </c>
      <c r="Y2326" s="15" t="s">
        <v>35</v>
      </c>
      <c r="Z2326" s="19">
        <v>0</v>
      </c>
      <c r="AA2326" s="15">
        <v>0</v>
      </c>
      <c r="AB2326" s="15" t="s">
        <v>35</v>
      </c>
    </row>
    <row r="2327">
      <c r="A2327" s="15">
        <v>2323</v>
      </c>
      <c r="B2327" s="15" t="s">
        <v>103</v>
      </c>
      <c r="C2327" s="15" t="s">
        <v>2116</v>
      </c>
      <c r="D2327" s="15" t="s">
        <v>89</v>
      </c>
      <c r="E2327" s="15" t="s">
        <v>90</v>
      </c>
      <c r="F2327" s="15" t="s">
        <v>35</v>
      </c>
      <c r="G2327" s="15" t="s">
        <v>74</v>
      </c>
      <c r="H2327" s="15" t="s">
        <v>11959</v>
      </c>
      <c r="I2327" s="15" t="s">
        <v>11960</v>
      </c>
      <c r="J2327" s="15" t="s">
        <v>11961</v>
      </c>
      <c r="K2327" s="15" t="s">
        <v>178</v>
      </c>
      <c r="L2327" s="15" t="s">
        <v>179</v>
      </c>
      <c r="M2327" s="15" t="s">
        <v>2120</v>
      </c>
      <c r="N2327" s="15" t="s">
        <v>2121</v>
      </c>
      <c r="O2327" s="15" t="s">
        <v>156</v>
      </c>
      <c r="P2327" s="15" t="s">
        <v>11460</v>
      </c>
      <c r="Q2327" s="15" t="s">
        <v>11461</v>
      </c>
      <c r="R2327" s="16">
        <v>44329</v>
      </c>
      <c r="S2327" s="17" t="s">
        <v>70</v>
      </c>
      <c r="T2327" s="20">
        <f>HYPERLINK("https://vnm.spiral.com.vn//uploaded/20210513/87d6eabd-d008-4695-8603-0fac888d0bc6.JPEG","07:53:33")</f>
      </c>
      <c r="U2327" s="20">
        <f>HYPERLINK("https://vnm.spiral.com.vn//uploaded/20210513/440d7f8b-117a-4567-bc9a-3c1e4cb5b0f2.JPEG","10:53:44")</f>
      </c>
      <c r="V2327" s="18">
        <v>0.12512731481481482</v>
      </c>
      <c r="W2327" s="15" t="s">
        <v>11962</v>
      </c>
      <c r="X2327" s="15" t="s">
        <v>11963</v>
      </c>
      <c r="Y2327" s="15" t="s">
        <v>35</v>
      </c>
      <c r="Z2327" s="19">
        <v>0</v>
      </c>
      <c r="AA2327" s="15">
        <v>0</v>
      </c>
      <c r="AB2327" s="15" t="s">
        <v>35</v>
      </c>
    </row>
    <row r="2328">
      <c r="A2328" s="15">
        <v>2324</v>
      </c>
      <c r="B2328" s="15" t="s">
        <v>61</v>
      </c>
      <c r="C2328" s="15" t="s">
        <v>303</v>
      </c>
      <c r="D2328" s="15" t="s">
        <v>432</v>
      </c>
      <c r="E2328" s="15" t="s">
        <v>116</v>
      </c>
      <c r="F2328" s="15" t="s">
        <v>35</v>
      </c>
      <c r="G2328" s="15" t="s">
        <v>74</v>
      </c>
      <c r="H2328" s="15" t="s">
        <v>11964</v>
      </c>
      <c r="I2328" s="15" t="s">
        <v>11965</v>
      </c>
      <c r="J2328" s="15" t="s">
        <v>11966</v>
      </c>
      <c r="K2328" s="15" t="s">
        <v>309</v>
      </c>
      <c r="L2328" s="15" t="s">
        <v>310</v>
      </c>
      <c r="M2328" s="15" t="s">
        <v>311</v>
      </c>
      <c r="N2328" s="15" t="s">
        <v>312</v>
      </c>
      <c r="O2328" s="15" t="s">
        <v>82</v>
      </c>
      <c r="P2328" s="15" t="s">
        <v>7223</v>
      </c>
      <c r="Q2328" s="15" t="s">
        <v>7224</v>
      </c>
      <c r="R2328" s="16">
        <v>44329</v>
      </c>
      <c r="S2328" s="17" t="s">
        <v>70</v>
      </c>
      <c r="T2328" s="20">
        <f>HYPERLINK("https://vnm.spiral.com.vn//uploaded/20210513/7EAAA37D-96D6-44CC-B304-D8AEE2EF6C78.jpg","10:12:40")</f>
      </c>
      <c r="U2328" s="20">
        <f>HYPERLINK("https://vnm.spiral.com.vn//uploaded/20210513/A602EE6F-B1CA-4881-8B49-CAC351B6EE2B.jpg","10:53:14")</f>
      </c>
      <c r="V2328" s="18">
        <v>0.028171296296296295</v>
      </c>
      <c r="W2328" s="15" t="s">
        <v>11967</v>
      </c>
      <c r="X2328" s="15" t="s">
        <v>11968</v>
      </c>
      <c r="Y2328" s="15" t="s">
        <v>35</v>
      </c>
      <c r="Z2328" s="19">
        <v>0</v>
      </c>
      <c r="AA2328" s="15">
        <v>0</v>
      </c>
      <c r="AB2328" s="15" t="s">
        <v>35</v>
      </c>
    </row>
    <row r="2329">
      <c r="A2329" s="15">
        <v>2325</v>
      </c>
      <c r="B2329" s="15" t="s">
        <v>61</v>
      </c>
      <c r="C2329" s="15" t="s">
        <v>398</v>
      </c>
      <c r="D2329" s="15" t="s">
        <v>135</v>
      </c>
      <c r="E2329" s="15" t="s">
        <v>116</v>
      </c>
      <c r="F2329" s="15" t="s">
        <v>35</v>
      </c>
      <c r="G2329" s="15" t="s">
        <v>74</v>
      </c>
      <c r="H2329" s="15" t="s">
        <v>11969</v>
      </c>
      <c r="I2329" s="15" t="s">
        <v>11970</v>
      </c>
      <c r="J2329" s="15" t="s">
        <v>11971</v>
      </c>
      <c r="K2329" s="15" t="s">
        <v>1586</v>
      </c>
      <c r="L2329" s="15" t="s">
        <v>1587</v>
      </c>
      <c r="M2329" s="15" t="s">
        <v>1588</v>
      </c>
      <c r="N2329" s="15" t="s">
        <v>1589</v>
      </c>
      <c r="O2329" s="15" t="s">
        <v>82</v>
      </c>
      <c r="P2329" s="15" t="s">
        <v>5215</v>
      </c>
      <c r="Q2329" s="15" t="s">
        <v>5216</v>
      </c>
      <c r="R2329" s="16">
        <v>44329</v>
      </c>
      <c r="S2329" s="17" t="s">
        <v>70</v>
      </c>
      <c r="T2329" s="20">
        <f>HYPERLINK("https://vnm.spiral.com.vn//uploaded/20210513/a96ce4d7-8bc3-48eb-b596-8be98e647f00.JPEG","09:22:50")</f>
      </c>
      <c r="U2329" s="20">
        <f>HYPERLINK("https://vnm.spiral.com.vn//uploaded/20210513/62f02b8e-f569-465b-b661-c3341b21f3bc.JPEG","10:52:55")</f>
      </c>
      <c r="V2329" s="18">
        <v>0.06255787037037037</v>
      </c>
      <c r="W2329" s="15" t="s">
        <v>11972</v>
      </c>
      <c r="X2329" s="15" t="s">
        <v>11973</v>
      </c>
      <c r="Y2329" s="15" t="s">
        <v>35</v>
      </c>
      <c r="Z2329" s="19">
        <v>0</v>
      </c>
      <c r="AA2329" s="15">
        <v>0</v>
      </c>
      <c r="AB2329" s="15" t="s">
        <v>35</v>
      </c>
    </row>
    <row r="2330">
      <c r="A2330" s="15">
        <v>2326</v>
      </c>
      <c r="B2330" s="15" t="s">
        <v>343</v>
      </c>
      <c r="C2330" s="15" t="s">
        <v>344</v>
      </c>
      <c r="D2330" s="15" t="s">
        <v>35</v>
      </c>
      <c r="E2330" s="15" t="s">
        <v>35</v>
      </c>
      <c r="F2330" s="15" t="s">
        <v>35</v>
      </c>
      <c r="G2330" s="15" t="s">
        <v>74</v>
      </c>
      <c r="H2330" s="15" t="s">
        <v>11974</v>
      </c>
      <c r="I2330" s="15" t="s">
        <v>11975</v>
      </c>
      <c r="J2330" s="15" t="s">
        <v>11976</v>
      </c>
      <c r="K2330" s="15" t="s">
        <v>584</v>
      </c>
      <c r="L2330" s="15" t="s">
        <v>585</v>
      </c>
      <c r="M2330" s="15" t="s">
        <v>827</v>
      </c>
      <c r="N2330" s="15" t="s">
        <v>828</v>
      </c>
      <c r="O2330" s="15" t="s">
        <v>82</v>
      </c>
      <c r="P2330" s="15" t="s">
        <v>2484</v>
      </c>
      <c r="Q2330" s="15" t="s">
        <v>2485</v>
      </c>
      <c r="R2330" s="16">
        <v>44329</v>
      </c>
      <c r="S2330" s="17" t="s">
        <v>70</v>
      </c>
      <c r="T2330" s="20">
        <f>HYPERLINK("https://vnm.spiral.com.vn//uploaded/20210513/E8D7E48A-B3C1-453A-8076-8AA6A5A44C55.jpg","10:36:00")</f>
      </c>
      <c r="U2330" s="20">
        <f>HYPERLINK("https://vnm.spiral.com.vn//uploaded/20210513/3B5FC383-65CA-4A3F-AC29-21F8FEC6837D.jpg","10:52:20")</f>
      </c>
      <c r="V2330" s="18">
        <v>0.011342592592592593</v>
      </c>
      <c r="W2330" s="15" t="s">
        <v>11977</v>
      </c>
      <c r="X2330" s="15" t="s">
        <v>11978</v>
      </c>
      <c r="Y2330" s="15" t="s">
        <v>35</v>
      </c>
      <c r="Z2330" s="19">
        <v>0</v>
      </c>
      <c r="AA2330" s="15">
        <v>0</v>
      </c>
      <c r="AB2330" s="15" t="s">
        <v>35</v>
      </c>
    </row>
    <row r="2331">
      <c r="A2331" s="15">
        <v>2327</v>
      </c>
      <c r="B2331" s="15" t="s">
        <v>87</v>
      </c>
      <c r="C2331" s="15" t="s">
        <v>88</v>
      </c>
      <c r="D2331" s="15" t="s">
        <v>35</v>
      </c>
      <c r="E2331" s="15" t="s">
        <v>35</v>
      </c>
      <c r="F2331" s="15" t="s">
        <v>35</v>
      </c>
      <c r="G2331" s="15" t="s">
        <v>74</v>
      </c>
      <c r="H2331" s="15" t="s">
        <v>11979</v>
      </c>
      <c r="I2331" s="15" t="s">
        <v>11980</v>
      </c>
      <c r="J2331" s="15" t="s">
        <v>11981</v>
      </c>
      <c r="K2331" s="15" t="s">
        <v>888</v>
      </c>
      <c r="L2331" s="15" t="s">
        <v>889</v>
      </c>
      <c r="M2331" s="15" t="s">
        <v>924</v>
      </c>
      <c r="N2331" s="15" t="s">
        <v>925</v>
      </c>
      <c r="O2331" s="15" t="s">
        <v>82</v>
      </c>
      <c r="P2331" s="15" t="s">
        <v>1987</v>
      </c>
      <c r="Q2331" s="15" t="s">
        <v>1988</v>
      </c>
      <c r="R2331" s="16">
        <v>44329</v>
      </c>
      <c r="S2331" s="17" t="s">
        <v>70</v>
      </c>
      <c r="T2331" s="20">
        <f>HYPERLINK("https://vnm.spiral.com.vn//uploaded/20210513/6722b50b-bf29-498a-a67c-56a57fd62909.JPEG","10:33:08")</f>
      </c>
      <c r="U2331" s="20">
        <f>HYPERLINK("https://vnm.spiral.com.vn//uploaded/20210513/49e68860-d22a-4974-9a7b-4cf606908ebe.JPEG","10:52:10")</f>
      </c>
      <c r="V2331" s="18">
        <v>0.013217592592592593</v>
      </c>
      <c r="W2331" s="15" t="s">
        <v>11982</v>
      </c>
      <c r="X2331" s="15" t="s">
        <v>11983</v>
      </c>
      <c r="Y2331" s="15" t="s">
        <v>35</v>
      </c>
      <c r="Z2331" s="19">
        <v>0</v>
      </c>
      <c r="AA2331" s="15">
        <v>0</v>
      </c>
      <c r="AB2331" s="15" t="s">
        <v>35</v>
      </c>
    </row>
    <row r="2332">
      <c r="A2332" s="15">
        <v>2328</v>
      </c>
      <c r="B2332" s="15" t="s">
        <v>61</v>
      </c>
      <c r="C2332" s="15" t="s">
        <v>62</v>
      </c>
      <c r="D2332" s="15" t="s">
        <v>35</v>
      </c>
      <c r="E2332" s="15" t="s">
        <v>35</v>
      </c>
      <c r="F2332" s="15" t="s">
        <v>35</v>
      </c>
      <c r="G2332" s="15" t="s">
        <v>36</v>
      </c>
      <c r="H2332" s="15" t="s">
        <v>11984</v>
      </c>
      <c r="I2332" s="15" t="s">
        <v>5512</v>
      </c>
      <c r="J2332" s="15" t="s">
        <v>11985</v>
      </c>
      <c r="K2332" s="15" t="s">
        <v>40</v>
      </c>
      <c r="L2332" s="15" t="s">
        <v>41</v>
      </c>
      <c r="M2332" s="15" t="s">
        <v>66</v>
      </c>
      <c r="N2332" s="15" t="s">
        <v>67</v>
      </c>
      <c r="O2332" s="15" t="s">
        <v>44</v>
      </c>
      <c r="P2332" s="15" t="s">
        <v>11986</v>
      </c>
      <c r="Q2332" s="15" t="s">
        <v>11987</v>
      </c>
      <c r="R2332" s="16">
        <v>44329</v>
      </c>
      <c r="S2332" s="17" t="s">
        <v>11988</v>
      </c>
      <c r="T2332" s="20">
        <f>HYPERLINK("https://vnm.spiral.com.vn//uploaded/20210513/1177322e-58fe-485a-9ef1-ee8abb398adf.JPEG","10:51:27")</f>
      </c>
      <c r="U2332" s="18"/>
      <c r="V2332" s="18" t="s">
        <v>35</v>
      </c>
      <c r="W2332" s="15" t="s">
        <v>11989</v>
      </c>
      <c r="X2332" s="15" t="s">
        <v>35</v>
      </c>
      <c r="Y2332" s="15" t="s">
        <v>35</v>
      </c>
      <c r="Z2332" s="19">
        <v>0</v>
      </c>
      <c r="AA2332" s="15">
        <v>0</v>
      </c>
      <c r="AB2332" s="15" t="s">
        <v>35</v>
      </c>
    </row>
    <row r="2333">
      <c r="A2333" s="15">
        <v>2329</v>
      </c>
      <c r="B2333" s="15" t="s">
        <v>343</v>
      </c>
      <c r="C2333" s="15" t="s">
        <v>2135</v>
      </c>
      <c r="D2333" s="15" t="s">
        <v>432</v>
      </c>
      <c r="E2333" s="15" t="s">
        <v>116</v>
      </c>
      <c r="F2333" s="15" t="s">
        <v>35</v>
      </c>
      <c r="G2333" s="15" t="s">
        <v>74</v>
      </c>
      <c r="H2333" s="15" t="s">
        <v>11990</v>
      </c>
      <c r="I2333" s="15" t="s">
        <v>11991</v>
      </c>
      <c r="J2333" s="15" t="s">
        <v>11992</v>
      </c>
      <c r="K2333" s="15" t="s">
        <v>1168</v>
      </c>
      <c r="L2333" s="15" t="s">
        <v>1169</v>
      </c>
      <c r="M2333" s="15" t="s">
        <v>1170</v>
      </c>
      <c r="N2333" s="15" t="s">
        <v>1171</v>
      </c>
      <c r="O2333" s="15" t="s">
        <v>82</v>
      </c>
      <c r="P2333" s="15" t="s">
        <v>2139</v>
      </c>
      <c r="Q2333" s="15" t="s">
        <v>2140</v>
      </c>
      <c r="R2333" s="16">
        <v>44329</v>
      </c>
      <c r="S2333" s="17" t="s">
        <v>70</v>
      </c>
      <c r="T2333" s="20">
        <f>HYPERLINK("https://vnm.spiral.com.vn//uploaded/20210513/8AE9FE6D-0536-4490-A52F-7443C6FD0E08.jpg","09:31:31")</f>
      </c>
      <c r="U2333" s="20">
        <f>HYPERLINK("https://vnm.spiral.com.vn//uploaded/20210513/5F327AF2-66E3-4588-83FC-98D01C73FB0C.jpg","10:50:52")</f>
      </c>
      <c r="V2333" s="18">
        <v>0.05510416666666667</v>
      </c>
      <c r="W2333" s="15" t="s">
        <v>11993</v>
      </c>
      <c r="X2333" s="15" t="s">
        <v>11994</v>
      </c>
      <c r="Y2333" s="15" t="s">
        <v>35</v>
      </c>
      <c r="Z2333" s="19">
        <v>0</v>
      </c>
      <c r="AA2333" s="15">
        <v>0</v>
      </c>
      <c r="AB2333" s="15" t="s">
        <v>35</v>
      </c>
    </row>
    <row r="2334">
      <c r="A2334" s="15">
        <v>2330</v>
      </c>
      <c r="B2334" s="15" t="s">
        <v>87</v>
      </c>
      <c r="C2334" s="15" t="s">
        <v>88</v>
      </c>
      <c r="D2334" s="15" t="s">
        <v>35</v>
      </c>
      <c r="E2334" s="15" t="s">
        <v>35</v>
      </c>
      <c r="F2334" s="15" t="s">
        <v>2077</v>
      </c>
      <c r="G2334" s="15" t="s">
        <v>36</v>
      </c>
      <c r="H2334" s="15" t="s">
        <v>11995</v>
      </c>
      <c r="I2334" s="15" t="s">
        <v>11996</v>
      </c>
      <c r="J2334" s="15" t="s">
        <v>11997</v>
      </c>
      <c r="K2334" s="15" t="s">
        <v>40</v>
      </c>
      <c r="L2334" s="15" t="s">
        <v>41</v>
      </c>
      <c r="M2334" s="15" t="s">
        <v>289</v>
      </c>
      <c r="N2334" s="15" t="s">
        <v>290</v>
      </c>
      <c r="O2334" s="15" t="s">
        <v>44</v>
      </c>
      <c r="P2334" s="15" t="s">
        <v>4927</v>
      </c>
      <c r="Q2334" s="15" t="s">
        <v>4928</v>
      </c>
      <c r="R2334" s="16">
        <v>44329</v>
      </c>
      <c r="S2334" s="17" t="s">
        <v>317</v>
      </c>
      <c r="T2334" s="20">
        <f>HYPERLINK("https://vnm.spiral.com.vn//uploaded/20210513/194bc5c7-17ab-4a78-af3e-bdba6a641648.JPEG","08:04:16")</f>
      </c>
      <c r="U2334" s="20">
        <f>HYPERLINK("https://vnm.spiral.com.vn//uploaded/20210513/50a3a8f3-2e96-4f5d-b9ef-2fe4655c6fad.JPEG","10:50:41")</f>
      </c>
      <c r="V2334" s="18">
        <v>0.11556712962962963</v>
      </c>
      <c r="W2334" s="15" t="s">
        <v>11998</v>
      </c>
      <c r="X2334" s="15" t="s">
        <v>11999</v>
      </c>
      <c r="Y2334" s="15" t="s">
        <v>35</v>
      </c>
      <c r="Z2334" s="19">
        <v>0</v>
      </c>
      <c r="AA2334" s="15">
        <v>0</v>
      </c>
      <c r="AB2334" s="15" t="s">
        <v>35</v>
      </c>
    </row>
    <row r="2335">
      <c r="A2335" s="15">
        <v>2331</v>
      </c>
      <c r="B2335" s="15" t="s">
        <v>87</v>
      </c>
      <c r="C2335" s="15" t="s">
        <v>88</v>
      </c>
      <c r="D2335" s="15" t="s">
        <v>610</v>
      </c>
      <c r="E2335" s="15" t="s">
        <v>90</v>
      </c>
      <c r="F2335" s="15" t="s">
        <v>35</v>
      </c>
      <c r="G2335" s="15" t="s">
        <v>74</v>
      </c>
      <c r="H2335" s="15" t="s">
        <v>12000</v>
      </c>
      <c r="I2335" s="15" t="s">
        <v>12001</v>
      </c>
      <c r="J2335" s="15" t="s">
        <v>12002</v>
      </c>
      <c r="K2335" s="15" t="s">
        <v>614</v>
      </c>
      <c r="L2335" s="15" t="s">
        <v>615</v>
      </c>
      <c r="M2335" s="15" t="s">
        <v>616</v>
      </c>
      <c r="N2335" s="15" t="s">
        <v>617</v>
      </c>
      <c r="O2335" s="15" t="s">
        <v>82</v>
      </c>
      <c r="P2335" s="15" t="s">
        <v>618</v>
      </c>
      <c r="Q2335" s="15" t="s">
        <v>619</v>
      </c>
      <c r="R2335" s="16">
        <v>44329</v>
      </c>
      <c r="S2335" s="17" t="s">
        <v>70</v>
      </c>
      <c r="T2335" s="20">
        <f>HYPERLINK("https://vnm.spiral.com.vn//uploaded/20210513/8C21081F-64C8-4BC6-84A2-DC0E9B59389E.jpg","10:34:20")</f>
      </c>
      <c r="U2335" s="20">
        <f>HYPERLINK("https://vnm.spiral.com.vn//uploaded/20210513/56897DC6-B159-47E4-9A70-53AAB25BFB43.jpg","10:49:32")</f>
      </c>
      <c r="V2335" s="18">
        <v>0.010555555555555556</v>
      </c>
      <c r="W2335" s="15" t="s">
        <v>12003</v>
      </c>
      <c r="X2335" s="15" t="s">
        <v>12004</v>
      </c>
      <c r="Y2335" s="15" t="s">
        <v>35</v>
      </c>
      <c r="Z2335" s="19">
        <v>0</v>
      </c>
      <c r="AA2335" s="15">
        <v>0</v>
      </c>
      <c r="AB2335" s="15" t="s">
        <v>35</v>
      </c>
    </row>
    <row r="2336">
      <c r="A2336" s="15">
        <v>2332</v>
      </c>
      <c r="B2336" s="15" t="s">
        <v>49</v>
      </c>
      <c r="C2336" s="15" t="s">
        <v>162</v>
      </c>
      <c r="D2336" s="15" t="s">
        <v>135</v>
      </c>
      <c r="E2336" s="15" t="s">
        <v>116</v>
      </c>
      <c r="F2336" s="15" t="s">
        <v>35</v>
      </c>
      <c r="G2336" s="15" t="s">
        <v>74</v>
      </c>
      <c r="H2336" s="15" t="s">
        <v>12005</v>
      </c>
      <c r="I2336" s="15" t="s">
        <v>12006</v>
      </c>
      <c r="J2336" s="15" t="s">
        <v>12007</v>
      </c>
      <c r="K2336" s="15" t="s">
        <v>166</v>
      </c>
      <c r="L2336" s="15" t="s">
        <v>167</v>
      </c>
      <c r="M2336" s="15" t="s">
        <v>168</v>
      </c>
      <c r="N2336" s="15" t="s">
        <v>169</v>
      </c>
      <c r="O2336" s="15" t="s">
        <v>82</v>
      </c>
      <c r="P2336" s="15" t="s">
        <v>4399</v>
      </c>
      <c r="Q2336" s="15" t="s">
        <v>4400</v>
      </c>
      <c r="R2336" s="16">
        <v>44329</v>
      </c>
      <c r="S2336" s="17" t="s">
        <v>70</v>
      </c>
      <c r="T2336" s="20">
        <f>HYPERLINK("https://vnm.spiral.com.vn//uploaded/20210513/2B3E0450-0827-48BF-9F05-289C9C6783D0.jpg","09:59:45")</f>
      </c>
      <c r="U2336" s="20">
        <f>HYPERLINK("https://vnm.spiral.com.vn//uploaded/20210513/64FD52A0-BC86-40BA-92A2-FCD245A35D85.jpg","10:49:29")</f>
      </c>
      <c r="V2336" s="18">
        <v>0.03453703703703704</v>
      </c>
      <c r="W2336" s="15" t="s">
        <v>12008</v>
      </c>
      <c r="X2336" s="15" t="s">
        <v>12009</v>
      </c>
      <c r="Y2336" s="15" t="s">
        <v>35</v>
      </c>
      <c r="Z2336" s="19">
        <v>0</v>
      </c>
      <c r="AA2336" s="15">
        <v>0</v>
      </c>
      <c r="AB2336" s="15" t="s">
        <v>35</v>
      </c>
    </row>
    <row r="2337">
      <c r="A2337" s="15">
        <v>2333</v>
      </c>
      <c r="B2337" s="15" t="s">
        <v>87</v>
      </c>
      <c r="C2337" s="15" t="s">
        <v>88</v>
      </c>
      <c r="D2337" s="15" t="s">
        <v>135</v>
      </c>
      <c r="E2337" s="15" t="s">
        <v>116</v>
      </c>
      <c r="F2337" s="15" t="s">
        <v>35</v>
      </c>
      <c r="G2337" s="15" t="s">
        <v>74</v>
      </c>
      <c r="H2337" s="15" t="s">
        <v>12010</v>
      </c>
      <c r="I2337" s="15" t="s">
        <v>12011</v>
      </c>
      <c r="J2337" s="15" t="s">
        <v>12012</v>
      </c>
      <c r="K2337" s="15" t="s">
        <v>94</v>
      </c>
      <c r="L2337" s="15" t="s">
        <v>95</v>
      </c>
      <c r="M2337" s="15" t="s">
        <v>390</v>
      </c>
      <c r="N2337" s="15" t="s">
        <v>391</v>
      </c>
      <c r="O2337" s="15" t="s">
        <v>98</v>
      </c>
      <c r="P2337" s="15" t="s">
        <v>392</v>
      </c>
      <c r="Q2337" s="15" t="s">
        <v>393</v>
      </c>
      <c r="R2337" s="16">
        <v>44329</v>
      </c>
      <c r="S2337" s="17" t="s">
        <v>35</v>
      </c>
      <c r="T2337" s="20">
        <f>HYPERLINK("https://vnm.spiral.com.vn//uploaded/20210513/44441314-43e0-497a-aa5b-51fc4bdcc1e8.jpg","10:12:46")</f>
      </c>
      <c r="U2337" s="20">
        <f>HYPERLINK("https://vnm.spiral.com.vn//uploaded/20210513/8d2a72dd-027d-484f-ae57-56cbfc32758f.jpg","10:49:26")</f>
      </c>
      <c r="V2337" s="18">
        <v>0.02546296296296296</v>
      </c>
      <c r="W2337" s="15" t="s">
        <v>12013</v>
      </c>
      <c r="X2337" s="15" t="s">
        <v>12014</v>
      </c>
      <c r="Y2337" s="15" t="s">
        <v>35</v>
      </c>
      <c r="Z2337" s="19">
        <v>0</v>
      </c>
      <c r="AA2337" s="15">
        <v>0</v>
      </c>
      <c r="AB2337" s="15" t="s">
        <v>35</v>
      </c>
    </row>
    <row r="2338">
      <c r="A2338" s="15">
        <v>2334</v>
      </c>
      <c r="B2338" s="15" t="s">
        <v>49</v>
      </c>
      <c r="C2338" s="15" t="s">
        <v>369</v>
      </c>
      <c r="D2338" s="15" t="s">
        <v>35</v>
      </c>
      <c r="E2338" s="15" t="s">
        <v>35</v>
      </c>
      <c r="F2338" s="15" t="s">
        <v>370</v>
      </c>
      <c r="G2338" s="15" t="s">
        <v>36</v>
      </c>
      <c r="H2338" s="15" t="s">
        <v>8135</v>
      </c>
      <c r="I2338" s="15" t="s">
        <v>8136</v>
      </c>
      <c r="J2338" s="15" t="s">
        <v>8137</v>
      </c>
      <c r="K2338" s="15" t="s">
        <v>40</v>
      </c>
      <c r="L2338" s="15" t="s">
        <v>41</v>
      </c>
      <c r="M2338" s="15" t="s">
        <v>55</v>
      </c>
      <c r="N2338" s="15" t="s">
        <v>56</v>
      </c>
      <c r="O2338" s="15" t="s">
        <v>44</v>
      </c>
      <c r="P2338" s="15" t="s">
        <v>8138</v>
      </c>
      <c r="Q2338" s="15" t="s">
        <v>8139</v>
      </c>
      <c r="R2338" s="16">
        <v>44329</v>
      </c>
      <c r="S2338" s="17" t="s">
        <v>8968</v>
      </c>
      <c r="T2338" s="20">
        <f>HYPERLINK("https://vnm.spiral.com.vn//uploaded/20210513/8ae21e2d-5996-454b-8d01-6ac134b5f90e.JPEG","06:33:48")</f>
      </c>
      <c r="U2338" s="20">
        <f>HYPERLINK("https://vnm.spiral.com.vn//uploaded/20210513/bb8b10dc-b244-4348-bdf4-a8d234af17bf.JPEG","10:49:02")</f>
      </c>
      <c r="V2338" s="18">
        <v>0.17724537037037036</v>
      </c>
      <c r="W2338" s="15" t="s">
        <v>12015</v>
      </c>
      <c r="X2338" s="15" t="s">
        <v>12016</v>
      </c>
      <c r="Y2338" s="15" t="s">
        <v>35</v>
      </c>
      <c r="Z2338" s="19">
        <v>0</v>
      </c>
      <c r="AA2338" s="15">
        <v>0</v>
      </c>
      <c r="AB2338" s="15" t="s">
        <v>35</v>
      </c>
    </row>
    <row r="2339">
      <c r="A2339" s="15">
        <v>2335</v>
      </c>
      <c r="B2339" s="15" t="s">
        <v>87</v>
      </c>
      <c r="C2339" s="15" t="s">
        <v>88</v>
      </c>
      <c r="D2339" s="15" t="s">
        <v>115</v>
      </c>
      <c r="E2339" s="15" t="s">
        <v>116</v>
      </c>
      <c r="F2339" s="15" t="s">
        <v>35</v>
      </c>
      <c r="G2339" s="15" t="s">
        <v>74</v>
      </c>
      <c r="H2339" s="15" t="s">
        <v>12017</v>
      </c>
      <c r="I2339" s="15" t="s">
        <v>12018</v>
      </c>
      <c r="J2339" s="15" t="s">
        <v>12019</v>
      </c>
      <c r="K2339" s="15" t="s">
        <v>120</v>
      </c>
      <c r="L2339" s="15" t="s">
        <v>121</v>
      </c>
      <c r="M2339" s="15" t="s">
        <v>122</v>
      </c>
      <c r="N2339" s="15" t="s">
        <v>123</v>
      </c>
      <c r="O2339" s="15" t="s">
        <v>82</v>
      </c>
      <c r="P2339" s="15" t="s">
        <v>3647</v>
      </c>
      <c r="Q2339" s="15" t="s">
        <v>3648</v>
      </c>
      <c r="R2339" s="16">
        <v>44329</v>
      </c>
      <c r="S2339" s="17" t="s">
        <v>70</v>
      </c>
      <c r="T2339" s="20">
        <f>HYPERLINK("https://vnm.spiral.com.vn//uploaded/20210513/131077db-15ad-4922-93c7-262ad8bf4a30.jpg","09:55:34")</f>
      </c>
      <c r="U2339" s="20">
        <f>HYPERLINK("https://vnm.spiral.com.vn//uploaded/20210513/697c777e-7fe9-4f60-ab0b-36f027644f07.jpg","10:48:55")</f>
      </c>
      <c r="V2339" s="18">
        <v>0.03704861111111111</v>
      </c>
      <c r="W2339" s="15" t="s">
        <v>12020</v>
      </c>
      <c r="X2339" s="15" t="s">
        <v>12021</v>
      </c>
      <c r="Y2339" s="15" t="s">
        <v>35</v>
      </c>
      <c r="Z2339" s="19">
        <v>0</v>
      </c>
      <c r="AA2339" s="15">
        <v>0</v>
      </c>
      <c r="AB2339" s="15" t="s">
        <v>35</v>
      </c>
    </row>
    <row r="2340">
      <c r="A2340" s="15">
        <v>2336</v>
      </c>
      <c r="B2340" s="15" t="s">
        <v>246</v>
      </c>
      <c r="C2340" s="15" t="s">
        <v>276</v>
      </c>
      <c r="D2340" s="15" t="s">
        <v>35</v>
      </c>
      <c r="E2340" s="15" t="s">
        <v>35</v>
      </c>
      <c r="F2340" s="15" t="s">
        <v>6817</v>
      </c>
      <c r="G2340" s="15" t="s">
        <v>36</v>
      </c>
      <c r="H2340" s="15" t="s">
        <v>7725</v>
      </c>
      <c r="I2340" s="15" t="s">
        <v>3181</v>
      </c>
      <c r="J2340" s="15" t="s">
        <v>7726</v>
      </c>
      <c r="K2340" s="15" t="s">
        <v>40</v>
      </c>
      <c r="L2340" s="15" t="s">
        <v>41</v>
      </c>
      <c r="M2340" s="15" t="s">
        <v>252</v>
      </c>
      <c r="N2340" s="15" t="s">
        <v>253</v>
      </c>
      <c r="O2340" s="15" t="s">
        <v>44</v>
      </c>
      <c r="P2340" s="15" t="s">
        <v>7727</v>
      </c>
      <c r="Q2340" s="15" t="s">
        <v>7728</v>
      </c>
      <c r="R2340" s="16">
        <v>44329</v>
      </c>
      <c r="S2340" s="17" t="s">
        <v>8968</v>
      </c>
      <c r="T2340" s="20">
        <f>HYPERLINK("https://vnm.spiral.com.vn//uploaded/20210513/ee03a5d9-aa14-47be-951f-0d0d341aab3a.JPEG","06:59:57")</f>
      </c>
      <c r="U2340" s="20">
        <f>HYPERLINK("https://vnm.spiral.com.vn//uploaded/20210513/c7c73ff4-8273-46bc-ba2a-e8dfcd019583.JPEG","10:48:14")</f>
      </c>
      <c r="V2340" s="18">
        <v>0.1585300925925926</v>
      </c>
      <c r="W2340" s="15" t="s">
        <v>12022</v>
      </c>
      <c r="X2340" s="15" t="s">
        <v>12023</v>
      </c>
      <c r="Y2340" s="15" t="s">
        <v>35</v>
      </c>
      <c r="Z2340" s="19">
        <v>0</v>
      </c>
      <c r="AA2340" s="15">
        <v>0</v>
      </c>
      <c r="AB2340" s="15" t="s">
        <v>35</v>
      </c>
    </row>
    <row r="2341">
      <c r="A2341" s="15">
        <v>2337</v>
      </c>
      <c r="B2341" s="15" t="s">
        <v>87</v>
      </c>
      <c r="C2341" s="15" t="s">
        <v>88</v>
      </c>
      <c r="D2341" s="15" t="s">
        <v>1910</v>
      </c>
      <c r="E2341" s="15" t="s">
        <v>1910</v>
      </c>
      <c r="F2341" s="15" t="s">
        <v>35</v>
      </c>
      <c r="G2341" s="15" t="s">
        <v>74</v>
      </c>
      <c r="H2341" s="15" t="s">
        <v>9955</v>
      </c>
      <c r="I2341" s="15" t="s">
        <v>9956</v>
      </c>
      <c r="J2341" s="15" t="s">
        <v>9957</v>
      </c>
      <c r="K2341" s="15" t="s">
        <v>190</v>
      </c>
      <c r="L2341" s="15" t="s">
        <v>191</v>
      </c>
      <c r="M2341" s="15" t="s">
        <v>888</v>
      </c>
      <c r="N2341" s="15" t="s">
        <v>889</v>
      </c>
      <c r="O2341" s="15" t="s">
        <v>98</v>
      </c>
      <c r="P2341" s="15" t="s">
        <v>890</v>
      </c>
      <c r="Q2341" s="15" t="s">
        <v>891</v>
      </c>
      <c r="R2341" s="16">
        <v>44329</v>
      </c>
      <c r="S2341" s="17" t="s">
        <v>35</v>
      </c>
      <c r="T2341" s="20">
        <f>HYPERLINK("https://vnm.spiral.com.vn//uploaded/20210513/F0B86591-4AF9-4F5A-9477-41B70A1A4590.jpg","10:15:42")</f>
      </c>
      <c r="U2341" s="20">
        <f>HYPERLINK("https://vnm.spiral.com.vn//uploaded/20210513/E356ED46-C4D0-4EAE-8557-99F5E38EAC08.jpg","10:47:28")</f>
      </c>
      <c r="V2341" s="18">
        <v>0.022060185185185186</v>
      </c>
      <c r="W2341" s="15" t="s">
        <v>12024</v>
      </c>
      <c r="X2341" s="15" t="s">
        <v>12025</v>
      </c>
      <c r="Y2341" s="15" t="s">
        <v>35</v>
      </c>
      <c r="Z2341" s="19">
        <v>0</v>
      </c>
      <c r="AA2341" s="15">
        <v>0</v>
      </c>
      <c r="AB2341" s="15" t="s">
        <v>35</v>
      </c>
    </row>
    <row r="2342">
      <c r="A2342" s="15">
        <v>2338</v>
      </c>
      <c r="B2342" s="15" t="s">
        <v>343</v>
      </c>
      <c r="C2342" s="15" t="s">
        <v>344</v>
      </c>
      <c r="D2342" s="15" t="s">
        <v>1644</v>
      </c>
      <c r="E2342" s="15" t="s">
        <v>35</v>
      </c>
      <c r="F2342" s="15" t="s">
        <v>35</v>
      </c>
      <c r="G2342" s="15" t="s">
        <v>74</v>
      </c>
      <c r="H2342" s="15" t="s">
        <v>11773</v>
      </c>
      <c r="I2342" s="15" t="s">
        <v>11774</v>
      </c>
      <c r="J2342" s="15" t="s">
        <v>11775</v>
      </c>
      <c r="K2342" s="15" t="s">
        <v>584</v>
      </c>
      <c r="L2342" s="15" t="s">
        <v>585</v>
      </c>
      <c r="M2342" s="15" t="s">
        <v>827</v>
      </c>
      <c r="N2342" s="15" t="s">
        <v>828</v>
      </c>
      <c r="O2342" s="15" t="s">
        <v>82</v>
      </c>
      <c r="P2342" s="15" t="s">
        <v>2471</v>
      </c>
      <c r="Q2342" s="15" t="s">
        <v>2472</v>
      </c>
      <c r="R2342" s="16">
        <v>44329</v>
      </c>
      <c r="S2342" s="17" t="s">
        <v>70</v>
      </c>
      <c r="T2342" s="20">
        <f>HYPERLINK("https://vnm.spiral.com.vn//uploaded/20210513/96ECE6B3-DAB8-48C3-9D1C-A014569D36EE.jpg","10:31:40")</f>
      </c>
      <c r="U2342" s="20">
        <f>HYPERLINK("https://vnm.spiral.com.vn//uploaded/20210513/EFF6415D-B3C3-4603-9DF4-E2DC2FA67CAD.jpg","10:47:25")</f>
      </c>
      <c r="V2342" s="18">
        <v>0.0109375</v>
      </c>
      <c r="W2342" s="15" t="s">
        <v>12026</v>
      </c>
      <c r="X2342" s="15" t="s">
        <v>11744</v>
      </c>
      <c r="Y2342" s="15" t="s">
        <v>35</v>
      </c>
      <c r="Z2342" s="19">
        <v>0</v>
      </c>
      <c r="AA2342" s="15">
        <v>0</v>
      </c>
      <c r="AB2342" s="15" t="s">
        <v>35</v>
      </c>
    </row>
    <row r="2343">
      <c r="A2343" s="15">
        <v>2339</v>
      </c>
      <c r="B2343" s="15" t="s">
        <v>87</v>
      </c>
      <c r="C2343" s="15" t="s">
        <v>88</v>
      </c>
      <c r="D2343" s="15" t="s">
        <v>74</v>
      </c>
      <c r="E2343" s="15" t="s">
        <v>90</v>
      </c>
      <c r="F2343" s="15" t="s">
        <v>35</v>
      </c>
      <c r="G2343" s="15" t="s">
        <v>74</v>
      </c>
      <c r="H2343" s="15" t="s">
        <v>12027</v>
      </c>
      <c r="I2343" s="15" t="s">
        <v>12028</v>
      </c>
      <c r="J2343" s="15" t="s">
        <v>12029</v>
      </c>
      <c r="K2343" s="15" t="s">
        <v>190</v>
      </c>
      <c r="L2343" s="15" t="s">
        <v>191</v>
      </c>
      <c r="M2343" s="15" t="s">
        <v>1031</v>
      </c>
      <c r="N2343" s="15" t="s">
        <v>1032</v>
      </c>
      <c r="O2343" s="15" t="s">
        <v>82</v>
      </c>
      <c r="P2343" s="15" t="s">
        <v>1033</v>
      </c>
      <c r="Q2343" s="15" t="s">
        <v>1034</v>
      </c>
      <c r="R2343" s="16">
        <v>44329</v>
      </c>
      <c r="S2343" s="17" t="s">
        <v>70</v>
      </c>
      <c r="T2343" s="20">
        <f>HYPERLINK("https://vnm.spiral.com.vn//uploaded/20210513/02ec9281-0907-4524-b6bb-96cf1f822be4.JPEG","10:08:48")</f>
      </c>
      <c r="U2343" s="20">
        <f>HYPERLINK("https://vnm.spiral.com.vn//uploaded/20210513/06231ce3-a619-4410-a310-e7f9bf832a54.JPEG","10:47:24")</f>
      </c>
      <c r="V2343" s="18">
        <v>0.026805555555555555</v>
      </c>
      <c r="W2343" s="15" t="s">
        <v>12030</v>
      </c>
      <c r="X2343" s="15" t="s">
        <v>12031</v>
      </c>
      <c r="Y2343" s="15" t="s">
        <v>35</v>
      </c>
      <c r="Z2343" s="19">
        <v>0</v>
      </c>
      <c r="AA2343" s="15">
        <v>0</v>
      </c>
      <c r="AB2343" s="15" t="s">
        <v>35</v>
      </c>
    </row>
    <row r="2344">
      <c r="A2344" s="15">
        <v>2340</v>
      </c>
      <c r="B2344" s="15" t="s">
        <v>87</v>
      </c>
      <c r="C2344" s="15" t="s">
        <v>88</v>
      </c>
      <c r="D2344" s="15" t="s">
        <v>135</v>
      </c>
      <c r="E2344" s="15" t="s">
        <v>116</v>
      </c>
      <c r="F2344" s="15" t="s">
        <v>35</v>
      </c>
      <c r="G2344" s="15" t="s">
        <v>74</v>
      </c>
      <c r="H2344" s="15" t="s">
        <v>12032</v>
      </c>
      <c r="I2344" s="15" t="s">
        <v>12033</v>
      </c>
      <c r="J2344" s="15" t="s">
        <v>12034</v>
      </c>
      <c r="K2344" s="15" t="s">
        <v>139</v>
      </c>
      <c r="L2344" s="15" t="s">
        <v>140</v>
      </c>
      <c r="M2344" s="15" t="s">
        <v>530</v>
      </c>
      <c r="N2344" s="15" t="s">
        <v>531</v>
      </c>
      <c r="O2344" s="15" t="s">
        <v>82</v>
      </c>
      <c r="P2344" s="15" t="s">
        <v>532</v>
      </c>
      <c r="Q2344" s="15" t="s">
        <v>533</v>
      </c>
      <c r="R2344" s="16">
        <v>44329</v>
      </c>
      <c r="S2344" s="17" t="s">
        <v>70</v>
      </c>
      <c r="T2344" s="20">
        <f>HYPERLINK("https://vnm.spiral.com.vn//uploaded/20210513/21125888-2f41-49a9-8d3e-22e0b70bd31c.JPEG","09:47:13")</f>
      </c>
      <c r="U2344" s="20">
        <f>HYPERLINK("https://vnm.spiral.com.vn//uploaded/20210513/e16106be-79db-49f0-882b-00bde360e2dd.JPEG","10:46:57")</f>
      </c>
      <c r="V2344" s="18">
        <v>0.04148148148148148</v>
      </c>
      <c r="W2344" s="15" t="s">
        <v>12035</v>
      </c>
      <c r="X2344" s="15" t="s">
        <v>12036</v>
      </c>
      <c r="Y2344" s="15" t="s">
        <v>35</v>
      </c>
      <c r="Z2344" s="19">
        <v>0</v>
      </c>
      <c r="AA2344" s="15">
        <v>0</v>
      </c>
      <c r="AB2344" s="15" t="s">
        <v>35</v>
      </c>
    </row>
    <row r="2345">
      <c r="A2345" s="15">
        <v>2341</v>
      </c>
      <c r="B2345" s="15" t="s">
        <v>87</v>
      </c>
      <c r="C2345" s="15" t="s">
        <v>88</v>
      </c>
      <c r="D2345" s="15" t="s">
        <v>610</v>
      </c>
      <c r="E2345" s="15" t="s">
        <v>90</v>
      </c>
      <c r="F2345" s="15" t="s">
        <v>35</v>
      </c>
      <c r="G2345" s="15" t="s">
        <v>74</v>
      </c>
      <c r="H2345" s="15" t="s">
        <v>12037</v>
      </c>
      <c r="I2345" s="15" t="s">
        <v>12038</v>
      </c>
      <c r="J2345" s="15" t="s">
        <v>12039</v>
      </c>
      <c r="K2345" s="15" t="s">
        <v>94</v>
      </c>
      <c r="L2345" s="15" t="s">
        <v>95</v>
      </c>
      <c r="M2345" s="15" t="s">
        <v>614</v>
      </c>
      <c r="N2345" s="15" t="s">
        <v>615</v>
      </c>
      <c r="O2345" s="15" t="s">
        <v>82</v>
      </c>
      <c r="P2345" s="15" t="s">
        <v>1341</v>
      </c>
      <c r="Q2345" s="15" t="s">
        <v>1342</v>
      </c>
      <c r="R2345" s="16">
        <v>44329</v>
      </c>
      <c r="S2345" s="17" t="s">
        <v>70</v>
      </c>
      <c r="T2345" s="20">
        <f>HYPERLINK("https://vnm.spiral.com.vn//uploaded/20210513/D7DEFC35-7EB0-4F6F-B9D3-7E4F533008FA.jpg","10:25:31")</f>
      </c>
      <c r="U2345" s="20">
        <f>HYPERLINK("https://vnm.spiral.com.vn//uploaded/20210513/C8B922B4-A01E-4D72-B27E-AFF029EDA6A6.jpg","10:46:46")</f>
      </c>
      <c r="V2345" s="18">
        <v>0.014756944444444444</v>
      </c>
      <c r="W2345" s="15" t="s">
        <v>12040</v>
      </c>
      <c r="X2345" s="15" t="s">
        <v>12041</v>
      </c>
      <c r="Y2345" s="15" t="s">
        <v>35</v>
      </c>
      <c r="Z2345" s="19">
        <v>0</v>
      </c>
      <c r="AA2345" s="15">
        <v>0</v>
      </c>
      <c r="AB2345" s="15" t="s">
        <v>35</v>
      </c>
    </row>
    <row r="2346">
      <c r="A2346" s="15">
        <v>2342</v>
      </c>
      <c r="B2346" s="15" t="s">
        <v>49</v>
      </c>
      <c r="C2346" s="15" t="s">
        <v>1389</v>
      </c>
      <c r="D2346" s="15" t="s">
        <v>35</v>
      </c>
      <c r="E2346" s="15" t="s">
        <v>35</v>
      </c>
      <c r="F2346" s="15" t="s">
        <v>4452</v>
      </c>
      <c r="G2346" s="15" t="s">
        <v>36</v>
      </c>
      <c r="H2346" s="15" t="s">
        <v>4453</v>
      </c>
      <c r="I2346" s="15" t="s">
        <v>4454</v>
      </c>
      <c r="J2346" s="15" t="s">
        <v>4455</v>
      </c>
      <c r="K2346" s="15" t="s">
        <v>40</v>
      </c>
      <c r="L2346" s="15" t="s">
        <v>41</v>
      </c>
      <c r="M2346" s="15" t="s">
        <v>55</v>
      </c>
      <c r="N2346" s="15" t="s">
        <v>56</v>
      </c>
      <c r="O2346" s="15" t="s">
        <v>44</v>
      </c>
      <c r="P2346" s="15" t="s">
        <v>4456</v>
      </c>
      <c r="Q2346" s="15" t="s">
        <v>4457</v>
      </c>
      <c r="R2346" s="16">
        <v>44329</v>
      </c>
      <c r="S2346" s="17" t="s">
        <v>7866</v>
      </c>
      <c r="T2346" s="20">
        <f>HYPERLINK("https://vnm.spiral.com.vn//uploaded/20210513/876A1F73-9418-4A21-9EB9-ED2E90653B40.jpg","07:37:33")</f>
      </c>
      <c r="U2346" s="20">
        <f>HYPERLINK("https://vnm.spiral.com.vn//uploaded/20210513/EBFE1710-5352-4609-ABB0-A8660A9BB4E1.jpg","10:46:06")</f>
      </c>
      <c r="V2346" s="18">
        <v>0.1309375</v>
      </c>
      <c r="W2346" s="15" t="s">
        <v>12042</v>
      </c>
      <c r="X2346" s="15" t="s">
        <v>12043</v>
      </c>
      <c r="Y2346" s="15" t="s">
        <v>35</v>
      </c>
      <c r="Z2346" s="19">
        <v>0</v>
      </c>
      <c r="AA2346" s="15">
        <v>0</v>
      </c>
      <c r="AB2346" s="15" t="s">
        <v>35</v>
      </c>
    </row>
    <row r="2347">
      <c r="A2347" s="15">
        <v>2343</v>
      </c>
      <c r="B2347" s="15" t="s">
        <v>87</v>
      </c>
      <c r="C2347" s="15" t="s">
        <v>88</v>
      </c>
      <c r="D2347" s="15" t="s">
        <v>115</v>
      </c>
      <c r="E2347" s="15" t="s">
        <v>116</v>
      </c>
      <c r="F2347" s="15" t="s">
        <v>35</v>
      </c>
      <c r="G2347" s="15" t="s">
        <v>74</v>
      </c>
      <c r="H2347" s="15" t="s">
        <v>12044</v>
      </c>
      <c r="I2347" s="15" t="s">
        <v>12045</v>
      </c>
      <c r="J2347" s="15" t="s">
        <v>12046</v>
      </c>
      <c r="K2347" s="15" t="s">
        <v>120</v>
      </c>
      <c r="L2347" s="15" t="s">
        <v>121</v>
      </c>
      <c r="M2347" s="15" t="s">
        <v>122</v>
      </c>
      <c r="N2347" s="15" t="s">
        <v>123</v>
      </c>
      <c r="O2347" s="15" t="s">
        <v>82</v>
      </c>
      <c r="P2347" s="15" t="s">
        <v>2356</v>
      </c>
      <c r="Q2347" s="15" t="s">
        <v>2357</v>
      </c>
      <c r="R2347" s="16">
        <v>44329</v>
      </c>
      <c r="S2347" s="17" t="s">
        <v>70</v>
      </c>
      <c r="T2347" s="20">
        <f>HYPERLINK("https://vnm.spiral.com.vn//uploaded/20210513/356DCF65-C8FB-4F8D-BD8A-FF5F1C58B196.jpg","09:34:25")</f>
      </c>
      <c r="U2347" s="20">
        <f>HYPERLINK("https://vnm.spiral.com.vn//uploaded/20210513/D49AEB3A-3E24-4F40-A7EE-D8A3EE455575.jpg","10:46:01")</f>
      </c>
      <c r="V2347" s="18">
        <v>0.04972222222222222</v>
      </c>
      <c r="W2347" s="15" t="s">
        <v>12047</v>
      </c>
      <c r="X2347" s="15" t="s">
        <v>12048</v>
      </c>
      <c r="Y2347" s="15" t="s">
        <v>35</v>
      </c>
      <c r="Z2347" s="19">
        <v>0</v>
      </c>
      <c r="AA2347" s="15">
        <v>0</v>
      </c>
      <c r="AB2347" s="15" t="s">
        <v>35</v>
      </c>
    </row>
    <row r="2348">
      <c r="A2348" s="15">
        <v>2344</v>
      </c>
      <c r="B2348" s="15" t="s">
        <v>61</v>
      </c>
      <c r="C2348" s="15" t="s">
        <v>1730</v>
      </c>
      <c r="D2348" s="15" t="s">
        <v>35</v>
      </c>
      <c r="E2348" s="15" t="s">
        <v>35</v>
      </c>
      <c r="F2348" s="15" t="s">
        <v>35</v>
      </c>
      <c r="G2348" s="15" t="s">
        <v>36</v>
      </c>
      <c r="H2348" s="15" t="s">
        <v>12049</v>
      </c>
      <c r="I2348" s="15" t="s">
        <v>3867</v>
      </c>
      <c r="J2348" s="15" t="s">
        <v>12050</v>
      </c>
      <c r="K2348" s="15" t="s">
        <v>40</v>
      </c>
      <c r="L2348" s="15" t="s">
        <v>41</v>
      </c>
      <c r="M2348" s="15" t="s">
        <v>205</v>
      </c>
      <c r="N2348" s="15" t="s">
        <v>206</v>
      </c>
      <c r="O2348" s="15" t="s">
        <v>44</v>
      </c>
      <c r="P2348" s="15" t="s">
        <v>12051</v>
      </c>
      <c r="Q2348" s="15" t="s">
        <v>12052</v>
      </c>
      <c r="R2348" s="16">
        <v>44329</v>
      </c>
      <c r="S2348" s="17" t="s">
        <v>12053</v>
      </c>
      <c r="T2348" s="20">
        <f>HYPERLINK("https://vnm.spiral.com.vn//uploaded/20210513/0A51AEED-8538-45D8-8BFD-91A5075F8464.jpg","10:45:55")</f>
      </c>
      <c r="U2348" s="18"/>
      <c r="V2348" s="18" t="s">
        <v>35</v>
      </c>
      <c r="W2348" s="15" t="s">
        <v>12054</v>
      </c>
      <c r="X2348" s="15" t="s">
        <v>35</v>
      </c>
      <c r="Y2348" s="15" t="s">
        <v>35</v>
      </c>
      <c r="Z2348" s="19">
        <v>0</v>
      </c>
      <c r="AA2348" s="15">
        <v>0</v>
      </c>
      <c r="AB2348" s="15" t="s">
        <v>35</v>
      </c>
    </row>
    <row r="2349">
      <c r="A2349" s="15">
        <v>2345</v>
      </c>
      <c r="B2349" s="15" t="s">
        <v>87</v>
      </c>
      <c r="C2349" s="15" t="s">
        <v>88</v>
      </c>
      <c r="D2349" s="15" t="s">
        <v>115</v>
      </c>
      <c r="E2349" s="15" t="s">
        <v>116</v>
      </c>
      <c r="F2349" s="15" t="s">
        <v>35</v>
      </c>
      <c r="G2349" s="15" t="s">
        <v>74</v>
      </c>
      <c r="H2349" s="15" t="s">
        <v>12055</v>
      </c>
      <c r="I2349" s="15" t="s">
        <v>12056</v>
      </c>
      <c r="J2349" s="15" t="s">
        <v>12057</v>
      </c>
      <c r="K2349" s="15" t="s">
        <v>120</v>
      </c>
      <c r="L2349" s="15" t="s">
        <v>121</v>
      </c>
      <c r="M2349" s="15" t="s">
        <v>1073</v>
      </c>
      <c r="N2349" s="15" t="s">
        <v>1074</v>
      </c>
      <c r="O2349" s="15" t="s">
        <v>82</v>
      </c>
      <c r="P2349" s="15" t="s">
        <v>3951</v>
      </c>
      <c r="Q2349" s="15" t="s">
        <v>3952</v>
      </c>
      <c r="R2349" s="16">
        <v>44329</v>
      </c>
      <c r="S2349" s="17" t="s">
        <v>70</v>
      </c>
      <c r="T2349" s="20">
        <f>HYPERLINK("https://vnm.spiral.com.vn//uploaded/20210513/c3bc69d7-527d-4f48-ad2e-d16a6be98cc2.JPEG","07:56:57")</f>
      </c>
      <c r="U2349" s="20">
        <f>HYPERLINK("https://vnm.spiral.com.vn//uploaded/20210513/f0b72913-450b-44dd-b8de-3e428df6e464.JPEG","10:45:52")</f>
      </c>
      <c r="V2349" s="18">
        <v>0.11730324074074074</v>
      </c>
      <c r="W2349" s="15" t="s">
        <v>12058</v>
      </c>
      <c r="X2349" s="15" t="s">
        <v>12059</v>
      </c>
      <c r="Y2349" s="15" t="s">
        <v>35</v>
      </c>
      <c r="Z2349" s="19">
        <v>0</v>
      </c>
      <c r="AA2349" s="15">
        <v>0</v>
      </c>
      <c r="AB2349" s="15" t="s">
        <v>35</v>
      </c>
    </row>
    <row r="2350">
      <c r="A2350" s="15">
        <v>2346</v>
      </c>
      <c r="B2350" s="15" t="s">
        <v>343</v>
      </c>
      <c r="C2350" s="15" t="s">
        <v>344</v>
      </c>
      <c r="D2350" s="15" t="s">
        <v>1644</v>
      </c>
      <c r="E2350" s="15" t="s">
        <v>35</v>
      </c>
      <c r="F2350" s="15" t="s">
        <v>35</v>
      </c>
      <c r="G2350" s="15" t="s">
        <v>74</v>
      </c>
      <c r="H2350" s="15" t="s">
        <v>12060</v>
      </c>
      <c r="I2350" s="15" t="s">
        <v>12061</v>
      </c>
      <c r="J2350" s="15" t="s">
        <v>12062</v>
      </c>
      <c r="K2350" s="15" t="s">
        <v>584</v>
      </c>
      <c r="L2350" s="15" t="s">
        <v>585</v>
      </c>
      <c r="M2350" s="15" t="s">
        <v>827</v>
      </c>
      <c r="N2350" s="15" t="s">
        <v>828</v>
      </c>
      <c r="O2350" s="15" t="s">
        <v>82</v>
      </c>
      <c r="P2350" s="15" t="s">
        <v>2717</v>
      </c>
      <c r="Q2350" s="15" t="s">
        <v>2718</v>
      </c>
      <c r="R2350" s="16">
        <v>44329</v>
      </c>
      <c r="S2350" s="17" t="s">
        <v>70</v>
      </c>
      <c r="T2350" s="20">
        <f>HYPERLINK("https://vnm.spiral.com.vn//uploaded/20210513/677DBC1B-006C-4F8C-9BB3-F9D18748253C.jpg","10:30:31")</f>
      </c>
      <c r="U2350" s="20">
        <f>HYPERLINK("https://vnm.spiral.com.vn//uploaded/20210513/F1B4A9FB-F2C3-4247-A35D-C654547D4FF3.jpg","10:45:46")</f>
      </c>
      <c r="V2350" s="18">
        <v>0.010590277777777778</v>
      </c>
      <c r="W2350" s="15" t="s">
        <v>12063</v>
      </c>
      <c r="X2350" s="15" t="s">
        <v>12064</v>
      </c>
      <c r="Y2350" s="15" t="s">
        <v>35</v>
      </c>
      <c r="Z2350" s="19">
        <v>0</v>
      </c>
      <c r="AA2350" s="15">
        <v>0</v>
      </c>
      <c r="AB2350" s="15" t="s">
        <v>35</v>
      </c>
    </row>
    <row r="2351">
      <c r="A2351" s="15">
        <v>2347</v>
      </c>
      <c r="B2351" s="15" t="s">
        <v>87</v>
      </c>
      <c r="C2351" s="15" t="s">
        <v>88</v>
      </c>
      <c r="D2351" s="15" t="s">
        <v>432</v>
      </c>
      <c r="E2351" s="15" t="s">
        <v>116</v>
      </c>
      <c r="F2351" s="15" t="s">
        <v>35</v>
      </c>
      <c r="G2351" s="15" t="s">
        <v>74</v>
      </c>
      <c r="H2351" s="15" t="s">
        <v>12065</v>
      </c>
      <c r="I2351" s="15" t="s">
        <v>12066</v>
      </c>
      <c r="J2351" s="15" t="s">
        <v>12067</v>
      </c>
      <c r="K2351" s="15" t="s">
        <v>625</v>
      </c>
      <c r="L2351" s="15" t="s">
        <v>626</v>
      </c>
      <c r="M2351" s="15" t="s">
        <v>1022</v>
      </c>
      <c r="N2351" s="15" t="s">
        <v>1023</v>
      </c>
      <c r="O2351" s="15" t="s">
        <v>82</v>
      </c>
      <c r="P2351" s="15" t="s">
        <v>2209</v>
      </c>
      <c r="Q2351" s="15" t="s">
        <v>2210</v>
      </c>
      <c r="R2351" s="16">
        <v>44329</v>
      </c>
      <c r="S2351" s="17" t="s">
        <v>70</v>
      </c>
      <c r="T2351" s="20">
        <f>HYPERLINK("https://vnm.spiral.com.vn//uploaded/20210513/a2b45bf6-f922-4905-ba74-ad4151b3394b.jpg","09:36:45")</f>
      </c>
      <c r="U2351" s="20">
        <f>HYPERLINK("https://vnm.spiral.com.vn//uploaded/20210513/b2f3f141-1533-4830-b0cd-f5d7c90c740d.jpg","10:45:43")</f>
      </c>
      <c r="V2351" s="18">
        <v>0.047893518518518516</v>
      </c>
      <c r="W2351" s="15" t="s">
        <v>12068</v>
      </c>
      <c r="X2351" s="15" t="s">
        <v>12069</v>
      </c>
      <c r="Y2351" s="15" t="s">
        <v>35</v>
      </c>
      <c r="Z2351" s="19">
        <v>0</v>
      </c>
      <c r="AA2351" s="15">
        <v>0</v>
      </c>
      <c r="AB2351" s="15" t="s">
        <v>35</v>
      </c>
    </row>
    <row r="2352">
      <c r="A2352" s="15">
        <v>2348</v>
      </c>
      <c r="B2352" s="15" t="s">
        <v>87</v>
      </c>
      <c r="C2352" s="15" t="s">
        <v>88</v>
      </c>
      <c r="D2352" s="15" t="s">
        <v>115</v>
      </c>
      <c r="E2352" s="15" t="s">
        <v>116</v>
      </c>
      <c r="F2352" s="15" t="s">
        <v>35</v>
      </c>
      <c r="G2352" s="15" t="s">
        <v>74</v>
      </c>
      <c r="H2352" s="15" t="s">
        <v>12070</v>
      </c>
      <c r="I2352" s="15" t="s">
        <v>12071</v>
      </c>
      <c r="J2352" s="15" t="s">
        <v>12072</v>
      </c>
      <c r="K2352" s="15" t="s">
        <v>120</v>
      </c>
      <c r="L2352" s="15" t="s">
        <v>121</v>
      </c>
      <c r="M2352" s="15" t="s">
        <v>122</v>
      </c>
      <c r="N2352" s="15" t="s">
        <v>123</v>
      </c>
      <c r="O2352" s="15" t="s">
        <v>82</v>
      </c>
      <c r="P2352" s="15" t="s">
        <v>124</v>
      </c>
      <c r="Q2352" s="15" t="s">
        <v>125</v>
      </c>
      <c r="R2352" s="16">
        <v>44329</v>
      </c>
      <c r="S2352" s="17" t="s">
        <v>70</v>
      </c>
      <c r="T2352" s="20">
        <f>HYPERLINK("https://vnm.spiral.com.vn//uploaded/20210513/49b43a8a-4961-4d2e-a6cc-d06ee735e046.JPEG","09:27:23")</f>
      </c>
      <c r="U2352" s="20">
        <f>HYPERLINK("https://vnm.spiral.com.vn//uploaded/20210513/e4912099-6f95-40fa-92c0-74242f84539f.JPEG","10:45:16")</f>
      </c>
      <c r="V2352" s="18">
        <v>0.05408564814814815</v>
      </c>
      <c r="W2352" s="15" t="s">
        <v>12073</v>
      </c>
      <c r="X2352" s="15" t="s">
        <v>12074</v>
      </c>
      <c r="Y2352" s="15" t="s">
        <v>35</v>
      </c>
      <c r="Z2352" s="19">
        <v>0</v>
      </c>
      <c r="AA2352" s="15">
        <v>0</v>
      </c>
      <c r="AB2352" s="15" t="s">
        <v>35</v>
      </c>
    </row>
    <row r="2353">
      <c r="A2353" s="15">
        <v>2349</v>
      </c>
      <c r="B2353" s="15" t="s">
        <v>87</v>
      </c>
      <c r="C2353" s="15" t="s">
        <v>88</v>
      </c>
      <c r="D2353" s="15" t="s">
        <v>35</v>
      </c>
      <c r="E2353" s="15" t="s">
        <v>35</v>
      </c>
      <c r="F2353" s="15" t="s">
        <v>35</v>
      </c>
      <c r="G2353" s="15" t="s">
        <v>74</v>
      </c>
      <c r="H2353" s="15" t="s">
        <v>12075</v>
      </c>
      <c r="I2353" s="15" t="s">
        <v>12076</v>
      </c>
      <c r="J2353" s="15" t="s">
        <v>12077</v>
      </c>
      <c r="K2353" s="15" t="s">
        <v>190</v>
      </c>
      <c r="L2353" s="15" t="s">
        <v>191</v>
      </c>
      <c r="M2353" s="15" t="s">
        <v>888</v>
      </c>
      <c r="N2353" s="15" t="s">
        <v>889</v>
      </c>
      <c r="O2353" s="15" t="s">
        <v>98</v>
      </c>
      <c r="P2353" s="15" t="s">
        <v>1666</v>
      </c>
      <c r="Q2353" s="15" t="s">
        <v>1667</v>
      </c>
      <c r="R2353" s="16">
        <v>44329</v>
      </c>
      <c r="S2353" s="17" t="s">
        <v>35</v>
      </c>
      <c r="T2353" s="20">
        <f>HYPERLINK("https://vnm.spiral.com.vn//uploaded/20210513/12b5d760-fafe-4868-a245-7c85b522cd74.JPEG","10:09:33")</f>
      </c>
      <c r="U2353" s="20">
        <f>HYPERLINK("https://vnm.spiral.com.vn//uploaded/20210513/b0ceba21-850c-472e-a7a2-dc800045de37.JPEG","10:44:49")</f>
      </c>
      <c r="V2353" s="18">
        <v>0.02449074074074074</v>
      </c>
      <c r="W2353" s="15" t="s">
        <v>12078</v>
      </c>
      <c r="X2353" s="15" t="s">
        <v>12079</v>
      </c>
      <c r="Y2353" s="15" t="s">
        <v>35</v>
      </c>
      <c r="Z2353" s="19">
        <v>0</v>
      </c>
      <c r="AA2353" s="15">
        <v>0</v>
      </c>
      <c r="AB2353" s="15" t="s">
        <v>35</v>
      </c>
    </row>
    <row r="2354">
      <c r="A2354" s="15">
        <v>2350</v>
      </c>
      <c r="B2354" s="15" t="s">
        <v>87</v>
      </c>
      <c r="C2354" s="15" t="s">
        <v>88</v>
      </c>
      <c r="D2354" s="15" t="s">
        <v>432</v>
      </c>
      <c r="E2354" s="15" t="s">
        <v>116</v>
      </c>
      <c r="F2354" s="15" t="s">
        <v>35</v>
      </c>
      <c r="G2354" s="15" t="s">
        <v>74</v>
      </c>
      <c r="H2354" s="15" t="s">
        <v>12065</v>
      </c>
      <c r="I2354" s="15" t="s">
        <v>12066</v>
      </c>
      <c r="J2354" s="15" t="s">
        <v>12067</v>
      </c>
      <c r="K2354" s="15" t="s">
        <v>94</v>
      </c>
      <c r="L2354" s="15" t="s">
        <v>95</v>
      </c>
      <c r="M2354" s="15" t="s">
        <v>625</v>
      </c>
      <c r="N2354" s="15" t="s">
        <v>626</v>
      </c>
      <c r="O2354" s="15" t="s">
        <v>98</v>
      </c>
      <c r="P2354" s="15" t="s">
        <v>1022</v>
      </c>
      <c r="Q2354" s="15" t="s">
        <v>1023</v>
      </c>
      <c r="R2354" s="16">
        <v>44329</v>
      </c>
      <c r="S2354" s="17" t="s">
        <v>70</v>
      </c>
      <c r="T2354" s="20">
        <f>HYPERLINK("https://vnm.spiral.com.vn//uploaded/20210513/6c32217c-e4b6-4025-94db-5f9ed0f53173.JPEG","09:37:14")</f>
      </c>
      <c r="U2354" s="20">
        <f>HYPERLINK("https://vnm.spiral.com.vn//uploaded/20210513/2f667a08-e3c4-4ef3-9f22-ee90527edd2b.JPEG","10:44:35")</f>
      </c>
      <c r="V2354" s="18">
        <v>0.04677083333333333</v>
      </c>
      <c r="W2354" s="15" t="s">
        <v>12080</v>
      </c>
      <c r="X2354" s="15" t="s">
        <v>12081</v>
      </c>
      <c r="Y2354" s="15" t="s">
        <v>35</v>
      </c>
      <c r="Z2354" s="19">
        <v>0</v>
      </c>
      <c r="AA2354" s="15">
        <v>0</v>
      </c>
      <c r="AB2354" s="15" t="s">
        <v>35</v>
      </c>
    </row>
    <row r="2355">
      <c r="A2355" s="15">
        <v>2351</v>
      </c>
      <c r="B2355" s="15" t="s">
        <v>33</v>
      </c>
      <c r="C2355" s="15" t="s">
        <v>765</v>
      </c>
      <c r="D2355" s="15" t="s">
        <v>35</v>
      </c>
      <c r="E2355" s="15" t="s">
        <v>35</v>
      </c>
      <c r="F2355" s="15" t="s">
        <v>35</v>
      </c>
      <c r="G2355" s="15" t="s">
        <v>74</v>
      </c>
      <c r="H2355" s="15" t="s">
        <v>12082</v>
      </c>
      <c r="I2355" s="15" t="s">
        <v>12083</v>
      </c>
      <c r="J2355" s="15" t="s">
        <v>12084</v>
      </c>
      <c r="K2355" s="15" t="s">
        <v>769</v>
      </c>
      <c r="L2355" s="15" t="s">
        <v>770</v>
      </c>
      <c r="M2355" s="15" t="s">
        <v>1532</v>
      </c>
      <c r="N2355" s="15" t="s">
        <v>1533</v>
      </c>
      <c r="O2355" s="15" t="s">
        <v>82</v>
      </c>
      <c r="P2355" s="15" t="s">
        <v>3805</v>
      </c>
      <c r="Q2355" s="15" t="s">
        <v>3806</v>
      </c>
      <c r="R2355" s="16">
        <v>44329</v>
      </c>
      <c r="S2355" s="17" t="s">
        <v>70</v>
      </c>
      <c r="T2355" s="20">
        <f>HYPERLINK("https://vnm.spiral.com.vn//uploaded/20210513/d2623529-f352-4934-8a37-d6c059cb52a1.JPEG","10:24:14")</f>
      </c>
      <c r="U2355" s="20">
        <f>HYPERLINK("https://vnm.spiral.com.vn//uploaded/20210513/4f9d9469-b103-48c2-9f17-a8f397720787.JPEG","10:44:26")</f>
      </c>
      <c r="V2355" s="18">
        <v>0.014027777777777778</v>
      </c>
      <c r="W2355" s="15" t="s">
        <v>12085</v>
      </c>
      <c r="X2355" s="15" t="s">
        <v>12086</v>
      </c>
      <c r="Y2355" s="15" t="s">
        <v>35</v>
      </c>
      <c r="Z2355" s="19">
        <v>0</v>
      </c>
      <c r="AA2355" s="15">
        <v>0</v>
      </c>
      <c r="AB2355" s="15" t="s">
        <v>35</v>
      </c>
    </row>
    <row r="2356">
      <c r="A2356" s="15">
        <v>2352</v>
      </c>
      <c r="B2356" s="15" t="s">
        <v>49</v>
      </c>
      <c r="C2356" s="15" t="s">
        <v>369</v>
      </c>
      <c r="D2356" s="15" t="s">
        <v>432</v>
      </c>
      <c r="E2356" s="15" t="s">
        <v>116</v>
      </c>
      <c r="F2356" s="15" t="s">
        <v>35</v>
      </c>
      <c r="G2356" s="15" t="s">
        <v>74</v>
      </c>
      <c r="H2356" s="15" t="s">
        <v>12087</v>
      </c>
      <c r="I2356" s="15" t="s">
        <v>12088</v>
      </c>
      <c r="J2356" s="15" t="s">
        <v>12089</v>
      </c>
      <c r="K2356" s="15" t="s">
        <v>166</v>
      </c>
      <c r="L2356" s="15" t="s">
        <v>167</v>
      </c>
      <c r="M2356" s="15" t="s">
        <v>168</v>
      </c>
      <c r="N2356" s="15" t="s">
        <v>169</v>
      </c>
      <c r="O2356" s="15" t="s">
        <v>82</v>
      </c>
      <c r="P2356" s="15" t="s">
        <v>5228</v>
      </c>
      <c r="Q2356" s="15" t="s">
        <v>5229</v>
      </c>
      <c r="R2356" s="16">
        <v>44329</v>
      </c>
      <c r="S2356" s="17" t="s">
        <v>70</v>
      </c>
      <c r="T2356" s="20">
        <f>HYPERLINK("https://vnm.spiral.com.vn//uploaded/20210513/D5BFDBCE-416D-4DE2-8103-982753BE0E8F.jpg","09:48:02")</f>
      </c>
      <c r="U2356" s="20">
        <f>HYPERLINK("https://vnm.spiral.com.vn//uploaded/20210513/0BFE45E0-DA6C-4EA5-A6FB-F132EE27C21B.jpg","10:44:09")</f>
      </c>
      <c r="V2356" s="18">
        <v>0.038969907407407404</v>
      </c>
      <c r="W2356" s="15" t="s">
        <v>12090</v>
      </c>
      <c r="X2356" s="15" t="s">
        <v>12091</v>
      </c>
      <c r="Y2356" s="15" t="s">
        <v>35</v>
      </c>
      <c r="Z2356" s="19">
        <v>0</v>
      </c>
      <c r="AA2356" s="15">
        <v>0</v>
      </c>
      <c r="AB2356" s="15" t="s">
        <v>35</v>
      </c>
    </row>
    <row r="2357">
      <c r="A2357" s="15">
        <v>2353</v>
      </c>
      <c r="B2357" s="15" t="s">
        <v>87</v>
      </c>
      <c r="C2357" s="15" t="s">
        <v>88</v>
      </c>
      <c r="D2357" s="15" t="s">
        <v>35</v>
      </c>
      <c r="E2357" s="15" t="s">
        <v>35</v>
      </c>
      <c r="F2357" s="15" t="s">
        <v>35</v>
      </c>
      <c r="G2357" s="15" t="s">
        <v>74</v>
      </c>
      <c r="H2357" s="15" t="s">
        <v>12092</v>
      </c>
      <c r="I2357" s="15" t="s">
        <v>12093</v>
      </c>
      <c r="J2357" s="15" t="s">
        <v>12094</v>
      </c>
      <c r="K2357" s="15" t="s">
        <v>888</v>
      </c>
      <c r="L2357" s="15" t="s">
        <v>889</v>
      </c>
      <c r="M2357" s="15" t="s">
        <v>890</v>
      </c>
      <c r="N2357" s="15" t="s">
        <v>891</v>
      </c>
      <c r="O2357" s="15" t="s">
        <v>82</v>
      </c>
      <c r="P2357" s="15" t="s">
        <v>2094</v>
      </c>
      <c r="Q2357" s="15" t="s">
        <v>2095</v>
      </c>
      <c r="R2357" s="16">
        <v>44329</v>
      </c>
      <c r="S2357" s="17" t="s">
        <v>70</v>
      </c>
      <c r="T2357" s="20">
        <f>HYPERLINK("https://vnm.spiral.com.vn//uploaded/20210513/916B0BD5-9B0C-4164-BCF1-B1E7CD47784C.jpg","10:12:02")</f>
      </c>
      <c r="U2357" s="20">
        <f>HYPERLINK("https://vnm.spiral.com.vn//uploaded/20210513/BBD93CB2-13F9-4651-918D-B92253AC61DA.jpg","10:43:34")</f>
      </c>
      <c r="V2357" s="18">
        <v>0.02189814814814815</v>
      </c>
      <c r="W2357" s="15" t="s">
        <v>12095</v>
      </c>
      <c r="X2357" s="15" t="s">
        <v>12096</v>
      </c>
      <c r="Y2357" s="15" t="s">
        <v>35</v>
      </c>
      <c r="Z2357" s="19">
        <v>0</v>
      </c>
      <c r="AA2357" s="15">
        <v>0</v>
      </c>
      <c r="AB2357" s="15" t="s">
        <v>35</v>
      </c>
    </row>
    <row r="2358">
      <c r="A2358" s="15">
        <v>2354</v>
      </c>
      <c r="B2358" s="15" t="s">
        <v>87</v>
      </c>
      <c r="C2358" s="15" t="s">
        <v>88</v>
      </c>
      <c r="D2358" s="15" t="s">
        <v>35</v>
      </c>
      <c r="E2358" s="15" t="s">
        <v>35</v>
      </c>
      <c r="F2358" s="15" t="s">
        <v>35</v>
      </c>
      <c r="G2358" s="15" t="s">
        <v>74</v>
      </c>
      <c r="H2358" s="15" t="s">
        <v>12097</v>
      </c>
      <c r="I2358" s="15" t="s">
        <v>12098</v>
      </c>
      <c r="J2358" s="15" t="s">
        <v>12099</v>
      </c>
      <c r="K2358" s="15" t="s">
        <v>888</v>
      </c>
      <c r="L2358" s="15" t="s">
        <v>889</v>
      </c>
      <c r="M2358" s="15" t="s">
        <v>890</v>
      </c>
      <c r="N2358" s="15" t="s">
        <v>891</v>
      </c>
      <c r="O2358" s="15" t="s">
        <v>82</v>
      </c>
      <c r="P2358" s="15" t="s">
        <v>1547</v>
      </c>
      <c r="Q2358" s="15" t="s">
        <v>1548</v>
      </c>
      <c r="R2358" s="16">
        <v>44329</v>
      </c>
      <c r="S2358" s="17" t="s">
        <v>70</v>
      </c>
      <c r="T2358" s="20">
        <f>HYPERLINK("https://vnm.spiral.com.vn//uploaded/20210513/7BE8AC98-48E4-4765-8F86-5D7D586C7052.jpg","10:22:46")</f>
      </c>
      <c r="U2358" s="20">
        <f>HYPERLINK("https://vnm.spiral.com.vn//uploaded/20210513/A1760677-273A-41BB-9BE1-7ECA3B84B739.jpg","10:43:23")</f>
      </c>
      <c r="V2358" s="18">
        <v>0.01431712962962963</v>
      </c>
      <c r="W2358" s="15" t="s">
        <v>12100</v>
      </c>
      <c r="X2358" s="15" t="s">
        <v>12101</v>
      </c>
      <c r="Y2358" s="15" t="s">
        <v>35</v>
      </c>
      <c r="Z2358" s="19">
        <v>0</v>
      </c>
      <c r="AA2358" s="15">
        <v>0</v>
      </c>
      <c r="AB2358" s="15" t="s">
        <v>35</v>
      </c>
    </row>
    <row r="2359">
      <c r="A2359" s="15">
        <v>2355</v>
      </c>
      <c r="B2359" s="15" t="s">
        <v>343</v>
      </c>
      <c r="C2359" s="15" t="s">
        <v>344</v>
      </c>
      <c r="D2359" s="15" t="s">
        <v>35</v>
      </c>
      <c r="E2359" s="15" t="s">
        <v>35</v>
      </c>
      <c r="F2359" s="15" t="s">
        <v>35</v>
      </c>
      <c r="G2359" s="15" t="s">
        <v>74</v>
      </c>
      <c r="H2359" s="15" t="s">
        <v>12102</v>
      </c>
      <c r="I2359" s="15" t="s">
        <v>12103</v>
      </c>
      <c r="J2359" s="15" t="s">
        <v>12104</v>
      </c>
      <c r="K2359" s="15" t="s">
        <v>584</v>
      </c>
      <c r="L2359" s="15" t="s">
        <v>585</v>
      </c>
      <c r="M2359" s="15" t="s">
        <v>827</v>
      </c>
      <c r="N2359" s="15" t="s">
        <v>828</v>
      </c>
      <c r="O2359" s="15" t="s">
        <v>82</v>
      </c>
      <c r="P2359" s="15" t="s">
        <v>7778</v>
      </c>
      <c r="Q2359" s="15" t="s">
        <v>7779</v>
      </c>
      <c r="R2359" s="16">
        <v>44329</v>
      </c>
      <c r="S2359" s="17" t="s">
        <v>70</v>
      </c>
      <c r="T2359" s="20">
        <f>HYPERLINK("https://vnm.spiral.com.vn//uploaded/20210513/a66f97a1-cf35-48a6-a255-d1baee224cd1.JPEG","10:19:52")</f>
      </c>
      <c r="U2359" s="20">
        <f>HYPERLINK("https://vnm.spiral.com.vn//uploaded/20210513/264ddcca-2523-4498-97ac-9ba5867db212.JPEG","10:42:31")</f>
      </c>
      <c r="V2359" s="18">
        <v>0.015729166666666666</v>
      </c>
      <c r="W2359" s="15" t="s">
        <v>12105</v>
      </c>
      <c r="X2359" s="15" t="s">
        <v>12106</v>
      </c>
      <c r="Y2359" s="15" t="s">
        <v>35</v>
      </c>
      <c r="Z2359" s="19">
        <v>0</v>
      </c>
      <c r="AA2359" s="15">
        <v>0</v>
      </c>
      <c r="AB2359" s="15" t="s">
        <v>35</v>
      </c>
    </row>
    <row r="2360">
      <c r="A2360" s="15">
        <v>2356</v>
      </c>
      <c r="B2360" s="15" t="s">
        <v>87</v>
      </c>
      <c r="C2360" s="15" t="s">
        <v>88</v>
      </c>
      <c r="D2360" s="15" t="s">
        <v>35</v>
      </c>
      <c r="E2360" s="15" t="s">
        <v>35</v>
      </c>
      <c r="F2360" s="15" t="s">
        <v>35</v>
      </c>
      <c r="G2360" s="15" t="s">
        <v>74</v>
      </c>
      <c r="H2360" s="15" t="s">
        <v>12107</v>
      </c>
      <c r="I2360" s="15" t="s">
        <v>12108</v>
      </c>
      <c r="J2360" s="15" t="s">
        <v>12109</v>
      </c>
      <c r="K2360" s="15" t="s">
        <v>888</v>
      </c>
      <c r="L2360" s="15" t="s">
        <v>889</v>
      </c>
      <c r="M2360" s="15" t="s">
        <v>924</v>
      </c>
      <c r="N2360" s="15" t="s">
        <v>925</v>
      </c>
      <c r="O2360" s="15" t="s">
        <v>82</v>
      </c>
      <c r="P2360" s="15" t="s">
        <v>1906</v>
      </c>
      <c r="Q2360" s="15" t="s">
        <v>1907</v>
      </c>
      <c r="R2360" s="16">
        <v>44329</v>
      </c>
      <c r="S2360" s="17" t="s">
        <v>70</v>
      </c>
      <c r="T2360" s="20">
        <f>HYPERLINK("https://vnm.spiral.com.vn//uploaded/20210513/a1a5e80c-c629-403b-a288-46a5897a6e9a.JPEG","10:20:45")</f>
      </c>
      <c r="U2360" s="20">
        <f>HYPERLINK("https://vnm.spiral.com.vn//uploaded/20210513/0fa5d517-5a37-4f7a-8ca3-bf90990cb060.JPEG","10:42:30")</f>
      </c>
      <c r="V2360" s="18">
        <v>0.015104166666666667</v>
      </c>
      <c r="W2360" s="15" t="s">
        <v>12110</v>
      </c>
      <c r="X2360" s="15" t="s">
        <v>12111</v>
      </c>
      <c r="Y2360" s="15" t="s">
        <v>35</v>
      </c>
      <c r="Z2360" s="19">
        <v>0</v>
      </c>
      <c r="AA2360" s="15">
        <v>0</v>
      </c>
      <c r="AB2360" s="15" t="s">
        <v>35</v>
      </c>
    </row>
    <row r="2361">
      <c r="A2361" s="15">
        <v>2357</v>
      </c>
      <c r="B2361" s="15" t="s">
        <v>87</v>
      </c>
      <c r="C2361" s="15" t="s">
        <v>88</v>
      </c>
      <c r="D2361" s="15" t="s">
        <v>357</v>
      </c>
      <c r="E2361" s="15" t="s">
        <v>90</v>
      </c>
      <c r="F2361" s="15" t="s">
        <v>35</v>
      </c>
      <c r="G2361" s="15" t="s">
        <v>74</v>
      </c>
      <c r="H2361" s="15" t="s">
        <v>12112</v>
      </c>
      <c r="I2361" s="15" t="s">
        <v>12113</v>
      </c>
      <c r="J2361" s="15" t="s">
        <v>12114</v>
      </c>
      <c r="K2361" s="15" t="s">
        <v>1570</v>
      </c>
      <c r="L2361" s="15" t="s">
        <v>1571</v>
      </c>
      <c r="M2361" s="15" t="s">
        <v>1572</v>
      </c>
      <c r="N2361" s="15" t="s">
        <v>1573</v>
      </c>
      <c r="O2361" s="15" t="s">
        <v>82</v>
      </c>
      <c r="P2361" s="15" t="s">
        <v>1579</v>
      </c>
      <c r="Q2361" s="15" t="s">
        <v>1580</v>
      </c>
      <c r="R2361" s="16">
        <v>44329</v>
      </c>
      <c r="S2361" s="17" t="s">
        <v>70</v>
      </c>
      <c r="T2361" s="20">
        <f>HYPERLINK("https://vnm.spiral.com.vn//uploaded/20210513/047CD458-4E13-40C3-9E1D-FF3F173EFD47.jpg","09:45:47")</f>
      </c>
      <c r="U2361" s="20">
        <f>HYPERLINK("https://vnm.spiral.com.vn//uploaded/20210513/225E07BB-4488-4160-99A1-E85AAAFD0065.jpg","10:42:14")</f>
      </c>
      <c r="V2361" s="18">
        <v>0.03920138888888889</v>
      </c>
      <c r="W2361" s="15" t="s">
        <v>10870</v>
      </c>
      <c r="X2361" s="15" t="s">
        <v>12115</v>
      </c>
      <c r="Y2361" s="15" t="s">
        <v>35</v>
      </c>
      <c r="Z2361" s="19">
        <v>0</v>
      </c>
      <c r="AA2361" s="15">
        <v>0</v>
      </c>
      <c r="AB2361" s="15" t="s">
        <v>35</v>
      </c>
    </row>
    <row r="2362">
      <c r="A2362" s="15">
        <v>2358</v>
      </c>
      <c r="B2362" s="15" t="s">
        <v>61</v>
      </c>
      <c r="C2362" s="15" t="s">
        <v>737</v>
      </c>
      <c r="D2362" s="15" t="s">
        <v>35</v>
      </c>
      <c r="E2362" s="15" t="s">
        <v>35</v>
      </c>
      <c r="F2362" s="15" t="s">
        <v>35</v>
      </c>
      <c r="G2362" s="15" t="s">
        <v>36</v>
      </c>
      <c r="H2362" s="15" t="s">
        <v>12116</v>
      </c>
      <c r="I2362" s="15" t="s">
        <v>12117</v>
      </c>
      <c r="J2362" s="15" t="s">
        <v>12118</v>
      </c>
      <c r="K2362" s="15" t="s">
        <v>40</v>
      </c>
      <c r="L2362" s="15" t="s">
        <v>41</v>
      </c>
      <c r="M2362" s="15" t="s">
        <v>205</v>
      </c>
      <c r="N2362" s="15" t="s">
        <v>206</v>
      </c>
      <c r="O2362" s="15" t="s">
        <v>44</v>
      </c>
      <c r="P2362" s="15" t="s">
        <v>12119</v>
      </c>
      <c r="Q2362" s="15" t="s">
        <v>12120</v>
      </c>
      <c r="R2362" s="16">
        <v>44329</v>
      </c>
      <c r="S2362" s="17" t="s">
        <v>256</v>
      </c>
      <c r="T2362" s="20">
        <f>HYPERLINK("https://vnm.spiral.com.vn//uploaded/20210513/A39781C4-5CAE-471E-9A7D-61CAE0E1A7E8.jpg","10:42:09")</f>
      </c>
      <c r="U2362" s="18"/>
      <c r="V2362" s="18" t="s">
        <v>35</v>
      </c>
      <c r="W2362" s="15" t="s">
        <v>12121</v>
      </c>
      <c r="X2362" s="15" t="s">
        <v>35</v>
      </c>
      <c r="Y2362" s="15" t="s">
        <v>35</v>
      </c>
      <c r="Z2362" s="19">
        <v>0</v>
      </c>
      <c r="AA2362" s="15">
        <v>0</v>
      </c>
      <c r="AB2362" s="15" t="s">
        <v>35</v>
      </c>
    </row>
    <row r="2363">
      <c r="A2363" s="15">
        <v>2359</v>
      </c>
      <c r="B2363" s="15" t="s">
        <v>87</v>
      </c>
      <c r="C2363" s="15" t="s">
        <v>88</v>
      </c>
      <c r="D2363" s="15" t="s">
        <v>35</v>
      </c>
      <c r="E2363" s="15" t="s">
        <v>35</v>
      </c>
      <c r="F2363" s="15" t="s">
        <v>35</v>
      </c>
      <c r="G2363" s="15" t="s">
        <v>74</v>
      </c>
      <c r="H2363" s="15" t="s">
        <v>12122</v>
      </c>
      <c r="I2363" s="15" t="s">
        <v>12123</v>
      </c>
      <c r="J2363" s="15" t="s">
        <v>12124</v>
      </c>
      <c r="K2363" s="15" t="s">
        <v>888</v>
      </c>
      <c r="L2363" s="15" t="s">
        <v>889</v>
      </c>
      <c r="M2363" s="15" t="s">
        <v>1666</v>
      </c>
      <c r="N2363" s="15" t="s">
        <v>1667</v>
      </c>
      <c r="O2363" s="15" t="s">
        <v>82</v>
      </c>
      <c r="P2363" s="15" t="s">
        <v>1668</v>
      </c>
      <c r="Q2363" s="15" t="s">
        <v>1669</v>
      </c>
      <c r="R2363" s="16">
        <v>44329</v>
      </c>
      <c r="S2363" s="17" t="s">
        <v>70</v>
      </c>
      <c r="T2363" s="20">
        <f>HYPERLINK("https://vnm.spiral.com.vn//uploaded/20210513/90D282C2-7741-40EA-9648-4CC05DBEA155.jpg","10:25:53")</f>
      </c>
      <c r="U2363" s="20">
        <f>HYPERLINK("https://vnm.spiral.com.vn//uploaded/20210513/3C930549-70BE-4914-91BD-BFE806AAD41E.jpg","10:42:09")</f>
      </c>
      <c r="V2363" s="18">
        <v>0.011296296296296296</v>
      </c>
      <c r="W2363" s="15" t="s">
        <v>12125</v>
      </c>
      <c r="X2363" s="15" t="s">
        <v>12126</v>
      </c>
      <c r="Y2363" s="15" t="s">
        <v>35</v>
      </c>
      <c r="Z2363" s="19">
        <v>0</v>
      </c>
      <c r="AA2363" s="15">
        <v>0</v>
      </c>
      <c r="AB2363" s="15" t="s">
        <v>35</v>
      </c>
    </row>
    <row r="2364">
      <c r="A2364" s="15">
        <v>2360</v>
      </c>
      <c r="B2364" s="15" t="s">
        <v>61</v>
      </c>
      <c r="C2364" s="15" t="s">
        <v>904</v>
      </c>
      <c r="D2364" s="15" t="s">
        <v>135</v>
      </c>
      <c r="E2364" s="15" t="s">
        <v>116</v>
      </c>
      <c r="F2364" s="15" t="s">
        <v>35</v>
      </c>
      <c r="G2364" s="15" t="s">
        <v>74</v>
      </c>
      <c r="H2364" s="15" t="s">
        <v>12127</v>
      </c>
      <c r="I2364" s="15" t="s">
        <v>12128</v>
      </c>
      <c r="J2364" s="15" t="s">
        <v>12129</v>
      </c>
      <c r="K2364" s="15" t="s">
        <v>1586</v>
      </c>
      <c r="L2364" s="15" t="s">
        <v>1587</v>
      </c>
      <c r="M2364" s="15" t="s">
        <v>1588</v>
      </c>
      <c r="N2364" s="15" t="s">
        <v>1589</v>
      </c>
      <c r="O2364" s="15" t="s">
        <v>82</v>
      </c>
      <c r="P2364" s="15" t="s">
        <v>3609</v>
      </c>
      <c r="Q2364" s="15" t="s">
        <v>3610</v>
      </c>
      <c r="R2364" s="16">
        <v>44329</v>
      </c>
      <c r="S2364" s="17" t="s">
        <v>70</v>
      </c>
      <c r="T2364" s="20">
        <f>HYPERLINK("https://vnm.spiral.com.vn//uploaded/20210513/F3EDFCBC-28C4-4965-AC68-12BB20A69E04.jpg","09:38:19")</f>
      </c>
      <c r="U2364" s="20">
        <f>HYPERLINK("https://vnm.spiral.com.vn//uploaded/20210513/DD2C1FFC-87E9-4A31-BEED-713EC733834B.jpg","10:40:54")</f>
      </c>
      <c r="V2364" s="18">
        <v>0.04346064814814815</v>
      </c>
      <c r="W2364" s="15" t="s">
        <v>12130</v>
      </c>
      <c r="X2364" s="15" t="s">
        <v>12131</v>
      </c>
      <c r="Y2364" s="15" t="s">
        <v>35</v>
      </c>
      <c r="Z2364" s="19">
        <v>0</v>
      </c>
      <c r="AA2364" s="15">
        <v>0</v>
      </c>
      <c r="AB2364" s="15" t="s">
        <v>35</v>
      </c>
    </row>
    <row r="2365">
      <c r="A2365" s="15">
        <v>2361</v>
      </c>
      <c r="B2365" s="15" t="s">
        <v>343</v>
      </c>
      <c r="C2365" s="15" t="s">
        <v>344</v>
      </c>
      <c r="D2365" s="15" t="s">
        <v>1644</v>
      </c>
      <c r="E2365" s="15" t="s">
        <v>35</v>
      </c>
      <c r="F2365" s="15" t="s">
        <v>35</v>
      </c>
      <c r="G2365" s="15" t="s">
        <v>74</v>
      </c>
      <c r="H2365" s="15" t="s">
        <v>12132</v>
      </c>
      <c r="I2365" s="15" t="s">
        <v>12133</v>
      </c>
      <c r="J2365" s="15" t="s">
        <v>12134</v>
      </c>
      <c r="K2365" s="15" t="s">
        <v>584</v>
      </c>
      <c r="L2365" s="15" t="s">
        <v>585</v>
      </c>
      <c r="M2365" s="15" t="s">
        <v>827</v>
      </c>
      <c r="N2365" s="15" t="s">
        <v>828</v>
      </c>
      <c r="O2365" s="15" t="s">
        <v>82</v>
      </c>
      <c r="P2365" s="15" t="s">
        <v>1648</v>
      </c>
      <c r="Q2365" s="15" t="s">
        <v>1649</v>
      </c>
      <c r="R2365" s="16">
        <v>44329</v>
      </c>
      <c r="S2365" s="17" t="s">
        <v>70</v>
      </c>
      <c r="T2365" s="20">
        <f>HYPERLINK("https://vnm.spiral.com.vn//uploaded/20210513/787614c8-abae-4e8b-8498-c5959c68c7ef.JPEG","10:02:07")</f>
      </c>
      <c r="U2365" s="20">
        <f>HYPERLINK("https://vnm.spiral.com.vn//uploaded/20210513/291256db-95b0-464f-bbb1-64fb134969f6.JPEG","10:40:26")</f>
      </c>
      <c r="V2365" s="18">
        <v>0.026608796296296297</v>
      </c>
      <c r="W2365" s="15" t="s">
        <v>12135</v>
      </c>
      <c r="X2365" s="15" t="s">
        <v>12136</v>
      </c>
      <c r="Y2365" s="15" t="s">
        <v>35</v>
      </c>
      <c r="Z2365" s="19">
        <v>0</v>
      </c>
      <c r="AA2365" s="15">
        <v>0</v>
      </c>
      <c r="AB2365" s="15" t="s">
        <v>35</v>
      </c>
    </row>
    <row r="2366">
      <c r="A2366" s="15">
        <v>2362</v>
      </c>
      <c r="B2366" s="15" t="s">
        <v>33</v>
      </c>
      <c r="C2366" s="15" t="s">
        <v>2883</v>
      </c>
      <c r="D2366" s="15" t="s">
        <v>35</v>
      </c>
      <c r="E2366" s="15" t="s">
        <v>35</v>
      </c>
      <c r="F2366" s="15" t="s">
        <v>35</v>
      </c>
      <c r="G2366" s="15" t="s">
        <v>74</v>
      </c>
      <c r="H2366" s="15" t="s">
        <v>12137</v>
      </c>
      <c r="I2366" s="15" t="s">
        <v>12138</v>
      </c>
      <c r="J2366" s="15" t="s">
        <v>12139</v>
      </c>
      <c r="K2366" s="15" t="s">
        <v>540</v>
      </c>
      <c r="L2366" s="15" t="s">
        <v>541</v>
      </c>
      <c r="M2366" s="15" t="s">
        <v>2887</v>
      </c>
      <c r="N2366" s="15" t="s">
        <v>2888</v>
      </c>
      <c r="O2366" s="15" t="s">
        <v>98</v>
      </c>
      <c r="P2366" s="15" t="s">
        <v>2889</v>
      </c>
      <c r="Q2366" s="15" t="s">
        <v>2890</v>
      </c>
      <c r="R2366" s="16">
        <v>44329</v>
      </c>
      <c r="S2366" s="17" t="s">
        <v>35</v>
      </c>
      <c r="T2366" s="20">
        <f>HYPERLINK("https://vnm.spiral.com.vn//uploaded/20210513/DB2595F8-B556-4EAB-81F3-9DCE7526722E.jpg","09:53:32")</f>
      </c>
      <c r="U2366" s="20">
        <f>HYPERLINK("https://vnm.spiral.com.vn//uploaded/20210513/519C2132-7B34-4691-B3D4-701FA35619EE.jpg","10:39:21")</f>
      </c>
      <c r="V2366" s="18">
        <v>0.03181712962962963</v>
      </c>
      <c r="W2366" s="15" t="s">
        <v>12140</v>
      </c>
      <c r="X2366" s="15" t="s">
        <v>12141</v>
      </c>
      <c r="Y2366" s="15" t="s">
        <v>35</v>
      </c>
      <c r="Z2366" s="19">
        <v>0</v>
      </c>
      <c r="AA2366" s="15">
        <v>0</v>
      </c>
      <c r="AB2366" s="15" t="s">
        <v>35</v>
      </c>
    </row>
    <row r="2367">
      <c r="A2367" s="15">
        <v>2363</v>
      </c>
      <c r="B2367" s="15" t="s">
        <v>33</v>
      </c>
      <c r="C2367" s="15" t="s">
        <v>765</v>
      </c>
      <c r="D2367" s="15" t="s">
        <v>35</v>
      </c>
      <c r="E2367" s="15" t="s">
        <v>35</v>
      </c>
      <c r="F2367" s="15" t="s">
        <v>35</v>
      </c>
      <c r="G2367" s="15" t="s">
        <v>74</v>
      </c>
      <c r="H2367" s="15" t="s">
        <v>12142</v>
      </c>
      <c r="I2367" s="15" t="s">
        <v>12143</v>
      </c>
      <c r="J2367" s="15" t="s">
        <v>12144</v>
      </c>
      <c r="K2367" s="15" t="s">
        <v>540</v>
      </c>
      <c r="L2367" s="15" t="s">
        <v>541</v>
      </c>
      <c r="M2367" s="15" t="s">
        <v>769</v>
      </c>
      <c r="N2367" s="15" t="s">
        <v>770</v>
      </c>
      <c r="O2367" s="15" t="s">
        <v>82</v>
      </c>
      <c r="P2367" s="15" t="s">
        <v>3034</v>
      </c>
      <c r="Q2367" s="15" t="s">
        <v>3035</v>
      </c>
      <c r="R2367" s="16">
        <v>44329</v>
      </c>
      <c r="S2367" s="17" t="s">
        <v>70</v>
      </c>
      <c r="T2367" s="20">
        <f>HYPERLINK("https://vnm.spiral.com.vn//uploaded/20210513/4ea56529-77df-4fdc-85e1-7281d7b972ec.JPEG","09:37:21")</f>
      </c>
      <c r="U2367" s="20">
        <f>HYPERLINK("https://vnm.spiral.com.vn//uploaded/20210513/8a9d4c1b-fa97-42be-ae60-9f540085eb80.JPEG","10:39:13")</f>
      </c>
      <c r="V2367" s="18">
        <v>0.04296296296296296</v>
      </c>
      <c r="W2367" s="15" t="s">
        <v>12145</v>
      </c>
      <c r="X2367" s="15" t="s">
        <v>12146</v>
      </c>
      <c r="Y2367" s="15" t="s">
        <v>35</v>
      </c>
      <c r="Z2367" s="19">
        <v>0</v>
      </c>
      <c r="AA2367" s="15">
        <v>0</v>
      </c>
      <c r="AB2367" s="15" t="s">
        <v>35</v>
      </c>
    </row>
    <row r="2368">
      <c r="A2368" s="15">
        <v>2364</v>
      </c>
      <c r="B2368" s="15" t="s">
        <v>87</v>
      </c>
      <c r="C2368" s="15" t="s">
        <v>88</v>
      </c>
      <c r="D2368" s="15" t="s">
        <v>115</v>
      </c>
      <c r="E2368" s="15" t="s">
        <v>116</v>
      </c>
      <c r="F2368" s="15" t="s">
        <v>35</v>
      </c>
      <c r="G2368" s="15" t="s">
        <v>74</v>
      </c>
      <c r="H2368" s="15" t="s">
        <v>12147</v>
      </c>
      <c r="I2368" s="15" t="s">
        <v>12148</v>
      </c>
      <c r="J2368" s="15" t="s">
        <v>12149</v>
      </c>
      <c r="K2368" s="15" t="s">
        <v>120</v>
      </c>
      <c r="L2368" s="15" t="s">
        <v>121</v>
      </c>
      <c r="M2368" s="15" t="s">
        <v>1073</v>
      </c>
      <c r="N2368" s="15" t="s">
        <v>1074</v>
      </c>
      <c r="O2368" s="15" t="s">
        <v>82</v>
      </c>
      <c r="P2368" s="15" t="s">
        <v>6397</v>
      </c>
      <c r="Q2368" s="15" t="s">
        <v>6398</v>
      </c>
      <c r="R2368" s="16">
        <v>44329</v>
      </c>
      <c r="S2368" s="17" t="s">
        <v>70</v>
      </c>
      <c r="T2368" s="20">
        <f>HYPERLINK("https://vnm.spiral.com.vn//uploaded/20210513/9aa95e6f-b1ee-4573-be68-3829723fee56.jpg","07:09:44")</f>
      </c>
      <c r="U2368" s="20">
        <f>HYPERLINK("https://vnm.spiral.com.vn//uploaded/20210513/71fdf517-b886-4aaf-ad2b-c0dada14f7f5.jpg","10:38:41")</f>
      </c>
      <c r="V2368" s="18">
        <v>0.14510416666666667</v>
      </c>
      <c r="W2368" s="15" t="s">
        <v>12150</v>
      </c>
      <c r="X2368" s="15" t="s">
        <v>12151</v>
      </c>
      <c r="Y2368" s="15" t="s">
        <v>35</v>
      </c>
      <c r="Z2368" s="19">
        <v>0</v>
      </c>
      <c r="AA2368" s="15">
        <v>0</v>
      </c>
      <c r="AB2368" s="15" t="s">
        <v>35</v>
      </c>
    </row>
    <row r="2369">
      <c r="A2369" s="15">
        <v>2365</v>
      </c>
      <c r="B2369" s="15" t="s">
        <v>33</v>
      </c>
      <c r="C2369" s="15" t="s">
        <v>2999</v>
      </c>
      <c r="D2369" s="15" t="s">
        <v>35</v>
      </c>
      <c r="E2369" s="15" t="s">
        <v>35</v>
      </c>
      <c r="F2369" s="15" t="s">
        <v>35</v>
      </c>
      <c r="G2369" s="15" t="s">
        <v>74</v>
      </c>
      <c r="H2369" s="15" t="s">
        <v>12152</v>
      </c>
      <c r="I2369" s="15" t="s">
        <v>12153</v>
      </c>
      <c r="J2369" s="15" t="s">
        <v>12154</v>
      </c>
      <c r="K2369" s="15" t="s">
        <v>2887</v>
      </c>
      <c r="L2369" s="15" t="s">
        <v>2888</v>
      </c>
      <c r="M2369" s="15" t="s">
        <v>2889</v>
      </c>
      <c r="N2369" s="15" t="s">
        <v>2890</v>
      </c>
      <c r="O2369" s="15" t="s">
        <v>82</v>
      </c>
      <c r="P2369" s="15" t="s">
        <v>3003</v>
      </c>
      <c r="Q2369" s="15" t="s">
        <v>1155</v>
      </c>
      <c r="R2369" s="16">
        <v>44329</v>
      </c>
      <c r="S2369" s="17" t="s">
        <v>70</v>
      </c>
      <c r="T2369" s="20">
        <f>HYPERLINK("https://vnm.spiral.com.vn//uploaded/20210513/0d518dcc-682b-4998-9443-958db162f63a.JPEG","09:26:13")</f>
      </c>
      <c r="U2369" s="20">
        <f>HYPERLINK("https://vnm.spiral.com.vn//uploaded/20210513/47e1ed0a-d9d4-46f6-af9b-6e89beb03ae7.JPEG","10:38:13")</f>
      </c>
      <c r="V2369" s="18">
        <v>0.05</v>
      </c>
      <c r="W2369" s="15" t="s">
        <v>12155</v>
      </c>
      <c r="X2369" s="15" t="s">
        <v>12156</v>
      </c>
      <c r="Y2369" s="15" t="s">
        <v>35</v>
      </c>
      <c r="Z2369" s="19">
        <v>0</v>
      </c>
      <c r="AA2369" s="15">
        <v>0</v>
      </c>
      <c r="AB2369" s="15" t="s">
        <v>35</v>
      </c>
    </row>
    <row r="2370">
      <c r="A2370" s="15">
        <v>2366</v>
      </c>
      <c r="B2370" s="15" t="s">
        <v>61</v>
      </c>
      <c r="C2370" s="15" t="s">
        <v>201</v>
      </c>
      <c r="D2370" s="15" t="s">
        <v>135</v>
      </c>
      <c r="E2370" s="15" t="s">
        <v>116</v>
      </c>
      <c r="F2370" s="15" t="s">
        <v>35</v>
      </c>
      <c r="G2370" s="15" t="s">
        <v>74</v>
      </c>
      <c r="H2370" s="15" t="s">
        <v>12157</v>
      </c>
      <c r="I2370" s="15" t="s">
        <v>12158</v>
      </c>
      <c r="J2370" s="15" t="s">
        <v>12159</v>
      </c>
      <c r="K2370" s="15" t="s">
        <v>152</v>
      </c>
      <c r="L2370" s="15" t="s">
        <v>153</v>
      </c>
      <c r="M2370" s="15" t="s">
        <v>154</v>
      </c>
      <c r="N2370" s="15" t="s">
        <v>155</v>
      </c>
      <c r="O2370" s="15" t="s">
        <v>82</v>
      </c>
      <c r="P2370" s="15" t="s">
        <v>2250</v>
      </c>
      <c r="Q2370" s="15" t="s">
        <v>2251</v>
      </c>
      <c r="R2370" s="16">
        <v>44329</v>
      </c>
      <c r="S2370" s="17" t="s">
        <v>70</v>
      </c>
      <c r="T2370" s="20">
        <f>HYPERLINK("https://vnm.spiral.com.vn//uploaded/20210513/b65f109c-81d1-4475-841d-d5b819078fa0.JPEG","09:33:53")</f>
      </c>
      <c r="U2370" s="20">
        <f>HYPERLINK("https://vnm.spiral.com.vn//uploaded/20210513/7acc9228-600e-4057-9ba3-cb4279e79f59.JPEG","10:37:59")</f>
      </c>
      <c r="V2370" s="18">
        <v>0.04451388888888889</v>
      </c>
      <c r="W2370" s="15" t="s">
        <v>12160</v>
      </c>
      <c r="X2370" s="15" t="s">
        <v>12161</v>
      </c>
      <c r="Y2370" s="15" t="s">
        <v>35</v>
      </c>
      <c r="Z2370" s="19">
        <v>0</v>
      </c>
      <c r="AA2370" s="15">
        <v>0</v>
      </c>
      <c r="AB2370" s="15" t="s">
        <v>35</v>
      </c>
    </row>
    <row r="2371">
      <c r="A2371" s="15">
        <v>2367</v>
      </c>
      <c r="B2371" s="15" t="s">
        <v>87</v>
      </c>
      <c r="C2371" s="15" t="s">
        <v>88</v>
      </c>
      <c r="D2371" s="15" t="s">
        <v>432</v>
      </c>
      <c r="E2371" s="15" t="s">
        <v>116</v>
      </c>
      <c r="F2371" s="15" t="s">
        <v>35</v>
      </c>
      <c r="G2371" s="15" t="s">
        <v>74</v>
      </c>
      <c r="H2371" s="15" t="s">
        <v>12162</v>
      </c>
      <c r="I2371" s="15" t="s">
        <v>12163</v>
      </c>
      <c r="J2371" s="15" t="s">
        <v>12164</v>
      </c>
      <c r="K2371" s="15" t="s">
        <v>625</v>
      </c>
      <c r="L2371" s="15" t="s">
        <v>626</v>
      </c>
      <c r="M2371" s="15" t="s">
        <v>1022</v>
      </c>
      <c r="N2371" s="15" t="s">
        <v>1023</v>
      </c>
      <c r="O2371" s="15" t="s">
        <v>82</v>
      </c>
      <c r="P2371" s="15" t="s">
        <v>2241</v>
      </c>
      <c r="Q2371" s="15" t="s">
        <v>2242</v>
      </c>
      <c r="R2371" s="16">
        <v>44329</v>
      </c>
      <c r="S2371" s="17" t="s">
        <v>70</v>
      </c>
      <c r="T2371" s="20">
        <f>HYPERLINK("https://vnm.spiral.com.vn//uploaded/20210513/F89FD678-6CB7-4DE0-9503-F520D3923375.jpg","09:55:03")</f>
      </c>
      <c r="U2371" s="20">
        <f>HYPERLINK("https://vnm.spiral.com.vn//uploaded/20210513/A75D116A-789F-49CB-B3AB-8EE633B0267E.jpg","10:37:56")</f>
      </c>
      <c r="V2371" s="18">
        <v>0.029780092592592594</v>
      </c>
      <c r="W2371" s="15" t="s">
        <v>12165</v>
      </c>
      <c r="X2371" s="15" t="s">
        <v>12166</v>
      </c>
      <c r="Y2371" s="15" t="s">
        <v>35</v>
      </c>
      <c r="Z2371" s="19">
        <v>0</v>
      </c>
      <c r="AA2371" s="15">
        <v>0</v>
      </c>
      <c r="AB2371" s="15" t="s">
        <v>35</v>
      </c>
    </row>
    <row r="2372">
      <c r="A2372" s="15">
        <v>2368</v>
      </c>
      <c r="B2372" s="15" t="s">
        <v>87</v>
      </c>
      <c r="C2372" s="15" t="s">
        <v>88</v>
      </c>
      <c r="D2372" s="15" t="s">
        <v>610</v>
      </c>
      <c r="E2372" s="15" t="s">
        <v>90</v>
      </c>
      <c r="F2372" s="15" t="s">
        <v>35</v>
      </c>
      <c r="G2372" s="15" t="s">
        <v>74</v>
      </c>
      <c r="H2372" s="15" t="s">
        <v>12167</v>
      </c>
      <c r="I2372" s="15" t="s">
        <v>12168</v>
      </c>
      <c r="J2372" s="15" t="s">
        <v>12169</v>
      </c>
      <c r="K2372" s="15" t="s">
        <v>94</v>
      </c>
      <c r="L2372" s="15" t="s">
        <v>95</v>
      </c>
      <c r="M2372" s="15" t="s">
        <v>614</v>
      </c>
      <c r="N2372" s="15" t="s">
        <v>615</v>
      </c>
      <c r="O2372" s="15" t="s">
        <v>98</v>
      </c>
      <c r="P2372" s="15" t="s">
        <v>1769</v>
      </c>
      <c r="Q2372" s="15" t="s">
        <v>1770</v>
      </c>
      <c r="R2372" s="16">
        <v>44329</v>
      </c>
      <c r="S2372" s="17" t="s">
        <v>70</v>
      </c>
      <c r="T2372" s="20">
        <f>HYPERLINK("https://vnm.spiral.com.vn//uploaded/20210513/6352E3B9-1009-411E-960C-8DF6049B09AD.jpg","10:22:52")</f>
      </c>
      <c r="U2372" s="20">
        <f>HYPERLINK("https://vnm.spiral.com.vn//uploaded/20210513/94EA49E6-CAB4-4E9A-916B-628AAB21EDEB.jpg","10:37:10")</f>
      </c>
      <c r="V2372" s="18">
        <v>0.009930555555555555</v>
      </c>
      <c r="W2372" s="15" t="s">
        <v>12170</v>
      </c>
      <c r="X2372" s="15" t="s">
        <v>12171</v>
      </c>
      <c r="Y2372" s="15" t="s">
        <v>35</v>
      </c>
      <c r="Z2372" s="19">
        <v>0</v>
      </c>
      <c r="AA2372" s="15">
        <v>0</v>
      </c>
      <c r="AB2372" s="15" t="s">
        <v>35</v>
      </c>
    </row>
    <row r="2373">
      <c r="A2373" s="15">
        <v>2369</v>
      </c>
      <c r="B2373" s="15" t="s">
        <v>87</v>
      </c>
      <c r="C2373" s="15" t="s">
        <v>88</v>
      </c>
      <c r="D2373" s="15" t="s">
        <v>35</v>
      </c>
      <c r="E2373" s="15" t="s">
        <v>35</v>
      </c>
      <c r="F2373" s="15" t="s">
        <v>35</v>
      </c>
      <c r="G2373" s="15" t="s">
        <v>74</v>
      </c>
      <c r="H2373" s="15" t="s">
        <v>12172</v>
      </c>
      <c r="I2373" s="15" t="s">
        <v>12173</v>
      </c>
      <c r="J2373" s="15" t="s">
        <v>12174</v>
      </c>
      <c r="K2373" s="15" t="s">
        <v>888</v>
      </c>
      <c r="L2373" s="15" t="s">
        <v>889</v>
      </c>
      <c r="M2373" s="15" t="s">
        <v>924</v>
      </c>
      <c r="N2373" s="15" t="s">
        <v>925</v>
      </c>
      <c r="O2373" s="15" t="s">
        <v>82</v>
      </c>
      <c r="P2373" s="15" t="s">
        <v>1140</v>
      </c>
      <c r="Q2373" s="15" t="s">
        <v>69</v>
      </c>
      <c r="R2373" s="16">
        <v>44329</v>
      </c>
      <c r="S2373" s="17" t="s">
        <v>70</v>
      </c>
      <c r="T2373" s="20">
        <f>HYPERLINK("https://vnm.spiral.com.vn//uploaded/20210513/1c4a9772-f1c0-4c4b-a0af-22989ce1628e.JPEG","10:20:48")</f>
      </c>
      <c r="U2373" s="20">
        <f>HYPERLINK("https://vnm.spiral.com.vn//uploaded/20210513/aa54f4d6-89bd-4743-bf1e-6c18a514cdcc.JPEG","10:36:52")</f>
      </c>
      <c r="V2373" s="18">
        <v>0.011157407407407408</v>
      </c>
      <c r="W2373" s="15" t="s">
        <v>12175</v>
      </c>
      <c r="X2373" s="15" t="s">
        <v>12176</v>
      </c>
      <c r="Y2373" s="15" t="s">
        <v>35</v>
      </c>
      <c r="Z2373" s="19">
        <v>0</v>
      </c>
      <c r="AA2373" s="15">
        <v>0</v>
      </c>
      <c r="AB2373" s="15" t="s">
        <v>35</v>
      </c>
    </row>
    <row r="2374">
      <c r="A2374" s="15">
        <v>2370</v>
      </c>
      <c r="B2374" s="15" t="s">
        <v>87</v>
      </c>
      <c r="C2374" s="15" t="s">
        <v>88</v>
      </c>
      <c r="D2374" s="15" t="s">
        <v>432</v>
      </c>
      <c r="E2374" s="15" t="s">
        <v>116</v>
      </c>
      <c r="F2374" s="15" t="s">
        <v>35</v>
      </c>
      <c r="G2374" s="15" t="s">
        <v>74</v>
      </c>
      <c r="H2374" s="15" t="s">
        <v>12177</v>
      </c>
      <c r="I2374" s="15" t="s">
        <v>12178</v>
      </c>
      <c r="J2374" s="15" t="s">
        <v>12179</v>
      </c>
      <c r="K2374" s="15" t="s">
        <v>94</v>
      </c>
      <c r="L2374" s="15" t="s">
        <v>95</v>
      </c>
      <c r="M2374" s="15" t="s">
        <v>625</v>
      </c>
      <c r="N2374" s="15" t="s">
        <v>626</v>
      </c>
      <c r="O2374" s="15" t="s">
        <v>98</v>
      </c>
      <c r="P2374" s="15" t="s">
        <v>627</v>
      </c>
      <c r="Q2374" s="15" t="s">
        <v>628</v>
      </c>
      <c r="R2374" s="16">
        <v>44329</v>
      </c>
      <c r="S2374" s="17" t="s">
        <v>70</v>
      </c>
      <c r="T2374" s="20">
        <f>HYPERLINK("https://vnm.spiral.com.vn//uploaded/20210513/9d30679c-140e-46ca-ad29-3dfc172a51d4.JPEG","10:10:16")</f>
      </c>
      <c r="U2374" s="20">
        <f>HYPERLINK("https://vnm.spiral.com.vn//uploaded/20210513/2c66406b-1ea3-4d0b-b863-24ffc8373a42.JPEG","10:36:17")</f>
      </c>
      <c r="V2374" s="18">
        <v>0.01806712962962963</v>
      </c>
      <c r="W2374" s="15" t="s">
        <v>12180</v>
      </c>
      <c r="X2374" s="15" t="s">
        <v>12181</v>
      </c>
      <c r="Y2374" s="15" t="s">
        <v>35</v>
      </c>
      <c r="Z2374" s="19">
        <v>0</v>
      </c>
      <c r="AA2374" s="15">
        <v>0</v>
      </c>
      <c r="AB2374" s="15" t="s">
        <v>35</v>
      </c>
    </row>
    <row r="2375">
      <c r="A2375" s="15">
        <v>2371</v>
      </c>
      <c r="B2375" s="15" t="s">
        <v>87</v>
      </c>
      <c r="C2375" s="15" t="s">
        <v>88</v>
      </c>
      <c r="D2375" s="15" t="s">
        <v>432</v>
      </c>
      <c r="E2375" s="15" t="s">
        <v>116</v>
      </c>
      <c r="F2375" s="15" t="s">
        <v>35</v>
      </c>
      <c r="G2375" s="15" t="s">
        <v>74</v>
      </c>
      <c r="H2375" s="15" t="s">
        <v>12177</v>
      </c>
      <c r="I2375" s="15" t="s">
        <v>12178</v>
      </c>
      <c r="J2375" s="15" t="s">
        <v>12179</v>
      </c>
      <c r="K2375" s="15" t="s">
        <v>625</v>
      </c>
      <c r="L2375" s="15" t="s">
        <v>626</v>
      </c>
      <c r="M2375" s="15" t="s">
        <v>627</v>
      </c>
      <c r="N2375" s="15" t="s">
        <v>628</v>
      </c>
      <c r="O2375" s="15" t="s">
        <v>82</v>
      </c>
      <c r="P2375" s="15" t="s">
        <v>2569</v>
      </c>
      <c r="Q2375" s="15" t="s">
        <v>2570</v>
      </c>
      <c r="R2375" s="16">
        <v>44329</v>
      </c>
      <c r="S2375" s="17" t="s">
        <v>70</v>
      </c>
      <c r="T2375" s="20">
        <f>HYPERLINK("https://vnm.spiral.com.vn//uploaded/20210513/5936C1B1-E0E6-4311-9145-35DF78388609.jpg","10:08:13")</f>
      </c>
      <c r="U2375" s="20">
        <f>HYPERLINK("https://vnm.spiral.com.vn//uploaded/20210513/89943ABF-7C05-477D-87FB-FBF93B44A4BA.jpg","10:35:59")</f>
      </c>
      <c r="V2375" s="18">
        <v>0.019282407407407408</v>
      </c>
      <c r="W2375" s="15" t="s">
        <v>12182</v>
      </c>
      <c r="X2375" s="15" t="s">
        <v>12183</v>
      </c>
      <c r="Y2375" s="15" t="s">
        <v>35</v>
      </c>
      <c r="Z2375" s="19">
        <v>0</v>
      </c>
      <c r="AA2375" s="15">
        <v>0</v>
      </c>
      <c r="AB2375" s="15" t="s">
        <v>35</v>
      </c>
    </row>
    <row r="2376">
      <c r="A2376" s="15">
        <v>2372</v>
      </c>
      <c r="B2376" s="15" t="s">
        <v>87</v>
      </c>
      <c r="C2376" s="15" t="s">
        <v>88</v>
      </c>
      <c r="D2376" s="15" t="s">
        <v>432</v>
      </c>
      <c r="E2376" s="15" t="s">
        <v>116</v>
      </c>
      <c r="F2376" s="15" t="s">
        <v>35</v>
      </c>
      <c r="G2376" s="15" t="s">
        <v>74</v>
      </c>
      <c r="H2376" s="15" t="s">
        <v>12184</v>
      </c>
      <c r="I2376" s="15" t="s">
        <v>12185</v>
      </c>
      <c r="J2376" s="15" t="s">
        <v>12186</v>
      </c>
      <c r="K2376" s="15" t="s">
        <v>625</v>
      </c>
      <c r="L2376" s="15" t="s">
        <v>626</v>
      </c>
      <c r="M2376" s="15" t="s">
        <v>627</v>
      </c>
      <c r="N2376" s="15" t="s">
        <v>628</v>
      </c>
      <c r="O2376" s="15" t="s">
        <v>82</v>
      </c>
      <c r="P2376" s="15" t="s">
        <v>851</v>
      </c>
      <c r="Q2376" s="15" t="s">
        <v>852</v>
      </c>
      <c r="R2376" s="16">
        <v>44329</v>
      </c>
      <c r="S2376" s="17" t="s">
        <v>70</v>
      </c>
      <c r="T2376" s="20">
        <f>HYPERLINK("https://vnm.spiral.com.vn//uploaded/20210513/ED692C42-76FC-4D85-8A3B-0EA9E068DFE3.jpg","09:47:58")</f>
      </c>
      <c r="U2376" s="20">
        <f>HYPERLINK("https://vnm.spiral.com.vn//uploaded/20210513/6841CBB5-3CD8-4C92-9248-B5CF88E10149.jpg","10:35:53")</f>
      </c>
      <c r="V2376" s="18">
        <v>0.033275462962962965</v>
      </c>
      <c r="W2376" s="15" t="s">
        <v>12187</v>
      </c>
      <c r="X2376" s="15" t="s">
        <v>12188</v>
      </c>
      <c r="Y2376" s="15" t="s">
        <v>35</v>
      </c>
      <c r="Z2376" s="19">
        <v>0</v>
      </c>
      <c r="AA2376" s="15">
        <v>0</v>
      </c>
      <c r="AB2376" s="15" t="s">
        <v>35</v>
      </c>
    </row>
    <row r="2377">
      <c r="A2377" s="15">
        <v>2373</v>
      </c>
      <c r="B2377" s="15" t="s">
        <v>87</v>
      </c>
      <c r="C2377" s="15" t="s">
        <v>88</v>
      </c>
      <c r="D2377" s="15" t="s">
        <v>35</v>
      </c>
      <c r="E2377" s="15" t="s">
        <v>35</v>
      </c>
      <c r="F2377" s="15" t="s">
        <v>35</v>
      </c>
      <c r="G2377" s="15" t="s">
        <v>74</v>
      </c>
      <c r="H2377" s="15" t="s">
        <v>12189</v>
      </c>
      <c r="I2377" s="15" t="s">
        <v>12190</v>
      </c>
      <c r="J2377" s="15" t="s">
        <v>12191</v>
      </c>
      <c r="K2377" s="15" t="s">
        <v>888</v>
      </c>
      <c r="L2377" s="15" t="s">
        <v>889</v>
      </c>
      <c r="M2377" s="15" t="s">
        <v>924</v>
      </c>
      <c r="N2377" s="15" t="s">
        <v>925</v>
      </c>
      <c r="O2377" s="15" t="s">
        <v>82</v>
      </c>
      <c r="P2377" s="15" t="s">
        <v>926</v>
      </c>
      <c r="Q2377" s="15" t="s">
        <v>927</v>
      </c>
      <c r="R2377" s="16">
        <v>44329</v>
      </c>
      <c r="S2377" s="17" t="s">
        <v>70</v>
      </c>
      <c r="T2377" s="20">
        <f>HYPERLINK("https://vnm.spiral.com.vn//uploaded/20210513/FC09A924-582F-488A-8B4F-8EC3F1D3877C.jpg","10:18:26")</f>
      </c>
      <c r="U2377" s="20">
        <f>HYPERLINK("https://vnm.spiral.com.vn//uploaded/20210513/60F3D57D-3CD1-4FCD-A4F3-E27C118F5BAC.jpg","10:35:50")</f>
      </c>
      <c r="V2377" s="18">
        <v>0.012083333333333333</v>
      </c>
      <c r="W2377" s="15" t="s">
        <v>12192</v>
      </c>
      <c r="X2377" s="15" t="s">
        <v>12193</v>
      </c>
      <c r="Y2377" s="15" t="s">
        <v>35</v>
      </c>
      <c r="Z2377" s="19">
        <v>0</v>
      </c>
      <c r="AA2377" s="15">
        <v>0</v>
      </c>
      <c r="AB2377" s="15" t="s">
        <v>35</v>
      </c>
    </row>
    <row r="2378">
      <c r="A2378" s="15">
        <v>2374</v>
      </c>
      <c r="B2378" s="15" t="s">
        <v>33</v>
      </c>
      <c r="C2378" s="15" t="s">
        <v>492</v>
      </c>
      <c r="D2378" s="15" t="s">
        <v>357</v>
      </c>
      <c r="E2378" s="15" t="s">
        <v>35</v>
      </c>
      <c r="F2378" s="15" t="s">
        <v>35</v>
      </c>
      <c r="G2378" s="15" t="s">
        <v>74</v>
      </c>
      <c r="H2378" s="15" t="s">
        <v>12194</v>
      </c>
      <c r="I2378" s="15" t="s">
        <v>12195</v>
      </c>
      <c r="J2378" s="15" t="s">
        <v>12196</v>
      </c>
      <c r="K2378" s="15" t="s">
        <v>540</v>
      </c>
      <c r="L2378" s="15" t="s">
        <v>541</v>
      </c>
      <c r="M2378" s="15" t="s">
        <v>78</v>
      </c>
      <c r="N2378" s="15" t="s">
        <v>79</v>
      </c>
      <c r="O2378" s="15" t="s">
        <v>82</v>
      </c>
      <c r="P2378" s="15" t="s">
        <v>1102</v>
      </c>
      <c r="Q2378" s="15" t="s">
        <v>1103</v>
      </c>
      <c r="R2378" s="16">
        <v>44329</v>
      </c>
      <c r="S2378" s="17" t="s">
        <v>70</v>
      </c>
      <c r="T2378" s="20">
        <f>HYPERLINK("https://vnm.spiral.com.vn//uploaded/20210513/1f41cdca-194e-4dc0-b1b0-52529ad1b21a.JPEG","10:17:51")</f>
      </c>
      <c r="U2378" s="20">
        <f>HYPERLINK("https://vnm.spiral.com.vn//uploaded/20210513/b2d741a5-8f05-4a54-9f69-764277013a2d.JPEG","10:35:31")</f>
      </c>
      <c r="V2378" s="18">
        <v>0.012268518518518519</v>
      </c>
      <c r="W2378" s="15" t="s">
        <v>12197</v>
      </c>
      <c r="X2378" s="15" t="s">
        <v>12198</v>
      </c>
      <c r="Y2378" s="15" t="s">
        <v>35</v>
      </c>
      <c r="Z2378" s="19">
        <v>0</v>
      </c>
      <c r="AA2378" s="15">
        <v>0</v>
      </c>
      <c r="AB2378" s="15" t="s">
        <v>35</v>
      </c>
    </row>
    <row r="2379">
      <c r="A2379" s="15">
        <v>2375</v>
      </c>
      <c r="B2379" s="15" t="s">
        <v>61</v>
      </c>
      <c r="C2379" s="15" t="s">
        <v>1106</v>
      </c>
      <c r="D2379" s="15" t="s">
        <v>89</v>
      </c>
      <c r="E2379" s="15" t="s">
        <v>90</v>
      </c>
      <c r="F2379" s="15" t="s">
        <v>35</v>
      </c>
      <c r="G2379" s="15" t="s">
        <v>74</v>
      </c>
      <c r="H2379" s="15" t="s">
        <v>12199</v>
      </c>
      <c r="I2379" s="15" t="s">
        <v>12200</v>
      </c>
      <c r="J2379" s="15" t="s">
        <v>12201</v>
      </c>
      <c r="K2379" s="15" t="s">
        <v>152</v>
      </c>
      <c r="L2379" s="15" t="s">
        <v>153</v>
      </c>
      <c r="M2379" s="15" t="s">
        <v>154</v>
      </c>
      <c r="N2379" s="15" t="s">
        <v>155</v>
      </c>
      <c r="O2379" s="15" t="s">
        <v>98</v>
      </c>
      <c r="P2379" s="15" t="s">
        <v>2458</v>
      </c>
      <c r="Q2379" s="15" t="s">
        <v>2459</v>
      </c>
      <c r="R2379" s="16">
        <v>44329</v>
      </c>
      <c r="S2379" s="17" t="s">
        <v>35</v>
      </c>
      <c r="T2379" s="20">
        <f>HYPERLINK("https://vnm.spiral.com.vn//uploaded/20210513/1895344B-9E97-4139-BB40-6EC73C5D2851.jpg","08:13:32")</f>
      </c>
      <c r="U2379" s="20">
        <f>HYPERLINK("https://vnm.spiral.com.vn//uploaded/20210513/02B3CABB-43A9-4B1C-8CA1-C24822C49A0F.jpg","10:35:29")</f>
      </c>
      <c r="V2379" s="18">
        <v>0.0985763888888889</v>
      </c>
      <c r="W2379" s="15" t="s">
        <v>12202</v>
      </c>
      <c r="X2379" s="15" t="s">
        <v>12203</v>
      </c>
      <c r="Y2379" s="15" t="s">
        <v>35</v>
      </c>
      <c r="Z2379" s="19">
        <v>0</v>
      </c>
      <c r="AA2379" s="15">
        <v>0</v>
      </c>
      <c r="AB2379" s="15" t="s">
        <v>35</v>
      </c>
    </row>
    <row r="2380">
      <c r="A2380" s="15">
        <v>2376</v>
      </c>
      <c r="B2380" s="15" t="s">
        <v>61</v>
      </c>
      <c r="C2380" s="15" t="s">
        <v>147</v>
      </c>
      <c r="D2380" s="15" t="s">
        <v>35</v>
      </c>
      <c r="E2380" s="15" t="s">
        <v>35</v>
      </c>
      <c r="F2380" s="15" t="s">
        <v>35</v>
      </c>
      <c r="G2380" s="15" t="s">
        <v>36</v>
      </c>
      <c r="H2380" s="15" t="s">
        <v>12204</v>
      </c>
      <c r="I2380" s="15" t="s">
        <v>12205</v>
      </c>
      <c r="J2380" s="15" t="s">
        <v>12206</v>
      </c>
      <c r="K2380" s="15" t="s">
        <v>40</v>
      </c>
      <c r="L2380" s="15" t="s">
        <v>41</v>
      </c>
      <c r="M2380" s="15" t="s">
        <v>66</v>
      </c>
      <c r="N2380" s="15" t="s">
        <v>67</v>
      </c>
      <c r="O2380" s="15" t="s">
        <v>44</v>
      </c>
      <c r="P2380" s="15" t="s">
        <v>12207</v>
      </c>
      <c r="Q2380" s="15" t="s">
        <v>12208</v>
      </c>
      <c r="R2380" s="16">
        <v>44329</v>
      </c>
      <c r="S2380" s="17" t="s">
        <v>8031</v>
      </c>
      <c r="T2380" s="20">
        <f>HYPERLINK("https://vnm.spiral.com.vn//uploaded/20210513/0bc360fa-c3a5-4ef5-91e4-79815144c612.JPEG","10:35:25")</f>
      </c>
      <c r="U2380" s="18"/>
      <c r="V2380" s="18" t="s">
        <v>35</v>
      </c>
      <c r="W2380" s="15" t="s">
        <v>12209</v>
      </c>
      <c r="X2380" s="15" t="s">
        <v>35</v>
      </c>
      <c r="Y2380" s="15" t="s">
        <v>35</v>
      </c>
      <c r="Z2380" s="19">
        <v>0</v>
      </c>
      <c r="AA2380" s="15">
        <v>0</v>
      </c>
      <c r="AB2380" s="15" t="s">
        <v>35</v>
      </c>
    </row>
    <row r="2381">
      <c r="A2381" s="15">
        <v>2377</v>
      </c>
      <c r="B2381" s="15" t="s">
        <v>87</v>
      </c>
      <c r="C2381" s="15" t="s">
        <v>88</v>
      </c>
      <c r="D2381" s="15" t="s">
        <v>432</v>
      </c>
      <c r="E2381" s="15" t="s">
        <v>116</v>
      </c>
      <c r="F2381" s="15" t="s">
        <v>35</v>
      </c>
      <c r="G2381" s="15" t="s">
        <v>74</v>
      </c>
      <c r="H2381" s="15" t="s">
        <v>12210</v>
      </c>
      <c r="I2381" s="15" t="s">
        <v>12211</v>
      </c>
      <c r="J2381" s="15" t="s">
        <v>12212</v>
      </c>
      <c r="K2381" s="15" t="s">
        <v>625</v>
      </c>
      <c r="L2381" s="15" t="s">
        <v>626</v>
      </c>
      <c r="M2381" s="15" t="s">
        <v>627</v>
      </c>
      <c r="N2381" s="15" t="s">
        <v>628</v>
      </c>
      <c r="O2381" s="15" t="s">
        <v>82</v>
      </c>
      <c r="P2381" s="15" t="s">
        <v>1804</v>
      </c>
      <c r="Q2381" s="15" t="s">
        <v>1805</v>
      </c>
      <c r="R2381" s="16">
        <v>44329</v>
      </c>
      <c r="S2381" s="17" t="s">
        <v>70</v>
      </c>
      <c r="T2381" s="20">
        <f>HYPERLINK("https://vnm.spiral.com.vn//uploaded/20210513/350a7ad0-a5a9-47db-9c32-6e8be6316703.JPEG","10:01:11")</f>
      </c>
      <c r="U2381" s="20">
        <f>HYPERLINK("https://vnm.spiral.com.vn//uploaded/20210513/a63ed263-2d27-4add-b237-7daffb0d942b.JPEG","10:35:24")</f>
      </c>
      <c r="V2381" s="18">
        <v>0.023761574074074074</v>
      </c>
      <c r="W2381" s="15" t="s">
        <v>12213</v>
      </c>
      <c r="X2381" s="15" t="s">
        <v>12214</v>
      </c>
      <c r="Y2381" s="15" t="s">
        <v>35</v>
      </c>
      <c r="Z2381" s="19">
        <v>0</v>
      </c>
      <c r="AA2381" s="15">
        <v>0</v>
      </c>
      <c r="AB2381" s="15" t="s">
        <v>35</v>
      </c>
    </row>
    <row r="2382">
      <c r="A2382" s="15">
        <v>2378</v>
      </c>
      <c r="B2382" s="15" t="s">
        <v>61</v>
      </c>
      <c r="C2382" s="15" t="s">
        <v>398</v>
      </c>
      <c r="D2382" s="15" t="s">
        <v>35</v>
      </c>
      <c r="E2382" s="15" t="s">
        <v>35</v>
      </c>
      <c r="F2382" s="15" t="s">
        <v>35</v>
      </c>
      <c r="G2382" s="15" t="s">
        <v>36</v>
      </c>
      <c r="H2382" s="15" t="s">
        <v>12215</v>
      </c>
      <c r="I2382" s="15" t="s">
        <v>12216</v>
      </c>
      <c r="J2382" s="15" t="s">
        <v>12217</v>
      </c>
      <c r="K2382" s="15" t="s">
        <v>40</v>
      </c>
      <c r="L2382" s="15" t="s">
        <v>41</v>
      </c>
      <c r="M2382" s="15" t="s">
        <v>66</v>
      </c>
      <c r="N2382" s="15" t="s">
        <v>67</v>
      </c>
      <c r="O2382" s="15" t="s">
        <v>44</v>
      </c>
      <c r="P2382" s="15" t="s">
        <v>12218</v>
      </c>
      <c r="Q2382" s="15" t="s">
        <v>12219</v>
      </c>
      <c r="R2382" s="16">
        <v>44329</v>
      </c>
      <c r="S2382" s="17" t="s">
        <v>12220</v>
      </c>
      <c r="T2382" s="20">
        <f>HYPERLINK("https://vnm.spiral.com.vn//uploaded/20210513/936a8f0d-f686-4576-936f-169a22ad4bbb.JPEG","10:35:06")</f>
      </c>
      <c r="U2382" s="18"/>
      <c r="V2382" s="18" t="s">
        <v>35</v>
      </c>
      <c r="W2382" s="15" t="s">
        <v>12221</v>
      </c>
      <c r="X2382" s="15" t="s">
        <v>35</v>
      </c>
      <c r="Y2382" s="15" t="s">
        <v>35</v>
      </c>
      <c r="Z2382" s="19">
        <v>0</v>
      </c>
      <c r="AA2382" s="15">
        <v>0</v>
      </c>
      <c r="AB2382" s="15" t="s">
        <v>35</v>
      </c>
    </row>
    <row r="2383">
      <c r="A2383" s="15">
        <v>2379</v>
      </c>
      <c r="B2383" s="15" t="s">
        <v>343</v>
      </c>
      <c r="C2383" s="15" t="s">
        <v>344</v>
      </c>
      <c r="D2383" s="15" t="s">
        <v>1644</v>
      </c>
      <c r="E2383" s="15" t="s">
        <v>35</v>
      </c>
      <c r="F2383" s="15" t="s">
        <v>35</v>
      </c>
      <c r="G2383" s="15" t="s">
        <v>74</v>
      </c>
      <c r="H2383" s="15" t="s">
        <v>12222</v>
      </c>
      <c r="I2383" s="15" t="s">
        <v>12223</v>
      </c>
      <c r="J2383" s="15" t="s">
        <v>12224</v>
      </c>
      <c r="K2383" s="15" t="s">
        <v>584</v>
      </c>
      <c r="L2383" s="15" t="s">
        <v>585</v>
      </c>
      <c r="M2383" s="15" t="s">
        <v>827</v>
      </c>
      <c r="N2383" s="15" t="s">
        <v>828</v>
      </c>
      <c r="O2383" s="15" t="s">
        <v>82</v>
      </c>
      <c r="P2383" s="15" t="s">
        <v>2319</v>
      </c>
      <c r="Q2383" s="15" t="s">
        <v>2320</v>
      </c>
      <c r="R2383" s="16">
        <v>44329</v>
      </c>
      <c r="S2383" s="17" t="s">
        <v>70</v>
      </c>
      <c r="T2383" s="20">
        <f>HYPERLINK("https://vnm.spiral.com.vn//uploaded/20210513/B4F6FC92-9EE0-49AC-A174-864CBAD0D671.jpg","10:18:58")</f>
      </c>
      <c r="U2383" s="20">
        <f>HYPERLINK("https://vnm.spiral.com.vn//uploaded/20210513/55790E4C-5A44-463E-B062-684EFCDC77BE.jpg","10:35:00")</f>
      </c>
      <c r="V2383" s="18">
        <v>0.011134259259259259</v>
      </c>
      <c r="W2383" s="15" t="s">
        <v>12225</v>
      </c>
      <c r="X2383" s="15" t="s">
        <v>12226</v>
      </c>
      <c r="Y2383" s="15" t="s">
        <v>35</v>
      </c>
      <c r="Z2383" s="19">
        <v>0</v>
      </c>
      <c r="AA2383" s="15">
        <v>0</v>
      </c>
      <c r="AB2383" s="15" t="s">
        <v>35</v>
      </c>
    </row>
    <row r="2384">
      <c r="A2384" s="15">
        <v>2380</v>
      </c>
      <c r="B2384" s="15" t="s">
        <v>87</v>
      </c>
      <c r="C2384" s="15" t="s">
        <v>88</v>
      </c>
      <c r="D2384" s="15" t="s">
        <v>135</v>
      </c>
      <c r="E2384" s="15" t="s">
        <v>116</v>
      </c>
      <c r="F2384" s="15" t="s">
        <v>35</v>
      </c>
      <c r="G2384" s="15" t="s">
        <v>74</v>
      </c>
      <c r="H2384" s="15" t="s">
        <v>12227</v>
      </c>
      <c r="I2384" s="15" t="s">
        <v>12228</v>
      </c>
      <c r="J2384" s="15" t="s">
        <v>12229</v>
      </c>
      <c r="K2384" s="15" t="s">
        <v>390</v>
      </c>
      <c r="L2384" s="15" t="s">
        <v>391</v>
      </c>
      <c r="M2384" s="15" t="s">
        <v>392</v>
      </c>
      <c r="N2384" s="15" t="s">
        <v>393</v>
      </c>
      <c r="O2384" s="15" t="s">
        <v>82</v>
      </c>
      <c r="P2384" s="15" t="s">
        <v>5125</v>
      </c>
      <c r="Q2384" s="15" t="s">
        <v>5126</v>
      </c>
      <c r="R2384" s="16">
        <v>44329</v>
      </c>
      <c r="S2384" s="17" t="s">
        <v>70</v>
      </c>
      <c r="T2384" s="20">
        <f>HYPERLINK("https://vnm.spiral.com.vn//uploaded/20210513/1301acad-1c86-4f18-8d40-2908854161c8.JPEG","09:00:58")</f>
      </c>
      <c r="U2384" s="20">
        <f>HYPERLINK("https://vnm.spiral.com.vn//uploaded/20210513/0167330e-e1f5-4a21-b1e1-06a776fc483a.JPEG","10:34:08")</f>
      </c>
      <c r="V2384" s="18">
        <v>0.06469907407407408</v>
      </c>
      <c r="W2384" s="15" t="s">
        <v>12230</v>
      </c>
      <c r="X2384" s="15" t="s">
        <v>12231</v>
      </c>
      <c r="Y2384" s="15" t="s">
        <v>35</v>
      </c>
      <c r="Z2384" s="19">
        <v>0</v>
      </c>
      <c r="AA2384" s="15">
        <v>0</v>
      </c>
      <c r="AB2384" s="15" t="s">
        <v>35</v>
      </c>
    </row>
    <row r="2385">
      <c r="A2385" s="15">
        <v>2381</v>
      </c>
      <c r="B2385" s="15" t="s">
        <v>343</v>
      </c>
      <c r="C2385" s="15" t="s">
        <v>344</v>
      </c>
      <c r="D2385" s="15" t="s">
        <v>1644</v>
      </c>
      <c r="E2385" s="15" t="s">
        <v>35</v>
      </c>
      <c r="F2385" s="15" t="s">
        <v>35</v>
      </c>
      <c r="G2385" s="15" t="s">
        <v>74</v>
      </c>
      <c r="H2385" s="15" t="s">
        <v>12232</v>
      </c>
      <c r="I2385" s="15" t="s">
        <v>12233</v>
      </c>
      <c r="J2385" s="15" t="s">
        <v>12234</v>
      </c>
      <c r="K2385" s="15" t="s">
        <v>584</v>
      </c>
      <c r="L2385" s="15" t="s">
        <v>585</v>
      </c>
      <c r="M2385" s="15" t="s">
        <v>827</v>
      </c>
      <c r="N2385" s="15" t="s">
        <v>828</v>
      </c>
      <c r="O2385" s="15" t="s">
        <v>82</v>
      </c>
      <c r="P2385" s="15" t="s">
        <v>2484</v>
      </c>
      <c r="Q2385" s="15" t="s">
        <v>2485</v>
      </c>
      <c r="R2385" s="16">
        <v>44329</v>
      </c>
      <c r="S2385" s="17" t="s">
        <v>70</v>
      </c>
      <c r="T2385" s="20">
        <f>HYPERLINK("https://vnm.spiral.com.vn//uploaded/20210513/380DD905-BA36-41C1-81EB-D1FEF28114B7.jpg","10:18:27")</f>
      </c>
      <c r="U2385" s="20">
        <f>HYPERLINK("https://vnm.spiral.com.vn//uploaded/20210513/F26E6459-E4AA-4187-ACFA-DDAD9E2CEFB5.jpg","10:33:49")</f>
      </c>
      <c r="V2385" s="18">
        <v>0.010671296296296297</v>
      </c>
      <c r="W2385" s="15" t="s">
        <v>12235</v>
      </c>
      <c r="X2385" s="15" t="s">
        <v>12236</v>
      </c>
      <c r="Y2385" s="15" t="s">
        <v>35</v>
      </c>
      <c r="Z2385" s="19">
        <v>0</v>
      </c>
      <c r="AA2385" s="15">
        <v>0</v>
      </c>
      <c r="AB2385" s="15" t="s">
        <v>35</v>
      </c>
    </row>
    <row r="2386">
      <c r="A2386" s="15">
        <v>2382</v>
      </c>
      <c r="B2386" s="15" t="s">
        <v>343</v>
      </c>
      <c r="C2386" s="15" t="s">
        <v>344</v>
      </c>
      <c r="D2386" s="15" t="s">
        <v>432</v>
      </c>
      <c r="E2386" s="15" t="s">
        <v>116</v>
      </c>
      <c r="F2386" s="15" t="s">
        <v>35</v>
      </c>
      <c r="G2386" s="15" t="s">
        <v>74</v>
      </c>
      <c r="H2386" s="15" t="s">
        <v>12237</v>
      </c>
      <c r="I2386" s="15" t="s">
        <v>12238</v>
      </c>
      <c r="J2386" s="15" t="s">
        <v>12239</v>
      </c>
      <c r="K2386" s="15" t="s">
        <v>1168</v>
      </c>
      <c r="L2386" s="15" t="s">
        <v>1169</v>
      </c>
      <c r="M2386" s="15" t="s">
        <v>1170</v>
      </c>
      <c r="N2386" s="15" t="s">
        <v>1171</v>
      </c>
      <c r="O2386" s="15" t="s">
        <v>82</v>
      </c>
      <c r="P2386" s="15" t="s">
        <v>3799</v>
      </c>
      <c r="Q2386" s="15" t="s">
        <v>3800</v>
      </c>
      <c r="R2386" s="16">
        <v>44329</v>
      </c>
      <c r="S2386" s="17" t="s">
        <v>70</v>
      </c>
      <c r="T2386" s="20">
        <f>HYPERLINK("https://vnm.spiral.com.vn//uploaded/20210513/cbaa124e-a1fc-4735-9780-c8097fc1d5e1.JPEG","08:00:12")</f>
      </c>
      <c r="U2386" s="20">
        <f>HYPERLINK("https://vnm.spiral.com.vn//uploaded/20210513/fdf5ae08-8a77-4f13-935e-1a4bfad47c1c.JPEG","10:32:47")</f>
      </c>
      <c r="V2386" s="18">
        <v>0.10596064814814815</v>
      </c>
      <c r="W2386" s="15" t="s">
        <v>12240</v>
      </c>
      <c r="X2386" s="15" t="s">
        <v>12241</v>
      </c>
      <c r="Y2386" s="15" t="s">
        <v>35</v>
      </c>
      <c r="Z2386" s="19">
        <v>0</v>
      </c>
      <c r="AA2386" s="15">
        <v>0</v>
      </c>
      <c r="AB2386" s="15" t="s">
        <v>35</v>
      </c>
    </row>
    <row r="2387">
      <c r="A2387" s="15">
        <v>2383</v>
      </c>
      <c r="B2387" s="15" t="s">
        <v>61</v>
      </c>
      <c r="C2387" s="15" t="s">
        <v>201</v>
      </c>
      <c r="D2387" s="15" t="s">
        <v>35</v>
      </c>
      <c r="E2387" s="15" t="s">
        <v>35</v>
      </c>
      <c r="F2387" s="15" t="s">
        <v>35</v>
      </c>
      <c r="G2387" s="15" t="s">
        <v>36</v>
      </c>
      <c r="H2387" s="15" t="s">
        <v>12242</v>
      </c>
      <c r="I2387" s="15" t="s">
        <v>12243</v>
      </c>
      <c r="J2387" s="15" t="s">
        <v>12244</v>
      </c>
      <c r="K2387" s="15" t="s">
        <v>40</v>
      </c>
      <c r="L2387" s="15" t="s">
        <v>41</v>
      </c>
      <c r="M2387" s="15" t="s">
        <v>66</v>
      </c>
      <c r="N2387" s="15" t="s">
        <v>67</v>
      </c>
      <c r="O2387" s="15" t="s">
        <v>44</v>
      </c>
      <c r="P2387" s="15" t="s">
        <v>12245</v>
      </c>
      <c r="Q2387" s="15" t="s">
        <v>12246</v>
      </c>
      <c r="R2387" s="16">
        <v>44329</v>
      </c>
      <c r="S2387" s="17" t="s">
        <v>11947</v>
      </c>
      <c r="T2387" s="20">
        <f>HYPERLINK("https://vnm.spiral.com.vn//uploaded/20210513/28ee78a3-4066-43e4-9843-d8874b5af2c1.JPEG","10:32:30")</f>
      </c>
      <c r="U2387" s="18"/>
      <c r="V2387" s="18" t="s">
        <v>35</v>
      </c>
      <c r="W2387" s="15" t="s">
        <v>12247</v>
      </c>
      <c r="X2387" s="15" t="s">
        <v>35</v>
      </c>
      <c r="Y2387" s="15" t="s">
        <v>35</v>
      </c>
      <c r="Z2387" s="19">
        <v>0</v>
      </c>
      <c r="AA2387" s="15">
        <v>0</v>
      </c>
      <c r="AB2387" s="15" t="s">
        <v>35</v>
      </c>
    </row>
    <row r="2388">
      <c r="A2388" s="15">
        <v>2384</v>
      </c>
      <c r="B2388" s="15" t="s">
        <v>87</v>
      </c>
      <c r="C2388" s="15" t="s">
        <v>88</v>
      </c>
      <c r="D2388" s="15" t="s">
        <v>135</v>
      </c>
      <c r="E2388" s="15" t="s">
        <v>116</v>
      </c>
      <c r="F2388" s="15" t="s">
        <v>35</v>
      </c>
      <c r="G2388" s="15" t="s">
        <v>74</v>
      </c>
      <c r="H2388" s="15" t="s">
        <v>12248</v>
      </c>
      <c r="I2388" s="15" t="s">
        <v>12249</v>
      </c>
      <c r="J2388" s="15" t="s">
        <v>12250</v>
      </c>
      <c r="K2388" s="15" t="s">
        <v>139</v>
      </c>
      <c r="L2388" s="15" t="s">
        <v>140</v>
      </c>
      <c r="M2388" s="15" t="s">
        <v>141</v>
      </c>
      <c r="N2388" s="15" t="s">
        <v>142</v>
      </c>
      <c r="O2388" s="15" t="s">
        <v>82</v>
      </c>
      <c r="P2388" s="15" t="s">
        <v>1741</v>
      </c>
      <c r="Q2388" s="15" t="s">
        <v>1742</v>
      </c>
      <c r="R2388" s="16">
        <v>44329</v>
      </c>
      <c r="S2388" s="17" t="s">
        <v>70</v>
      </c>
      <c r="T2388" s="20">
        <f>HYPERLINK("https://vnm.spiral.com.vn//uploaded/20210513/3E0799BD-788A-4D3C-B679-13B83099BF12.jpg","09:38:00")</f>
      </c>
      <c r="U2388" s="20">
        <f>HYPERLINK("https://vnm.spiral.com.vn//uploaded/20210513/B45724BC-8F3B-47F5-AF5B-B71C782916FC.jpg","10:31:41")</f>
      </c>
      <c r="V2388" s="18">
        <v>0.037280092592592594</v>
      </c>
      <c r="W2388" s="15" t="s">
        <v>12251</v>
      </c>
      <c r="X2388" s="15" t="s">
        <v>12251</v>
      </c>
      <c r="Y2388" s="15" t="s">
        <v>35</v>
      </c>
      <c r="Z2388" s="19">
        <v>0</v>
      </c>
      <c r="AA2388" s="15">
        <v>0</v>
      </c>
      <c r="AB2388" s="15" t="s">
        <v>35</v>
      </c>
    </row>
    <row r="2389">
      <c r="A2389" s="15">
        <v>2385</v>
      </c>
      <c r="B2389" s="15" t="s">
        <v>87</v>
      </c>
      <c r="C2389" s="15" t="s">
        <v>88</v>
      </c>
      <c r="D2389" s="15" t="s">
        <v>610</v>
      </c>
      <c r="E2389" s="15" t="s">
        <v>90</v>
      </c>
      <c r="F2389" s="15" t="s">
        <v>35</v>
      </c>
      <c r="G2389" s="15" t="s">
        <v>74</v>
      </c>
      <c r="H2389" s="15" t="s">
        <v>12252</v>
      </c>
      <c r="I2389" s="15" t="s">
        <v>12253</v>
      </c>
      <c r="J2389" s="15" t="s">
        <v>12254</v>
      </c>
      <c r="K2389" s="15" t="s">
        <v>614</v>
      </c>
      <c r="L2389" s="15" t="s">
        <v>615</v>
      </c>
      <c r="M2389" s="15" t="s">
        <v>616</v>
      </c>
      <c r="N2389" s="15" t="s">
        <v>617</v>
      </c>
      <c r="O2389" s="15" t="s">
        <v>82</v>
      </c>
      <c r="P2389" s="15" t="s">
        <v>1251</v>
      </c>
      <c r="Q2389" s="15" t="s">
        <v>1252</v>
      </c>
      <c r="R2389" s="16">
        <v>44329</v>
      </c>
      <c r="S2389" s="17" t="s">
        <v>70</v>
      </c>
      <c r="T2389" s="20">
        <f>HYPERLINK("https://vnm.spiral.com.vn//uploaded/20210513/41A6C52F-B405-4891-818A-DDBFFD46CD1C.jpg","10:12:20")</f>
      </c>
      <c r="U2389" s="20">
        <f>HYPERLINK("https://vnm.spiral.com.vn//uploaded/20210513/B6866379-9BE3-40D9-8034-2FE16FE37337.jpg","10:31:39")</f>
      </c>
      <c r="V2389" s="18">
        <v>0.013414351851851853</v>
      </c>
      <c r="W2389" s="15" t="s">
        <v>12255</v>
      </c>
      <c r="X2389" s="15" t="s">
        <v>12256</v>
      </c>
      <c r="Y2389" s="15" t="s">
        <v>35</v>
      </c>
      <c r="Z2389" s="19">
        <v>0</v>
      </c>
      <c r="AA2389" s="15">
        <v>0</v>
      </c>
      <c r="AB2389" s="15" t="s">
        <v>35</v>
      </c>
    </row>
    <row r="2390">
      <c r="A2390" s="15">
        <v>2386</v>
      </c>
      <c r="B2390" s="15" t="s">
        <v>87</v>
      </c>
      <c r="C2390" s="15" t="s">
        <v>88</v>
      </c>
      <c r="D2390" s="15" t="s">
        <v>35</v>
      </c>
      <c r="E2390" s="15" t="s">
        <v>35</v>
      </c>
      <c r="F2390" s="15" t="s">
        <v>1191</v>
      </c>
      <c r="G2390" s="15" t="s">
        <v>36</v>
      </c>
      <c r="H2390" s="15" t="s">
        <v>2681</v>
      </c>
      <c r="I2390" s="15" t="s">
        <v>2682</v>
      </c>
      <c r="J2390" s="15" t="s">
        <v>2683</v>
      </c>
      <c r="K2390" s="15" t="s">
        <v>40</v>
      </c>
      <c r="L2390" s="15" t="s">
        <v>41</v>
      </c>
      <c r="M2390" s="15" t="s">
        <v>1195</v>
      </c>
      <c r="N2390" s="15" t="s">
        <v>1196</v>
      </c>
      <c r="O2390" s="15" t="s">
        <v>44</v>
      </c>
      <c r="P2390" s="15" t="s">
        <v>2684</v>
      </c>
      <c r="Q2390" s="15" t="s">
        <v>2685</v>
      </c>
      <c r="R2390" s="16">
        <v>44329</v>
      </c>
      <c r="S2390" s="17" t="s">
        <v>12257</v>
      </c>
      <c r="T2390" s="20">
        <f>HYPERLINK("https://vnm.spiral.com.vn//uploaded/20210513/65016E85-BEAD-47B7-B1E9-9625B8064036.jpg","06:26:29")</f>
      </c>
      <c r="U2390" s="20">
        <f>HYPERLINK("https://vnm.spiral.com.vn//uploaded/20210513/CB8D6EF8-5CB1-4A92-A899-C1C9449C98EC.jpg","10:31:32")</f>
      </c>
      <c r="V2390" s="18">
        <v>0.17017361111111112</v>
      </c>
      <c r="W2390" s="15" t="s">
        <v>12258</v>
      </c>
      <c r="X2390" s="15" t="s">
        <v>12259</v>
      </c>
      <c r="Y2390" s="15" t="s">
        <v>35</v>
      </c>
      <c r="Z2390" s="19">
        <v>0</v>
      </c>
      <c r="AA2390" s="15">
        <v>0</v>
      </c>
      <c r="AB2390" s="15" t="s">
        <v>35</v>
      </c>
    </row>
    <row r="2391">
      <c r="A2391" s="15">
        <v>2387</v>
      </c>
      <c r="B2391" s="15" t="s">
        <v>343</v>
      </c>
      <c r="C2391" s="15" t="s">
        <v>344</v>
      </c>
      <c r="D2391" s="15" t="s">
        <v>432</v>
      </c>
      <c r="E2391" s="15" t="s">
        <v>116</v>
      </c>
      <c r="F2391" s="15" t="s">
        <v>35</v>
      </c>
      <c r="G2391" s="15" t="s">
        <v>74</v>
      </c>
      <c r="H2391" s="15" t="s">
        <v>12260</v>
      </c>
      <c r="I2391" s="15" t="s">
        <v>12261</v>
      </c>
      <c r="J2391" s="15" t="s">
        <v>12262</v>
      </c>
      <c r="K2391" s="15" t="s">
        <v>512</v>
      </c>
      <c r="L2391" s="15" t="s">
        <v>513</v>
      </c>
      <c r="M2391" s="15" t="s">
        <v>514</v>
      </c>
      <c r="N2391" s="15" t="s">
        <v>515</v>
      </c>
      <c r="O2391" s="15" t="s">
        <v>82</v>
      </c>
      <c r="P2391" s="15" t="s">
        <v>1047</v>
      </c>
      <c r="Q2391" s="15" t="s">
        <v>1048</v>
      </c>
      <c r="R2391" s="16">
        <v>44329</v>
      </c>
      <c r="S2391" s="17" t="s">
        <v>70</v>
      </c>
      <c r="T2391" s="20">
        <f>HYPERLINK("https://vnm.spiral.com.vn//uploaded/20210513/a69dbea4-ad33-4e94-bbbb-20d7b0f55ba1.JPEG","08:52:50")</f>
      </c>
      <c r="U2391" s="20">
        <f>HYPERLINK("https://vnm.spiral.com.vn//uploaded/20210513/9154750b-92c5-4a3d-9308-ff57b1da9db5.JPEG","10:31:27")</f>
      </c>
      <c r="V2391" s="18">
        <v>0.06848379629629629</v>
      </c>
      <c r="W2391" s="15" t="s">
        <v>12263</v>
      </c>
      <c r="X2391" s="15" t="s">
        <v>12264</v>
      </c>
      <c r="Y2391" s="15" t="s">
        <v>35</v>
      </c>
      <c r="Z2391" s="19">
        <v>0</v>
      </c>
      <c r="AA2391" s="15">
        <v>0</v>
      </c>
      <c r="AB2391" s="15" t="s">
        <v>35</v>
      </c>
    </row>
    <row r="2392">
      <c r="A2392" s="15">
        <v>2388</v>
      </c>
      <c r="B2392" s="15" t="s">
        <v>87</v>
      </c>
      <c r="C2392" s="15" t="s">
        <v>88</v>
      </c>
      <c r="D2392" s="15" t="s">
        <v>357</v>
      </c>
      <c r="E2392" s="15" t="s">
        <v>90</v>
      </c>
      <c r="F2392" s="15" t="s">
        <v>35</v>
      </c>
      <c r="G2392" s="15" t="s">
        <v>74</v>
      </c>
      <c r="H2392" s="15" t="s">
        <v>12265</v>
      </c>
      <c r="I2392" s="15" t="s">
        <v>12266</v>
      </c>
      <c r="J2392" s="15" t="s">
        <v>12267</v>
      </c>
      <c r="K2392" s="15" t="s">
        <v>94</v>
      </c>
      <c r="L2392" s="15" t="s">
        <v>95</v>
      </c>
      <c r="M2392" s="15" t="s">
        <v>1570</v>
      </c>
      <c r="N2392" s="15" t="s">
        <v>1571</v>
      </c>
      <c r="O2392" s="15" t="s">
        <v>98</v>
      </c>
      <c r="P2392" s="15" t="s">
        <v>1572</v>
      </c>
      <c r="Q2392" s="15" t="s">
        <v>1573</v>
      </c>
      <c r="R2392" s="16">
        <v>44329</v>
      </c>
      <c r="S2392" s="17" t="s">
        <v>70</v>
      </c>
      <c r="T2392" s="20">
        <f>HYPERLINK("https://vnm.spiral.com.vn//uploaded/20210513/a8a41e96-17cc-40e4-a4de-7c9d75cc41d6.JPEG","09:48:46")</f>
      </c>
      <c r="U2392" s="20">
        <f>HYPERLINK("https://vnm.spiral.com.vn//uploaded/20210513/ef7de0d0-8bb8-4b65-ab19-bbad86b476ca.JPEG","10:31:07")</f>
      </c>
      <c r="V2392" s="18">
        <v>0.029409722222222223</v>
      </c>
      <c r="W2392" s="15" t="s">
        <v>12268</v>
      </c>
      <c r="X2392" s="15" t="s">
        <v>12269</v>
      </c>
      <c r="Y2392" s="15" t="s">
        <v>35</v>
      </c>
      <c r="Z2392" s="19">
        <v>0</v>
      </c>
      <c r="AA2392" s="15">
        <v>0</v>
      </c>
      <c r="AB2392" s="15" t="s">
        <v>35</v>
      </c>
    </row>
    <row r="2393">
      <c r="A2393" s="15">
        <v>2389</v>
      </c>
      <c r="B2393" s="15" t="s">
        <v>343</v>
      </c>
      <c r="C2393" s="15" t="s">
        <v>344</v>
      </c>
      <c r="D2393" s="15" t="s">
        <v>823</v>
      </c>
      <c r="E2393" s="15" t="s">
        <v>116</v>
      </c>
      <c r="F2393" s="15" t="s">
        <v>35</v>
      </c>
      <c r="G2393" s="15" t="s">
        <v>74</v>
      </c>
      <c r="H2393" s="15" t="s">
        <v>12270</v>
      </c>
      <c r="I2393" s="15" t="s">
        <v>12271</v>
      </c>
      <c r="J2393" s="15" t="s">
        <v>12272</v>
      </c>
      <c r="K2393" s="15" t="s">
        <v>540</v>
      </c>
      <c r="L2393" s="15" t="s">
        <v>541</v>
      </c>
      <c r="M2393" s="15" t="s">
        <v>584</v>
      </c>
      <c r="N2393" s="15" t="s">
        <v>585</v>
      </c>
      <c r="O2393" s="15" t="s">
        <v>98</v>
      </c>
      <c r="P2393" s="15" t="s">
        <v>827</v>
      </c>
      <c r="Q2393" s="15" t="s">
        <v>828</v>
      </c>
      <c r="R2393" s="16">
        <v>44329</v>
      </c>
      <c r="S2393" s="17" t="s">
        <v>70</v>
      </c>
      <c r="T2393" s="20">
        <f>HYPERLINK("https://vnm.spiral.com.vn//uploaded/20210513/BFDA5EBF-3ED3-4BCB-9B1D-DC4B39A375B4.jpg","09:34:35")</f>
      </c>
      <c r="U2393" s="20">
        <f>HYPERLINK("https://vnm.spiral.com.vn//uploaded/20210513/08794F53-5663-452B-9547-40C0D8157EE8.jpg","10:29:35")</f>
      </c>
      <c r="V2393" s="18">
        <v>0.03819444444444445</v>
      </c>
      <c r="W2393" s="15" t="s">
        <v>12273</v>
      </c>
      <c r="X2393" s="15" t="s">
        <v>12273</v>
      </c>
      <c r="Y2393" s="15" t="s">
        <v>35</v>
      </c>
      <c r="Z2393" s="19">
        <v>0</v>
      </c>
      <c r="AA2393" s="15">
        <v>0</v>
      </c>
      <c r="AB2393" s="15" t="s">
        <v>35</v>
      </c>
    </row>
    <row r="2394">
      <c r="A2394" s="15">
        <v>2390</v>
      </c>
      <c r="B2394" s="15" t="s">
        <v>87</v>
      </c>
      <c r="C2394" s="15" t="s">
        <v>88</v>
      </c>
      <c r="D2394" s="15" t="s">
        <v>148</v>
      </c>
      <c r="E2394" s="15" t="s">
        <v>90</v>
      </c>
      <c r="F2394" s="15" t="s">
        <v>35</v>
      </c>
      <c r="G2394" s="15" t="s">
        <v>74</v>
      </c>
      <c r="H2394" s="15" t="s">
        <v>3771</v>
      </c>
      <c r="I2394" s="15" t="s">
        <v>3772</v>
      </c>
      <c r="J2394" s="15" t="s">
        <v>3773</v>
      </c>
      <c r="K2394" s="15" t="s">
        <v>94</v>
      </c>
      <c r="L2394" s="15" t="s">
        <v>95</v>
      </c>
      <c r="M2394" s="15" t="s">
        <v>1204</v>
      </c>
      <c r="N2394" s="15" t="s">
        <v>1205</v>
      </c>
      <c r="O2394" s="15" t="s">
        <v>98</v>
      </c>
      <c r="P2394" s="15" t="s">
        <v>3774</v>
      </c>
      <c r="Q2394" s="15" t="s">
        <v>3775</v>
      </c>
      <c r="R2394" s="16">
        <v>44329</v>
      </c>
      <c r="S2394" s="17" t="s">
        <v>35</v>
      </c>
      <c r="T2394" s="20">
        <f>HYPERLINK("https://vnm.spiral.com.vn//uploaded/20210513/d0361b34-9ba6-408f-9456-f29b302ea1b8.jpg","07:50:11")</f>
      </c>
      <c r="U2394" s="20">
        <f>HYPERLINK("https://vnm.spiral.com.vn//uploaded/20210513/c99475ae-3a10-4855-9e56-4810724b3413.jpg","10:29:15")</f>
      </c>
      <c r="V2394" s="18">
        <v>0.11046296296296296</v>
      </c>
      <c r="W2394" s="15" t="s">
        <v>12274</v>
      </c>
      <c r="X2394" s="15" t="s">
        <v>12275</v>
      </c>
      <c r="Y2394" s="15" t="s">
        <v>35</v>
      </c>
      <c r="Z2394" s="19">
        <v>0</v>
      </c>
      <c r="AA2394" s="15">
        <v>0</v>
      </c>
      <c r="AB2394" s="15" t="s">
        <v>35</v>
      </c>
    </row>
    <row r="2395">
      <c r="A2395" s="15">
        <v>2391</v>
      </c>
      <c r="B2395" s="15" t="s">
        <v>343</v>
      </c>
      <c r="C2395" s="15" t="s">
        <v>344</v>
      </c>
      <c r="D2395" s="15" t="s">
        <v>1644</v>
      </c>
      <c r="E2395" s="15" t="s">
        <v>35</v>
      </c>
      <c r="F2395" s="15" t="s">
        <v>35</v>
      </c>
      <c r="G2395" s="15" t="s">
        <v>74</v>
      </c>
      <c r="H2395" s="15" t="s">
        <v>12276</v>
      </c>
      <c r="I2395" s="15" t="s">
        <v>12277</v>
      </c>
      <c r="J2395" s="15" t="s">
        <v>12278</v>
      </c>
      <c r="K2395" s="15" t="s">
        <v>584</v>
      </c>
      <c r="L2395" s="15" t="s">
        <v>585</v>
      </c>
      <c r="M2395" s="15" t="s">
        <v>827</v>
      </c>
      <c r="N2395" s="15" t="s">
        <v>828</v>
      </c>
      <c r="O2395" s="15" t="s">
        <v>82</v>
      </c>
      <c r="P2395" s="15" t="s">
        <v>2471</v>
      </c>
      <c r="Q2395" s="15" t="s">
        <v>2472</v>
      </c>
      <c r="R2395" s="16">
        <v>44329</v>
      </c>
      <c r="S2395" s="17" t="s">
        <v>70</v>
      </c>
      <c r="T2395" s="20">
        <f>HYPERLINK("https://vnm.spiral.com.vn//uploaded/20210513/0E78EFB3-FA31-416F-BB22-95EF824FFCAB.jpg","10:11:37")</f>
      </c>
      <c r="U2395" s="20">
        <f>HYPERLINK("https://vnm.spiral.com.vn//uploaded/20210513/7D2F2B05-91E4-4C01-8DA2-55CE4B9E79C6.jpg","10:29:06")</f>
      </c>
      <c r="V2395" s="18">
        <v>0.012141203703703704</v>
      </c>
      <c r="W2395" s="15" t="s">
        <v>12279</v>
      </c>
      <c r="X2395" s="15" t="s">
        <v>12280</v>
      </c>
      <c r="Y2395" s="15" t="s">
        <v>35</v>
      </c>
      <c r="Z2395" s="19">
        <v>0</v>
      </c>
      <c r="AA2395" s="15">
        <v>0</v>
      </c>
      <c r="AB2395" s="15" t="s">
        <v>35</v>
      </c>
    </row>
    <row r="2396">
      <c r="A2396" s="15">
        <v>2392</v>
      </c>
      <c r="B2396" s="15" t="s">
        <v>49</v>
      </c>
      <c r="C2396" s="15" t="s">
        <v>162</v>
      </c>
      <c r="D2396" s="15" t="s">
        <v>35</v>
      </c>
      <c r="E2396" s="15" t="s">
        <v>35</v>
      </c>
      <c r="F2396" s="15" t="s">
        <v>35</v>
      </c>
      <c r="G2396" s="15" t="s">
        <v>35</v>
      </c>
      <c r="H2396" s="15" t="s">
        <v>7800</v>
      </c>
      <c r="I2396" s="15" t="s">
        <v>7801</v>
      </c>
      <c r="J2396" s="15" t="s">
        <v>7802</v>
      </c>
      <c r="K2396" s="15" t="s">
        <v>40</v>
      </c>
      <c r="L2396" s="15" t="s">
        <v>41</v>
      </c>
      <c r="M2396" s="15" t="s">
        <v>55</v>
      </c>
      <c r="N2396" s="15" t="s">
        <v>56</v>
      </c>
      <c r="O2396" s="15" t="s">
        <v>44</v>
      </c>
      <c r="P2396" s="15" t="s">
        <v>7803</v>
      </c>
      <c r="Q2396" s="15" t="s">
        <v>7804</v>
      </c>
      <c r="R2396" s="16">
        <v>44329</v>
      </c>
      <c r="S2396" s="17" t="s">
        <v>12257</v>
      </c>
      <c r="T2396" s="20">
        <f>HYPERLINK("https://vnm.spiral.com.vn//uploaded/20210513/5bd519c0-84e6-4e0d-8370-a4d219b443c3.JPEG","06:33:46")</f>
      </c>
      <c r="U2396" s="20">
        <f>HYPERLINK("https://vnm.spiral.com.vn//uploaded/20210513/605331a4-f355-41be-9a0c-9e6fd673a17a.JPEG","10:28:56")</f>
      </c>
      <c r="V2396" s="18">
        <v>0.1633101851851852</v>
      </c>
      <c r="W2396" s="15" t="s">
        <v>12281</v>
      </c>
      <c r="X2396" s="15" t="s">
        <v>12282</v>
      </c>
      <c r="Y2396" s="15" t="s">
        <v>35</v>
      </c>
      <c r="Z2396" s="19">
        <v>0</v>
      </c>
      <c r="AA2396" s="15">
        <v>0</v>
      </c>
      <c r="AB2396" s="15" t="s">
        <v>35</v>
      </c>
    </row>
    <row r="2397">
      <c r="A2397" s="15">
        <v>2393</v>
      </c>
      <c r="B2397" s="15" t="s">
        <v>343</v>
      </c>
      <c r="C2397" s="15" t="s">
        <v>344</v>
      </c>
      <c r="D2397" s="15" t="s">
        <v>432</v>
      </c>
      <c r="E2397" s="15" t="s">
        <v>116</v>
      </c>
      <c r="F2397" s="15" t="s">
        <v>35</v>
      </c>
      <c r="G2397" s="15" t="s">
        <v>74</v>
      </c>
      <c r="H2397" s="15" t="s">
        <v>12283</v>
      </c>
      <c r="I2397" s="15" t="s">
        <v>12284</v>
      </c>
      <c r="J2397" s="15" t="s">
        <v>12285</v>
      </c>
      <c r="K2397" s="15" t="s">
        <v>1168</v>
      </c>
      <c r="L2397" s="15" t="s">
        <v>1169</v>
      </c>
      <c r="M2397" s="15" t="s">
        <v>1170</v>
      </c>
      <c r="N2397" s="15" t="s">
        <v>1171</v>
      </c>
      <c r="O2397" s="15" t="s">
        <v>82</v>
      </c>
      <c r="P2397" s="15" t="s">
        <v>4370</v>
      </c>
      <c r="Q2397" s="15" t="s">
        <v>4371</v>
      </c>
      <c r="R2397" s="16">
        <v>44329</v>
      </c>
      <c r="S2397" s="17" t="s">
        <v>70</v>
      </c>
      <c r="T2397" s="20">
        <f>HYPERLINK("https://vnm.spiral.com.vn//uploaded/20210513/C3F8BB12-A4E6-47B3-B09D-6C3470548B0F.jpg","08:28:33")</f>
      </c>
      <c r="U2397" s="20">
        <f>HYPERLINK("https://vnm.spiral.com.vn//uploaded/20210513/14FDF037-315F-4A56-A7DE-8A59F68A7420.jpg","10:28:45")</f>
      </c>
      <c r="V2397" s="18">
        <v>0.08347222222222223</v>
      </c>
      <c r="W2397" s="15" t="s">
        <v>12286</v>
      </c>
      <c r="X2397" s="15" t="s">
        <v>12287</v>
      </c>
      <c r="Y2397" s="15" t="s">
        <v>35</v>
      </c>
      <c r="Z2397" s="19">
        <v>0</v>
      </c>
      <c r="AA2397" s="15">
        <v>0</v>
      </c>
      <c r="AB2397" s="15" t="s">
        <v>35</v>
      </c>
    </row>
    <row r="2398">
      <c r="A2398" s="15">
        <v>2394</v>
      </c>
      <c r="B2398" s="15" t="s">
        <v>87</v>
      </c>
      <c r="C2398" s="15" t="s">
        <v>88</v>
      </c>
      <c r="D2398" s="15" t="s">
        <v>1910</v>
      </c>
      <c r="E2398" s="15" t="s">
        <v>1910</v>
      </c>
      <c r="F2398" s="15" t="s">
        <v>35</v>
      </c>
      <c r="G2398" s="15" t="s">
        <v>74</v>
      </c>
      <c r="H2398" s="15" t="s">
        <v>12288</v>
      </c>
      <c r="I2398" s="15" t="s">
        <v>12289</v>
      </c>
      <c r="J2398" s="15" t="s">
        <v>12290</v>
      </c>
      <c r="K2398" s="15" t="s">
        <v>888</v>
      </c>
      <c r="L2398" s="15" t="s">
        <v>889</v>
      </c>
      <c r="M2398" s="15" t="s">
        <v>924</v>
      </c>
      <c r="N2398" s="15" t="s">
        <v>925</v>
      </c>
      <c r="O2398" s="15" t="s">
        <v>82</v>
      </c>
      <c r="P2398" s="15" t="s">
        <v>1987</v>
      </c>
      <c r="Q2398" s="15" t="s">
        <v>1988</v>
      </c>
      <c r="R2398" s="16">
        <v>44329</v>
      </c>
      <c r="S2398" s="17" t="s">
        <v>70</v>
      </c>
      <c r="T2398" s="20">
        <f>HYPERLINK("https://vnm.spiral.com.vn//uploaded/20210513/12b0582c-4c72-48d1-9c23-721b918a8805.JPEG","09:25:23")</f>
      </c>
      <c r="U2398" s="20">
        <f>HYPERLINK("https://vnm.spiral.com.vn//uploaded/20210513/7156ef80-ad6d-4ca9-aea1-9e4a8a7a17a0.JPEG","10:28:41")</f>
      </c>
      <c r="V2398" s="18">
        <v>0.043958333333333335</v>
      </c>
      <c r="W2398" s="15" t="s">
        <v>12291</v>
      </c>
      <c r="X2398" s="15" t="s">
        <v>12292</v>
      </c>
      <c r="Y2398" s="15" t="s">
        <v>35</v>
      </c>
      <c r="Z2398" s="19">
        <v>0</v>
      </c>
      <c r="AA2398" s="15">
        <v>0</v>
      </c>
      <c r="AB2398" s="15" t="s">
        <v>35</v>
      </c>
    </row>
    <row r="2399">
      <c r="A2399" s="15">
        <v>2395</v>
      </c>
      <c r="B2399" s="15" t="s">
        <v>87</v>
      </c>
      <c r="C2399" s="15" t="s">
        <v>88</v>
      </c>
      <c r="D2399" s="15" t="s">
        <v>35</v>
      </c>
      <c r="E2399" s="15" t="s">
        <v>35</v>
      </c>
      <c r="F2399" s="15" t="s">
        <v>35</v>
      </c>
      <c r="G2399" s="15" t="s">
        <v>74</v>
      </c>
      <c r="H2399" s="15" t="s">
        <v>12293</v>
      </c>
      <c r="I2399" s="15" t="s">
        <v>12294</v>
      </c>
      <c r="J2399" s="15" t="s">
        <v>12295</v>
      </c>
      <c r="K2399" s="15" t="s">
        <v>888</v>
      </c>
      <c r="L2399" s="15" t="s">
        <v>889</v>
      </c>
      <c r="M2399" s="15" t="s">
        <v>924</v>
      </c>
      <c r="N2399" s="15" t="s">
        <v>925</v>
      </c>
      <c r="O2399" s="15" t="s">
        <v>82</v>
      </c>
      <c r="P2399" s="15" t="s">
        <v>1460</v>
      </c>
      <c r="Q2399" s="15" t="s">
        <v>1461</v>
      </c>
      <c r="R2399" s="16">
        <v>44329</v>
      </c>
      <c r="S2399" s="17" t="s">
        <v>70</v>
      </c>
      <c r="T2399" s="20">
        <f>HYPERLINK("https://vnm.spiral.com.vn//uploaded/20210513/CCFA49A1-4889-4D9C-AFB5-D2507898B85A.jpg","10:07:28")</f>
      </c>
      <c r="U2399" s="20">
        <f>HYPERLINK("https://vnm.spiral.com.vn//uploaded/20210513/481C734F-8A05-4A38-AD55-4AD374556371.jpg","10:28:21")</f>
      </c>
      <c r="V2399" s="18">
        <v>0.014502314814814815</v>
      </c>
      <c r="W2399" s="15" t="s">
        <v>12296</v>
      </c>
      <c r="X2399" s="15" t="s">
        <v>12297</v>
      </c>
      <c r="Y2399" s="15" t="s">
        <v>35</v>
      </c>
      <c r="Z2399" s="19">
        <v>0</v>
      </c>
      <c r="AA2399" s="15">
        <v>0</v>
      </c>
      <c r="AB2399" s="15" t="s">
        <v>35</v>
      </c>
    </row>
    <row r="2400">
      <c r="A2400" s="15">
        <v>2396</v>
      </c>
      <c r="B2400" s="15" t="s">
        <v>87</v>
      </c>
      <c r="C2400" s="15" t="s">
        <v>88</v>
      </c>
      <c r="D2400" s="15" t="s">
        <v>610</v>
      </c>
      <c r="E2400" s="15" t="s">
        <v>90</v>
      </c>
      <c r="F2400" s="15" t="s">
        <v>35</v>
      </c>
      <c r="G2400" s="15" t="s">
        <v>74</v>
      </c>
      <c r="H2400" s="15" t="s">
        <v>12298</v>
      </c>
      <c r="I2400" s="15" t="s">
        <v>12299</v>
      </c>
      <c r="J2400" s="15" t="s">
        <v>12300</v>
      </c>
      <c r="K2400" s="15" t="s">
        <v>614</v>
      </c>
      <c r="L2400" s="15" t="s">
        <v>615</v>
      </c>
      <c r="M2400" s="15" t="s">
        <v>616</v>
      </c>
      <c r="N2400" s="15" t="s">
        <v>617</v>
      </c>
      <c r="O2400" s="15" t="s">
        <v>82</v>
      </c>
      <c r="P2400" s="15" t="s">
        <v>618</v>
      </c>
      <c r="Q2400" s="15" t="s">
        <v>619</v>
      </c>
      <c r="R2400" s="16">
        <v>44329</v>
      </c>
      <c r="S2400" s="17" t="s">
        <v>70</v>
      </c>
      <c r="T2400" s="20">
        <f>HYPERLINK("https://vnm.spiral.com.vn//uploaded/20210513/DEE7EF6E-C379-48DE-9F9F-BFD3361AA6E1.jpg","10:12:59")</f>
      </c>
      <c r="U2400" s="20">
        <f>HYPERLINK("https://vnm.spiral.com.vn//uploaded/20210513/20B7A758-7464-4958-8622-15B8F97BF784.jpg","10:28:14")</f>
      </c>
      <c r="V2400" s="18">
        <v>0.010590277777777778</v>
      </c>
      <c r="W2400" s="15" t="s">
        <v>12301</v>
      </c>
      <c r="X2400" s="15" t="s">
        <v>12302</v>
      </c>
      <c r="Y2400" s="15" t="s">
        <v>35</v>
      </c>
      <c r="Z2400" s="19">
        <v>0</v>
      </c>
      <c r="AA2400" s="15">
        <v>0</v>
      </c>
      <c r="AB2400" s="15" t="s">
        <v>35</v>
      </c>
    </row>
    <row r="2401">
      <c r="A2401" s="15">
        <v>2397</v>
      </c>
      <c r="B2401" s="15" t="s">
        <v>87</v>
      </c>
      <c r="C2401" s="15" t="s">
        <v>88</v>
      </c>
      <c r="D2401" s="15" t="s">
        <v>357</v>
      </c>
      <c r="E2401" s="15" t="s">
        <v>90</v>
      </c>
      <c r="F2401" s="15" t="s">
        <v>35</v>
      </c>
      <c r="G2401" s="15" t="s">
        <v>74</v>
      </c>
      <c r="H2401" s="15" t="s">
        <v>12303</v>
      </c>
      <c r="I2401" s="15" t="s">
        <v>12304</v>
      </c>
      <c r="J2401" s="15" t="s">
        <v>12305</v>
      </c>
      <c r="K2401" s="15" t="s">
        <v>1570</v>
      </c>
      <c r="L2401" s="15" t="s">
        <v>1571</v>
      </c>
      <c r="M2401" s="15" t="s">
        <v>2024</v>
      </c>
      <c r="N2401" s="15" t="s">
        <v>2025</v>
      </c>
      <c r="O2401" s="15" t="s">
        <v>82</v>
      </c>
      <c r="P2401" s="15" t="s">
        <v>2026</v>
      </c>
      <c r="Q2401" s="15" t="s">
        <v>2027</v>
      </c>
      <c r="R2401" s="16">
        <v>44329</v>
      </c>
      <c r="S2401" s="17" t="s">
        <v>70</v>
      </c>
      <c r="T2401" s="20">
        <f>HYPERLINK("https://vnm.spiral.com.vn//uploaded/20210513/984d501f-9147-4b8b-a6d8-bf87ea8b3b26.JPEG","09:49:52")</f>
      </c>
      <c r="U2401" s="20">
        <f>HYPERLINK("https://vnm.spiral.com.vn//uploaded/20210513/04f22887-f872-4a67-8a3c-67e700491b0b.JPEG","10:27:36")</f>
      </c>
      <c r="V2401" s="18">
        <v>0.026203703703703705</v>
      </c>
      <c r="W2401" s="15" t="s">
        <v>12306</v>
      </c>
      <c r="X2401" s="15" t="s">
        <v>12307</v>
      </c>
      <c r="Y2401" s="15" t="s">
        <v>35</v>
      </c>
      <c r="Z2401" s="19">
        <v>0</v>
      </c>
      <c r="AA2401" s="15">
        <v>0</v>
      </c>
      <c r="AB2401" s="15" t="s">
        <v>35</v>
      </c>
    </row>
    <row r="2402">
      <c r="A2402" s="15">
        <v>2398</v>
      </c>
      <c r="B2402" s="15" t="s">
        <v>343</v>
      </c>
      <c r="C2402" s="15" t="s">
        <v>344</v>
      </c>
      <c r="D2402" s="15" t="s">
        <v>432</v>
      </c>
      <c r="E2402" s="15" t="s">
        <v>116</v>
      </c>
      <c r="F2402" s="15" t="s">
        <v>35</v>
      </c>
      <c r="G2402" s="15" t="s">
        <v>74</v>
      </c>
      <c r="H2402" s="15" t="s">
        <v>12308</v>
      </c>
      <c r="I2402" s="15" t="s">
        <v>12309</v>
      </c>
      <c r="J2402" s="15" t="s">
        <v>12310</v>
      </c>
      <c r="K2402" s="15" t="s">
        <v>1168</v>
      </c>
      <c r="L2402" s="15" t="s">
        <v>1169</v>
      </c>
      <c r="M2402" s="15" t="s">
        <v>1170</v>
      </c>
      <c r="N2402" s="15" t="s">
        <v>1171</v>
      </c>
      <c r="O2402" s="15" t="s">
        <v>82</v>
      </c>
      <c r="P2402" s="15" t="s">
        <v>1172</v>
      </c>
      <c r="Q2402" s="15" t="s">
        <v>1173</v>
      </c>
      <c r="R2402" s="16">
        <v>44329</v>
      </c>
      <c r="S2402" s="17" t="s">
        <v>70</v>
      </c>
      <c r="T2402" s="20">
        <f>HYPERLINK("https://vnm.spiral.com.vn//uploaded/20210513/8021fecf-1954-4cde-97bb-07c9740c19f7.JPEG","10:01:13")</f>
      </c>
      <c r="U2402" s="20">
        <f>HYPERLINK("https://vnm.spiral.com.vn//uploaded/20210513/daa473a1-1f52-4b70-8cce-aeddad19894c.JPEG","10:26:56")</f>
      </c>
      <c r="V2402" s="18">
        <v>0.017858796296296296</v>
      </c>
      <c r="W2402" s="15" t="s">
        <v>12311</v>
      </c>
      <c r="X2402" s="15" t="s">
        <v>12312</v>
      </c>
      <c r="Y2402" s="15" t="s">
        <v>35</v>
      </c>
      <c r="Z2402" s="19">
        <v>0</v>
      </c>
      <c r="AA2402" s="15">
        <v>0</v>
      </c>
      <c r="AB2402" s="15" t="s">
        <v>35</v>
      </c>
    </row>
    <row r="2403">
      <c r="A2403" s="15">
        <v>2399</v>
      </c>
      <c r="B2403" s="15" t="s">
        <v>343</v>
      </c>
      <c r="C2403" s="15" t="s">
        <v>344</v>
      </c>
      <c r="D2403" s="15" t="s">
        <v>432</v>
      </c>
      <c r="E2403" s="15" t="s">
        <v>116</v>
      </c>
      <c r="F2403" s="15" t="s">
        <v>35</v>
      </c>
      <c r="G2403" s="15" t="s">
        <v>74</v>
      </c>
      <c r="H2403" s="15" t="s">
        <v>12313</v>
      </c>
      <c r="I2403" s="15" t="s">
        <v>12314</v>
      </c>
      <c r="J2403" s="15" t="s">
        <v>12315</v>
      </c>
      <c r="K2403" s="15" t="s">
        <v>1168</v>
      </c>
      <c r="L2403" s="15" t="s">
        <v>1169</v>
      </c>
      <c r="M2403" s="15" t="s">
        <v>1170</v>
      </c>
      <c r="N2403" s="15" t="s">
        <v>1171</v>
      </c>
      <c r="O2403" s="15" t="s">
        <v>82</v>
      </c>
      <c r="P2403" s="15" t="s">
        <v>1258</v>
      </c>
      <c r="Q2403" s="15" t="s">
        <v>1259</v>
      </c>
      <c r="R2403" s="16">
        <v>44329</v>
      </c>
      <c r="S2403" s="17" t="s">
        <v>70</v>
      </c>
      <c r="T2403" s="20">
        <f>HYPERLINK("https://vnm.spiral.com.vn//uploaded/20210513/218b8fe2-95df-44ac-8a15-3ab55eb0c4cd.JPEG","10:04:08")</f>
      </c>
      <c r="U2403" s="20">
        <f>HYPERLINK("https://vnm.spiral.com.vn//uploaded/20210513/0f4c254f-5f5a-4efd-85df-83a595694f8b.JPEG","10:26:44")</f>
      </c>
      <c r="V2403" s="18">
        <v>0.015694444444444445</v>
      </c>
      <c r="W2403" s="15" t="s">
        <v>12316</v>
      </c>
      <c r="X2403" s="15" t="s">
        <v>12317</v>
      </c>
      <c r="Y2403" s="15" t="s">
        <v>35</v>
      </c>
      <c r="Z2403" s="19">
        <v>0</v>
      </c>
      <c r="AA2403" s="15">
        <v>0</v>
      </c>
      <c r="AB2403" s="15" t="s">
        <v>35</v>
      </c>
    </row>
    <row r="2404">
      <c r="A2404" s="15">
        <v>2400</v>
      </c>
      <c r="B2404" s="15" t="s">
        <v>61</v>
      </c>
      <c r="C2404" s="15" t="s">
        <v>62</v>
      </c>
      <c r="D2404" s="15" t="s">
        <v>135</v>
      </c>
      <c r="E2404" s="15" t="s">
        <v>116</v>
      </c>
      <c r="F2404" s="15" t="s">
        <v>35</v>
      </c>
      <c r="G2404" s="15" t="s">
        <v>74</v>
      </c>
      <c r="H2404" s="15" t="s">
        <v>12318</v>
      </c>
      <c r="I2404" s="15" t="s">
        <v>12319</v>
      </c>
      <c r="J2404" s="15" t="s">
        <v>12320</v>
      </c>
      <c r="K2404" s="15" t="s">
        <v>1586</v>
      </c>
      <c r="L2404" s="15" t="s">
        <v>1587</v>
      </c>
      <c r="M2404" s="15" t="s">
        <v>1588</v>
      </c>
      <c r="N2404" s="15" t="s">
        <v>1589</v>
      </c>
      <c r="O2404" s="15" t="s">
        <v>82</v>
      </c>
      <c r="P2404" s="15" t="s">
        <v>8743</v>
      </c>
      <c r="Q2404" s="15" t="s">
        <v>8744</v>
      </c>
      <c r="R2404" s="16">
        <v>44329</v>
      </c>
      <c r="S2404" s="17" t="s">
        <v>70</v>
      </c>
      <c r="T2404" s="20">
        <f>HYPERLINK("https://vnm.spiral.com.vn//uploaded/20210513/590611F9-5C91-473C-A293-C89A83E3F0C8.jpg","09:25:44")</f>
      </c>
      <c r="U2404" s="20">
        <f>HYPERLINK("https://vnm.spiral.com.vn//uploaded/20210513/E9D58966-D5D4-4A06-8DE4-142D75CD0EB6.jpg","10:26:39")</f>
      </c>
      <c r="V2404" s="18">
        <v>0.04230324074074074</v>
      </c>
      <c r="W2404" s="15" t="s">
        <v>12321</v>
      </c>
      <c r="X2404" s="15" t="s">
        <v>12322</v>
      </c>
      <c r="Y2404" s="15" t="s">
        <v>35</v>
      </c>
      <c r="Z2404" s="19">
        <v>0</v>
      </c>
      <c r="AA2404" s="15">
        <v>0</v>
      </c>
      <c r="AB2404" s="15" t="s">
        <v>35</v>
      </c>
    </row>
    <row r="2405">
      <c r="A2405" s="15">
        <v>2401</v>
      </c>
      <c r="B2405" s="15" t="s">
        <v>87</v>
      </c>
      <c r="C2405" s="15" t="s">
        <v>88</v>
      </c>
      <c r="D2405" s="15" t="s">
        <v>432</v>
      </c>
      <c r="E2405" s="15" t="s">
        <v>116</v>
      </c>
      <c r="F2405" s="15" t="s">
        <v>35</v>
      </c>
      <c r="G2405" s="15" t="s">
        <v>74</v>
      </c>
      <c r="H2405" s="15" t="s">
        <v>12323</v>
      </c>
      <c r="I2405" s="15" t="s">
        <v>12324</v>
      </c>
      <c r="J2405" s="15" t="s">
        <v>12325</v>
      </c>
      <c r="K2405" s="15" t="s">
        <v>625</v>
      </c>
      <c r="L2405" s="15" t="s">
        <v>626</v>
      </c>
      <c r="M2405" s="15" t="s">
        <v>1022</v>
      </c>
      <c r="N2405" s="15" t="s">
        <v>1023</v>
      </c>
      <c r="O2405" s="15" t="s">
        <v>82</v>
      </c>
      <c r="P2405" s="15" t="s">
        <v>1024</v>
      </c>
      <c r="Q2405" s="15" t="s">
        <v>1025</v>
      </c>
      <c r="R2405" s="16">
        <v>44329</v>
      </c>
      <c r="S2405" s="17" t="s">
        <v>70</v>
      </c>
      <c r="T2405" s="20">
        <f>HYPERLINK("https://vnm.spiral.com.vn//uploaded/20210513/3F039CAD-18CF-4872-9420-CFF21231FAA1.jpg","09:38:04")</f>
      </c>
      <c r="U2405" s="20">
        <f>HYPERLINK("https://vnm.spiral.com.vn//uploaded/20210513/6376833D-E8E6-4C49-AF5A-96224E557EF9.jpg","10:26:33")</f>
      </c>
      <c r="V2405" s="18">
        <v>0.03366898148148148</v>
      </c>
      <c r="W2405" s="15" t="s">
        <v>12326</v>
      </c>
      <c r="X2405" s="15" t="s">
        <v>12327</v>
      </c>
      <c r="Y2405" s="15" t="s">
        <v>35</v>
      </c>
      <c r="Z2405" s="19">
        <v>0</v>
      </c>
      <c r="AA2405" s="15">
        <v>0</v>
      </c>
      <c r="AB2405" s="15" t="s">
        <v>35</v>
      </c>
    </row>
    <row r="2406">
      <c r="A2406" s="15">
        <v>2402</v>
      </c>
      <c r="B2406" s="15" t="s">
        <v>87</v>
      </c>
      <c r="C2406" s="15" t="s">
        <v>88</v>
      </c>
      <c r="D2406" s="15" t="s">
        <v>115</v>
      </c>
      <c r="E2406" s="15" t="s">
        <v>116</v>
      </c>
      <c r="F2406" s="15" t="s">
        <v>35</v>
      </c>
      <c r="G2406" s="15" t="s">
        <v>74</v>
      </c>
      <c r="H2406" s="15" t="s">
        <v>12328</v>
      </c>
      <c r="I2406" s="15" t="s">
        <v>12329</v>
      </c>
      <c r="J2406" s="15" t="s">
        <v>12330</v>
      </c>
      <c r="K2406" s="15" t="s">
        <v>120</v>
      </c>
      <c r="L2406" s="15" t="s">
        <v>121</v>
      </c>
      <c r="M2406" s="15" t="s">
        <v>1073</v>
      </c>
      <c r="N2406" s="15" t="s">
        <v>1074</v>
      </c>
      <c r="O2406" s="15" t="s">
        <v>82</v>
      </c>
      <c r="P2406" s="15" t="s">
        <v>1075</v>
      </c>
      <c r="Q2406" s="15" t="s">
        <v>1076</v>
      </c>
      <c r="R2406" s="16">
        <v>44329</v>
      </c>
      <c r="S2406" s="17" t="s">
        <v>70</v>
      </c>
      <c r="T2406" s="20">
        <f>HYPERLINK("https://vnm.spiral.com.vn//uploaded/20210513/e1a3d8e5-4b52-464b-8b8b-4c6297fc7e56.jpg","09:39:54")</f>
      </c>
      <c r="U2406" s="20">
        <f>HYPERLINK("https://vnm.spiral.com.vn//uploaded/20210513/f26ecdef-6628-485d-8ed9-9898a36f711a.jpg","10:25:59")</f>
      </c>
      <c r="V2406" s="18">
        <v>0.03200231481481482</v>
      </c>
      <c r="W2406" s="15" t="s">
        <v>12331</v>
      </c>
      <c r="X2406" s="15" t="s">
        <v>12332</v>
      </c>
      <c r="Y2406" s="15" t="s">
        <v>35</v>
      </c>
      <c r="Z2406" s="19">
        <v>0</v>
      </c>
      <c r="AA2406" s="15">
        <v>0</v>
      </c>
      <c r="AB2406" s="15" t="s">
        <v>35</v>
      </c>
    </row>
    <row r="2407">
      <c r="A2407" s="15">
        <v>2403</v>
      </c>
      <c r="B2407" s="15" t="s">
        <v>87</v>
      </c>
      <c r="C2407" s="15" t="s">
        <v>88</v>
      </c>
      <c r="D2407" s="15" t="s">
        <v>135</v>
      </c>
      <c r="E2407" s="15" t="s">
        <v>116</v>
      </c>
      <c r="F2407" s="15" t="s">
        <v>35</v>
      </c>
      <c r="G2407" s="15" t="s">
        <v>74</v>
      </c>
      <c r="H2407" s="15" t="s">
        <v>12333</v>
      </c>
      <c r="I2407" s="15" t="s">
        <v>12334</v>
      </c>
      <c r="J2407" s="15" t="s">
        <v>12335</v>
      </c>
      <c r="K2407" s="15" t="s">
        <v>390</v>
      </c>
      <c r="L2407" s="15" t="s">
        <v>391</v>
      </c>
      <c r="M2407" s="15" t="s">
        <v>392</v>
      </c>
      <c r="N2407" s="15" t="s">
        <v>393</v>
      </c>
      <c r="O2407" s="15" t="s">
        <v>82</v>
      </c>
      <c r="P2407" s="15" t="s">
        <v>1265</v>
      </c>
      <c r="Q2407" s="15" t="s">
        <v>1266</v>
      </c>
      <c r="R2407" s="16">
        <v>44329</v>
      </c>
      <c r="S2407" s="17" t="s">
        <v>70</v>
      </c>
      <c r="T2407" s="20">
        <f>HYPERLINK("https://vnm.spiral.com.vn//uploaded/20210513/2c4c75d3-af2d-4a3a-bb1d-9c72a503e21c.JPEG","09:15:09")</f>
      </c>
      <c r="U2407" s="20">
        <f>HYPERLINK("https://vnm.spiral.com.vn//uploaded/20210513/1a701666-a3d2-4bd5-81f9-b4aa9b45e087.JPEG","10:25:55")</f>
      </c>
      <c r="V2407" s="18">
        <v>0.04914351851851852</v>
      </c>
      <c r="W2407" s="15" t="s">
        <v>12336</v>
      </c>
      <c r="X2407" s="15" t="s">
        <v>12337</v>
      </c>
      <c r="Y2407" s="15" t="s">
        <v>35</v>
      </c>
      <c r="Z2407" s="19">
        <v>0</v>
      </c>
      <c r="AA2407" s="15">
        <v>0</v>
      </c>
      <c r="AB2407" s="15" t="s">
        <v>35</v>
      </c>
    </row>
    <row r="2408">
      <c r="A2408" s="15">
        <v>2404</v>
      </c>
      <c r="B2408" s="15" t="s">
        <v>61</v>
      </c>
      <c r="C2408" s="15" t="s">
        <v>904</v>
      </c>
      <c r="D2408" s="15" t="s">
        <v>135</v>
      </c>
      <c r="E2408" s="15" t="s">
        <v>116</v>
      </c>
      <c r="F2408" s="15" t="s">
        <v>35</v>
      </c>
      <c r="G2408" s="15" t="s">
        <v>74</v>
      </c>
      <c r="H2408" s="15" t="s">
        <v>12338</v>
      </c>
      <c r="I2408" s="15" t="s">
        <v>12339</v>
      </c>
      <c r="J2408" s="15" t="s">
        <v>12340</v>
      </c>
      <c r="K2408" s="15" t="s">
        <v>152</v>
      </c>
      <c r="L2408" s="15" t="s">
        <v>153</v>
      </c>
      <c r="M2408" s="15" t="s">
        <v>1586</v>
      </c>
      <c r="N2408" s="15" t="s">
        <v>1587</v>
      </c>
      <c r="O2408" s="15" t="s">
        <v>98</v>
      </c>
      <c r="P2408" s="15" t="s">
        <v>1588</v>
      </c>
      <c r="Q2408" s="15" t="s">
        <v>1589</v>
      </c>
      <c r="R2408" s="16">
        <v>44329</v>
      </c>
      <c r="S2408" s="17" t="s">
        <v>70</v>
      </c>
      <c r="T2408" s="20">
        <f>HYPERLINK("https://vnm.spiral.com.vn//uploaded/20210513/9696C74E-0EDE-4B39-A4F6-AF965DCE4C5F.jpg","08:55:03")</f>
      </c>
      <c r="U2408" s="20">
        <f>HYPERLINK("https://vnm.spiral.com.vn//uploaded/20210513/E3ACABD8-D094-4049-922C-23C3B8DEE758.jpg","10:25:33")</f>
      </c>
      <c r="V2408" s="18">
        <v>0.06284722222222222</v>
      </c>
      <c r="W2408" s="15" t="s">
        <v>12341</v>
      </c>
      <c r="X2408" s="15" t="s">
        <v>12342</v>
      </c>
      <c r="Y2408" s="15" t="s">
        <v>35</v>
      </c>
      <c r="Z2408" s="19">
        <v>0</v>
      </c>
      <c r="AA2408" s="15">
        <v>0</v>
      </c>
      <c r="AB2408" s="15" t="s">
        <v>35</v>
      </c>
    </row>
    <row r="2409">
      <c r="A2409" s="15">
        <v>2405</v>
      </c>
      <c r="B2409" s="15" t="s">
        <v>87</v>
      </c>
      <c r="C2409" s="15" t="s">
        <v>88</v>
      </c>
      <c r="D2409" s="15" t="s">
        <v>135</v>
      </c>
      <c r="E2409" s="15" t="s">
        <v>116</v>
      </c>
      <c r="F2409" s="15" t="s">
        <v>35</v>
      </c>
      <c r="G2409" s="15" t="s">
        <v>74</v>
      </c>
      <c r="H2409" s="15" t="s">
        <v>12343</v>
      </c>
      <c r="I2409" s="15" t="s">
        <v>12344</v>
      </c>
      <c r="J2409" s="15" t="s">
        <v>12345</v>
      </c>
      <c r="K2409" s="15" t="s">
        <v>94</v>
      </c>
      <c r="L2409" s="15" t="s">
        <v>95</v>
      </c>
      <c r="M2409" s="15" t="s">
        <v>139</v>
      </c>
      <c r="N2409" s="15" t="s">
        <v>140</v>
      </c>
      <c r="O2409" s="15" t="s">
        <v>98</v>
      </c>
      <c r="P2409" s="15" t="s">
        <v>141</v>
      </c>
      <c r="Q2409" s="15" t="s">
        <v>142</v>
      </c>
      <c r="R2409" s="16">
        <v>44329</v>
      </c>
      <c r="S2409" s="17" t="s">
        <v>70</v>
      </c>
      <c r="T2409" s="20">
        <f>HYPERLINK("https://vnm.spiral.com.vn//uploaded/20210513/68594ECF-0577-4C09-8F18-176A92B603E6.jpg","09:26:50")</f>
      </c>
      <c r="U2409" s="20">
        <f>HYPERLINK("https://vnm.spiral.com.vn//uploaded/20210513/6958671D-EE30-4FCF-991F-C03279CB07C6.jpg","10:25:08")</f>
      </c>
      <c r="V2409" s="18">
        <v>0.04048611111111111</v>
      </c>
      <c r="W2409" s="15" t="s">
        <v>12346</v>
      </c>
      <c r="X2409" s="15" t="s">
        <v>12347</v>
      </c>
      <c r="Y2409" s="15" t="s">
        <v>35</v>
      </c>
      <c r="Z2409" s="19">
        <v>0</v>
      </c>
      <c r="AA2409" s="15">
        <v>0</v>
      </c>
      <c r="AB2409" s="15" t="s">
        <v>35</v>
      </c>
    </row>
    <row r="2410">
      <c r="A2410" s="15">
        <v>2406</v>
      </c>
      <c r="B2410" s="15" t="s">
        <v>61</v>
      </c>
      <c r="C2410" s="15" t="s">
        <v>398</v>
      </c>
      <c r="D2410" s="15" t="s">
        <v>135</v>
      </c>
      <c r="E2410" s="15" t="s">
        <v>116</v>
      </c>
      <c r="F2410" s="15" t="s">
        <v>35</v>
      </c>
      <c r="G2410" s="15" t="s">
        <v>74</v>
      </c>
      <c r="H2410" s="15" t="s">
        <v>12348</v>
      </c>
      <c r="I2410" s="15" t="s">
        <v>12349</v>
      </c>
      <c r="J2410" s="15" t="s">
        <v>12350</v>
      </c>
      <c r="K2410" s="15" t="s">
        <v>1586</v>
      </c>
      <c r="L2410" s="15" t="s">
        <v>1587</v>
      </c>
      <c r="M2410" s="15" t="s">
        <v>1588</v>
      </c>
      <c r="N2410" s="15" t="s">
        <v>1589</v>
      </c>
      <c r="O2410" s="15" t="s">
        <v>82</v>
      </c>
      <c r="P2410" s="15" t="s">
        <v>9249</v>
      </c>
      <c r="Q2410" s="15" t="s">
        <v>9250</v>
      </c>
      <c r="R2410" s="16">
        <v>44329</v>
      </c>
      <c r="S2410" s="17" t="s">
        <v>70</v>
      </c>
      <c r="T2410" s="20">
        <f>HYPERLINK("https://vnm.spiral.com.vn//uploaded/20210513/f02df779-2839-4244-9b04-37a65894df0a.JPEG","09:34:11")</f>
      </c>
      <c r="U2410" s="20">
        <f>HYPERLINK("https://vnm.spiral.com.vn//uploaded/20210513/d50193d0-c8c2-4007-a770-c5557081167f.JPEG","10:23:27")</f>
      </c>
      <c r="V2410" s="18">
        <v>0.034212962962962966</v>
      </c>
      <c r="W2410" s="15" t="s">
        <v>12351</v>
      </c>
      <c r="X2410" s="15" t="s">
        <v>12352</v>
      </c>
      <c r="Y2410" s="15" t="s">
        <v>35</v>
      </c>
      <c r="Z2410" s="19">
        <v>0</v>
      </c>
      <c r="AA2410" s="15">
        <v>0</v>
      </c>
      <c r="AB2410" s="15" t="s">
        <v>35</v>
      </c>
    </row>
    <row r="2411">
      <c r="A2411" s="15">
        <v>2407</v>
      </c>
      <c r="B2411" s="15" t="s">
        <v>87</v>
      </c>
      <c r="C2411" s="15" t="s">
        <v>88</v>
      </c>
      <c r="D2411" s="15" t="s">
        <v>135</v>
      </c>
      <c r="E2411" s="15" t="s">
        <v>116</v>
      </c>
      <c r="F2411" s="15" t="s">
        <v>35</v>
      </c>
      <c r="G2411" s="15" t="s">
        <v>74</v>
      </c>
      <c r="H2411" s="15" t="s">
        <v>12353</v>
      </c>
      <c r="I2411" s="15" t="s">
        <v>12354</v>
      </c>
      <c r="J2411" s="15" t="s">
        <v>12355</v>
      </c>
      <c r="K2411" s="15" t="s">
        <v>390</v>
      </c>
      <c r="L2411" s="15" t="s">
        <v>391</v>
      </c>
      <c r="M2411" s="15" t="s">
        <v>392</v>
      </c>
      <c r="N2411" s="15" t="s">
        <v>393</v>
      </c>
      <c r="O2411" s="15" t="s">
        <v>82</v>
      </c>
      <c r="P2411" s="15" t="s">
        <v>481</v>
      </c>
      <c r="Q2411" s="15" t="s">
        <v>482</v>
      </c>
      <c r="R2411" s="16">
        <v>44329</v>
      </c>
      <c r="S2411" s="17" t="s">
        <v>70</v>
      </c>
      <c r="T2411" s="20">
        <f>HYPERLINK("https://vnm.spiral.com.vn//uploaded/20210513/3b9048a7-236f-4827-8ee4-4d7d2e6d073a.JPEG","10:22:37")</f>
      </c>
      <c r="U2411" s="20">
        <f>HYPERLINK("https://vnm.spiral.com.vn//uploaded/20210513/a320e26a-95e1-440b-af84-2406d29d5dba.JPEG","10:23:23")</f>
      </c>
      <c r="V2411" s="18">
        <v>0.0005324074074074074</v>
      </c>
      <c r="W2411" s="15" t="s">
        <v>11088</v>
      </c>
      <c r="X2411" s="15" t="s">
        <v>11088</v>
      </c>
      <c r="Y2411" s="15" t="s">
        <v>35</v>
      </c>
      <c r="Z2411" s="19">
        <v>0</v>
      </c>
      <c r="AA2411" s="15">
        <v>0</v>
      </c>
      <c r="AB2411" s="15" t="s">
        <v>35</v>
      </c>
    </row>
    <row r="2412">
      <c r="A2412" s="15">
        <v>2408</v>
      </c>
      <c r="B2412" s="15" t="s">
        <v>87</v>
      </c>
      <c r="C2412" s="15" t="s">
        <v>88</v>
      </c>
      <c r="D2412" s="15" t="s">
        <v>135</v>
      </c>
      <c r="E2412" s="15" t="s">
        <v>116</v>
      </c>
      <c r="F2412" s="15" t="s">
        <v>35</v>
      </c>
      <c r="G2412" s="15" t="s">
        <v>74</v>
      </c>
      <c r="H2412" s="15" t="s">
        <v>12356</v>
      </c>
      <c r="I2412" s="15" t="s">
        <v>12357</v>
      </c>
      <c r="J2412" s="15" t="s">
        <v>12358</v>
      </c>
      <c r="K2412" s="15" t="s">
        <v>390</v>
      </c>
      <c r="L2412" s="15" t="s">
        <v>391</v>
      </c>
      <c r="M2412" s="15" t="s">
        <v>392</v>
      </c>
      <c r="N2412" s="15" t="s">
        <v>393</v>
      </c>
      <c r="O2412" s="15" t="s">
        <v>82</v>
      </c>
      <c r="P2412" s="15" t="s">
        <v>1980</v>
      </c>
      <c r="Q2412" s="15" t="s">
        <v>1981</v>
      </c>
      <c r="R2412" s="16">
        <v>44329</v>
      </c>
      <c r="S2412" s="17" t="s">
        <v>70</v>
      </c>
      <c r="T2412" s="20">
        <f>HYPERLINK("https://vnm.spiral.com.vn//uploaded/20210513/e28271c8-5de9-4582-8300-8525659cf74b.JPEG","09:13:41")</f>
      </c>
      <c r="U2412" s="20">
        <f>HYPERLINK("https://vnm.spiral.com.vn//uploaded/20210513/727026a1-e789-42b8-b40c-d0b436ec64df.JPEG","10:23:14")</f>
      </c>
      <c r="V2412" s="18">
        <v>0.04829861111111111</v>
      </c>
      <c r="W2412" s="15" t="s">
        <v>12359</v>
      </c>
      <c r="X2412" s="15" t="s">
        <v>12360</v>
      </c>
      <c r="Y2412" s="15" t="s">
        <v>35</v>
      </c>
      <c r="Z2412" s="19">
        <v>0</v>
      </c>
      <c r="AA2412" s="15">
        <v>0</v>
      </c>
      <c r="AB2412" s="15" t="s">
        <v>35</v>
      </c>
    </row>
    <row r="2413">
      <c r="A2413" s="15">
        <v>2409</v>
      </c>
      <c r="B2413" s="15" t="s">
        <v>61</v>
      </c>
      <c r="C2413" s="15" t="s">
        <v>201</v>
      </c>
      <c r="D2413" s="15" t="s">
        <v>35</v>
      </c>
      <c r="E2413" s="15" t="s">
        <v>35</v>
      </c>
      <c r="F2413" s="15" t="s">
        <v>2302</v>
      </c>
      <c r="G2413" s="15" t="s">
        <v>36</v>
      </c>
      <c r="H2413" s="15" t="s">
        <v>2303</v>
      </c>
      <c r="I2413" s="15" t="s">
        <v>2304</v>
      </c>
      <c r="J2413" s="15" t="s">
        <v>2305</v>
      </c>
      <c r="K2413" s="15" t="s">
        <v>40</v>
      </c>
      <c r="L2413" s="15" t="s">
        <v>41</v>
      </c>
      <c r="M2413" s="15" t="s">
        <v>205</v>
      </c>
      <c r="N2413" s="15" t="s">
        <v>206</v>
      </c>
      <c r="O2413" s="15" t="s">
        <v>44</v>
      </c>
      <c r="P2413" s="15" t="s">
        <v>2306</v>
      </c>
      <c r="Q2413" s="15" t="s">
        <v>2307</v>
      </c>
      <c r="R2413" s="16">
        <v>44329</v>
      </c>
      <c r="S2413" s="17" t="s">
        <v>3885</v>
      </c>
      <c r="T2413" s="20">
        <f>HYPERLINK("https://vnm.spiral.com.vn//uploaded/20210513/8743872b-95e7-4244-b89e-090cad7bb52d.JPEG","06:03:59")</f>
      </c>
      <c r="U2413" s="20">
        <f>HYPERLINK("https://vnm.spiral.com.vn//uploaded/20210513/b6bff641-afde-46a7-a0be-654c625f08cd.JPEG","10:23:06")</f>
      </c>
      <c r="V2413" s="18">
        <v>0.17994212962962963</v>
      </c>
      <c r="W2413" s="15" t="s">
        <v>12361</v>
      </c>
      <c r="X2413" s="15" t="s">
        <v>12362</v>
      </c>
      <c r="Y2413" s="15" t="s">
        <v>35</v>
      </c>
      <c r="Z2413" s="19">
        <v>0</v>
      </c>
      <c r="AA2413" s="15">
        <v>0</v>
      </c>
      <c r="AB2413" s="15" t="s">
        <v>35</v>
      </c>
    </row>
    <row r="2414">
      <c r="A2414" s="15">
        <v>2410</v>
      </c>
      <c r="B2414" s="15" t="s">
        <v>87</v>
      </c>
      <c r="C2414" s="15" t="s">
        <v>88</v>
      </c>
      <c r="D2414" s="15" t="s">
        <v>357</v>
      </c>
      <c r="E2414" s="15" t="s">
        <v>90</v>
      </c>
      <c r="F2414" s="15" t="s">
        <v>35</v>
      </c>
      <c r="G2414" s="15" t="s">
        <v>74</v>
      </c>
      <c r="H2414" s="15" t="s">
        <v>12363</v>
      </c>
      <c r="I2414" s="15" t="s">
        <v>12364</v>
      </c>
      <c r="J2414" s="15" t="s">
        <v>12365</v>
      </c>
      <c r="K2414" s="15" t="s">
        <v>94</v>
      </c>
      <c r="L2414" s="15" t="s">
        <v>95</v>
      </c>
      <c r="M2414" s="15" t="s">
        <v>1570</v>
      </c>
      <c r="N2414" s="15" t="s">
        <v>1571</v>
      </c>
      <c r="O2414" s="15" t="s">
        <v>98</v>
      </c>
      <c r="P2414" s="15" t="s">
        <v>2024</v>
      </c>
      <c r="Q2414" s="15" t="s">
        <v>2025</v>
      </c>
      <c r="R2414" s="16">
        <v>44329</v>
      </c>
      <c r="S2414" s="17" t="s">
        <v>70</v>
      </c>
      <c r="T2414" s="20">
        <f>HYPERLINK("https://vnm.spiral.com.vn//uploaded/20210513/34775d1f-3175-43e4-a004-a783f2ffb02b.JPEG","09:52:39")</f>
      </c>
      <c r="U2414" s="20">
        <f>HYPERLINK("https://vnm.spiral.com.vn//uploaded/20210513/086c2798-175d-4c01-bfb7-41c30b908b54.JPEG","10:22:59")</f>
      </c>
      <c r="V2414" s="18">
        <v>0.021064814814814814</v>
      </c>
      <c r="W2414" s="15" t="s">
        <v>12366</v>
      </c>
      <c r="X2414" s="15" t="s">
        <v>12367</v>
      </c>
      <c r="Y2414" s="15" t="s">
        <v>35</v>
      </c>
      <c r="Z2414" s="19">
        <v>0</v>
      </c>
      <c r="AA2414" s="15">
        <v>0</v>
      </c>
      <c r="AB2414" s="15" t="s">
        <v>35</v>
      </c>
    </row>
    <row r="2415">
      <c r="A2415" s="15">
        <v>2411</v>
      </c>
      <c r="B2415" s="15" t="s">
        <v>87</v>
      </c>
      <c r="C2415" s="15" t="s">
        <v>88</v>
      </c>
      <c r="D2415" s="15" t="s">
        <v>357</v>
      </c>
      <c r="E2415" s="15" t="s">
        <v>90</v>
      </c>
      <c r="F2415" s="15" t="s">
        <v>35</v>
      </c>
      <c r="G2415" s="15" t="s">
        <v>74</v>
      </c>
      <c r="H2415" s="15" t="s">
        <v>12368</v>
      </c>
      <c r="I2415" s="15" t="s">
        <v>12369</v>
      </c>
      <c r="J2415" s="15" t="s">
        <v>12370</v>
      </c>
      <c r="K2415" s="15" t="s">
        <v>1570</v>
      </c>
      <c r="L2415" s="15" t="s">
        <v>1571</v>
      </c>
      <c r="M2415" s="15" t="s">
        <v>2024</v>
      </c>
      <c r="N2415" s="15" t="s">
        <v>2025</v>
      </c>
      <c r="O2415" s="15" t="s">
        <v>82</v>
      </c>
      <c r="P2415" s="15" t="s">
        <v>2521</v>
      </c>
      <c r="Q2415" s="15" t="s">
        <v>2522</v>
      </c>
      <c r="R2415" s="16">
        <v>44329</v>
      </c>
      <c r="S2415" s="17" t="s">
        <v>70</v>
      </c>
      <c r="T2415" s="20">
        <f>HYPERLINK("https://vnm.spiral.com.vn//uploaded/20210513/5ac5d700-5f51-44fc-bd86-2726ef39954a.JPEG","10:01:50")</f>
      </c>
      <c r="U2415" s="20">
        <f>HYPERLINK("https://vnm.spiral.com.vn//uploaded/20210513/f6636597-fb45-4d52-b06e-34269ad317e1.JPEG","10:22:14")</f>
      </c>
      <c r="V2415" s="18">
        <v>0.014166666666666666</v>
      </c>
      <c r="W2415" s="15" t="s">
        <v>12371</v>
      </c>
      <c r="X2415" s="15" t="s">
        <v>12372</v>
      </c>
      <c r="Y2415" s="15" t="s">
        <v>35</v>
      </c>
      <c r="Z2415" s="19">
        <v>0</v>
      </c>
      <c r="AA2415" s="15">
        <v>0</v>
      </c>
      <c r="AB2415" s="15" t="s">
        <v>35</v>
      </c>
    </row>
    <row r="2416">
      <c r="A2416" s="15">
        <v>2412</v>
      </c>
      <c r="B2416" s="15" t="s">
        <v>61</v>
      </c>
      <c r="C2416" s="15" t="s">
        <v>904</v>
      </c>
      <c r="D2416" s="15" t="s">
        <v>35</v>
      </c>
      <c r="E2416" s="15" t="s">
        <v>35</v>
      </c>
      <c r="F2416" s="15" t="s">
        <v>35</v>
      </c>
      <c r="G2416" s="15" t="s">
        <v>36</v>
      </c>
      <c r="H2416" s="15" t="s">
        <v>12373</v>
      </c>
      <c r="I2416" s="15" t="s">
        <v>6543</v>
      </c>
      <c r="J2416" s="15" t="s">
        <v>12374</v>
      </c>
      <c r="K2416" s="15" t="s">
        <v>40</v>
      </c>
      <c r="L2416" s="15" t="s">
        <v>41</v>
      </c>
      <c r="M2416" s="15" t="s">
        <v>66</v>
      </c>
      <c r="N2416" s="15" t="s">
        <v>67</v>
      </c>
      <c r="O2416" s="15" t="s">
        <v>44</v>
      </c>
      <c r="P2416" s="15" t="s">
        <v>12375</v>
      </c>
      <c r="Q2416" s="15" t="s">
        <v>12376</v>
      </c>
      <c r="R2416" s="16">
        <v>44329</v>
      </c>
      <c r="S2416" s="17" t="s">
        <v>12220</v>
      </c>
      <c r="T2416" s="20">
        <f>HYPERLINK("https://vnm.spiral.com.vn//uploaded/20210513/ba97fc17-5ca2-4f1d-ad34-3ef3cf1feb3c.JPEG","10:21:00")</f>
      </c>
      <c r="U2416" s="18"/>
      <c r="V2416" s="18" t="s">
        <v>35</v>
      </c>
      <c r="W2416" s="15" t="s">
        <v>12377</v>
      </c>
      <c r="X2416" s="15" t="s">
        <v>35</v>
      </c>
      <c r="Y2416" s="15" t="s">
        <v>35</v>
      </c>
      <c r="Z2416" s="19">
        <v>0</v>
      </c>
      <c r="AA2416" s="15">
        <v>0</v>
      </c>
      <c r="AB2416" s="15" t="s">
        <v>35</v>
      </c>
    </row>
    <row r="2417">
      <c r="A2417" s="15">
        <v>2413</v>
      </c>
      <c r="B2417" s="15" t="s">
        <v>33</v>
      </c>
      <c r="C2417" s="15" t="s">
        <v>765</v>
      </c>
      <c r="D2417" s="15" t="s">
        <v>35</v>
      </c>
      <c r="E2417" s="15" t="s">
        <v>35</v>
      </c>
      <c r="F2417" s="15" t="s">
        <v>35</v>
      </c>
      <c r="G2417" s="15" t="s">
        <v>74</v>
      </c>
      <c r="H2417" s="15" t="s">
        <v>12378</v>
      </c>
      <c r="I2417" s="15" t="s">
        <v>12379</v>
      </c>
      <c r="J2417" s="15" t="s">
        <v>12380</v>
      </c>
      <c r="K2417" s="15" t="s">
        <v>769</v>
      </c>
      <c r="L2417" s="15" t="s">
        <v>770</v>
      </c>
      <c r="M2417" s="15" t="s">
        <v>1532</v>
      </c>
      <c r="N2417" s="15" t="s">
        <v>1533</v>
      </c>
      <c r="O2417" s="15" t="s">
        <v>82</v>
      </c>
      <c r="P2417" s="15" t="s">
        <v>3805</v>
      </c>
      <c r="Q2417" s="15" t="s">
        <v>3806</v>
      </c>
      <c r="R2417" s="16">
        <v>44329</v>
      </c>
      <c r="S2417" s="17" t="s">
        <v>70</v>
      </c>
      <c r="T2417" s="20">
        <f>HYPERLINK("https://vnm.spiral.com.vn//uploaded/20210513/34989a91-553b-4da2-96d6-1b7e0204f18e.JPEG","09:29:52")</f>
      </c>
      <c r="U2417" s="20">
        <f>HYPERLINK("https://vnm.spiral.com.vn//uploaded/20210513/9531d380-b254-4633-a678-7d9e4060feae.JPEG","10:20:43")</f>
      </c>
      <c r="V2417" s="18">
        <v>0.0353125</v>
      </c>
      <c r="W2417" s="15" t="s">
        <v>12381</v>
      </c>
      <c r="X2417" s="15" t="s">
        <v>12382</v>
      </c>
      <c r="Y2417" s="15" t="s">
        <v>35</v>
      </c>
      <c r="Z2417" s="19">
        <v>0</v>
      </c>
      <c r="AA2417" s="15">
        <v>0</v>
      </c>
      <c r="AB2417" s="15" t="s">
        <v>35</v>
      </c>
    </row>
    <row r="2418">
      <c r="A2418" s="15">
        <v>2414</v>
      </c>
      <c r="B2418" s="15" t="s">
        <v>87</v>
      </c>
      <c r="C2418" s="15" t="s">
        <v>88</v>
      </c>
      <c r="D2418" s="15" t="s">
        <v>115</v>
      </c>
      <c r="E2418" s="15" t="s">
        <v>116</v>
      </c>
      <c r="F2418" s="15" t="s">
        <v>35</v>
      </c>
      <c r="G2418" s="15" t="s">
        <v>74</v>
      </c>
      <c r="H2418" s="15" t="s">
        <v>12383</v>
      </c>
      <c r="I2418" s="15" t="s">
        <v>12384</v>
      </c>
      <c r="J2418" s="15" t="s">
        <v>12385</v>
      </c>
      <c r="K2418" s="15" t="s">
        <v>120</v>
      </c>
      <c r="L2418" s="15" t="s">
        <v>121</v>
      </c>
      <c r="M2418" s="15" t="s">
        <v>1073</v>
      </c>
      <c r="N2418" s="15" t="s">
        <v>1074</v>
      </c>
      <c r="O2418" s="15" t="s">
        <v>82</v>
      </c>
      <c r="P2418" s="15" t="s">
        <v>2193</v>
      </c>
      <c r="Q2418" s="15" t="s">
        <v>2194</v>
      </c>
      <c r="R2418" s="16">
        <v>44329</v>
      </c>
      <c r="S2418" s="17" t="s">
        <v>70</v>
      </c>
      <c r="T2418" s="20">
        <f>HYPERLINK("https://vnm.spiral.com.vn//uploaded/20210513/86c6bd58-7f24-4bb4-a6c3-2736ce249f98.JPEG","10:05:23")</f>
      </c>
      <c r="U2418" s="20">
        <f>HYPERLINK("https://vnm.spiral.com.vn//uploaded/20210513/67a5ff9d-fdd4-45f0-ba29-0891c00cc327.JPEG","10:20:41")</f>
      </c>
      <c r="V2418" s="18">
        <v>0.010625</v>
      </c>
      <c r="W2418" s="15" t="s">
        <v>12386</v>
      </c>
      <c r="X2418" s="15" t="s">
        <v>12387</v>
      </c>
      <c r="Y2418" s="15" t="s">
        <v>35</v>
      </c>
      <c r="Z2418" s="19">
        <v>0</v>
      </c>
      <c r="AA2418" s="15">
        <v>0</v>
      </c>
      <c r="AB2418" s="15" t="s">
        <v>35</v>
      </c>
    </row>
    <row r="2419">
      <c r="A2419" s="15">
        <v>2415</v>
      </c>
      <c r="B2419" s="15" t="s">
        <v>61</v>
      </c>
      <c r="C2419" s="15" t="s">
        <v>228</v>
      </c>
      <c r="D2419" s="15" t="s">
        <v>135</v>
      </c>
      <c r="E2419" s="15" t="s">
        <v>116</v>
      </c>
      <c r="F2419" s="15" t="s">
        <v>35</v>
      </c>
      <c r="G2419" s="15" t="s">
        <v>74</v>
      </c>
      <c r="H2419" s="15" t="s">
        <v>12388</v>
      </c>
      <c r="I2419" s="15" t="s">
        <v>12389</v>
      </c>
      <c r="J2419" s="15" t="s">
        <v>12390</v>
      </c>
      <c r="K2419" s="15" t="s">
        <v>152</v>
      </c>
      <c r="L2419" s="15" t="s">
        <v>153</v>
      </c>
      <c r="M2419" s="15" t="s">
        <v>232</v>
      </c>
      <c r="N2419" s="15" t="s">
        <v>233</v>
      </c>
      <c r="O2419" s="15" t="s">
        <v>82</v>
      </c>
      <c r="P2419" s="15" t="s">
        <v>234</v>
      </c>
      <c r="Q2419" s="15" t="s">
        <v>235</v>
      </c>
      <c r="R2419" s="16">
        <v>44329</v>
      </c>
      <c r="S2419" s="17" t="s">
        <v>70</v>
      </c>
      <c r="T2419" s="20">
        <f>HYPERLINK("https://vnm.spiral.com.vn//uploaded/20210513/b189066e-f36d-464b-8557-7a3ebe0ec0ee.JPEG","10:00:27")</f>
      </c>
      <c r="U2419" s="20">
        <f>HYPERLINK("https://vnm.spiral.com.vn//uploaded/20210513/5d9de192-f874-486b-b251-52db60a245e0.JPEG","10:20:39")</f>
      </c>
      <c r="V2419" s="18">
        <v>0.014027777777777778</v>
      </c>
      <c r="W2419" s="15" t="s">
        <v>12391</v>
      </c>
      <c r="X2419" s="15" t="s">
        <v>12392</v>
      </c>
      <c r="Y2419" s="15" t="s">
        <v>35</v>
      </c>
      <c r="Z2419" s="19">
        <v>0</v>
      </c>
      <c r="AA2419" s="15">
        <v>0</v>
      </c>
      <c r="AB2419" s="15" t="s">
        <v>35</v>
      </c>
    </row>
    <row r="2420">
      <c r="A2420" s="15">
        <v>2416</v>
      </c>
      <c r="B2420" s="15" t="s">
        <v>87</v>
      </c>
      <c r="C2420" s="15" t="s">
        <v>88</v>
      </c>
      <c r="D2420" s="15" t="s">
        <v>89</v>
      </c>
      <c r="E2420" s="15" t="s">
        <v>90</v>
      </c>
      <c r="F2420" s="15" t="s">
        <v>35</v>
      </c>
      <c r="G2420" s="15" t="s">
        <v>74</v>
      </c>
      <c r="H2420" s="15" t="s">
        <v>1210</v>
      </c>
      <c r="I2420" s="15" t="s">
        <v>1211</v>
      </c>
      <c r="J2420" s="15" t="s">
        <v>1212</v>
      </c>
      <c r="K2420" s="15" t="s">
        <v>94</v>
      </c>
      <c r="L2420" s="15" t="s">
        <v>95</v>
      </c>
      <c r="M2420" s="15" t="s">
        <v>96</v>
      </c>
      <c r="N2420" s="15" t="s">
        <v>97</v>
      </c>
      <c r="O2420" s="15" t="s">
        <v>98</v>
      </c>
      <c r="P2420" s="15" t="s">
        <v>802</v>
      </c>
      <c r="Q2420" s="15" t="s">
        <v>803</v>
      </c>
      <c r="R2420" s="16">
        <v>44329</v>
      </c>
      <c r="S2420" s="17" t="s">
        <v>70</v>
      </c>
      <c r="T2420" s="20">
        <f>HYPERLINK("https://vnm.spiral.com.vn//uploaded/20210513/a7c00a12-c2e8-4dfb-bb93-becd0768e04c.JPEG","07:49:59")</f>
      </c>
      <c r="U2420" s="20">
        <f>HYPERLINK("https://vnm.spiral.com.vn//uploaded/20210513/3e803ce9-6fa5-458e-aadb-be1ab3ce9ce1.JPEG","10:20:36")</f>
      </c>
      <c r="V2420" s="18">
        <v>0.10459490740740741</v>
      </c>
      <c r="W2420" s="15" t="s">
        <v>12393</v>
      </c>
      <c r="X2420" s="15" t="s">
        <v>12394</v>
      </c>
      <c r="Y2420" s="15" t="s">
        <v>35</v>
      </c>
      <c r="Z2420" s="19">
        <v>0</v>
      </c>
      <c r="AA2420" s="15">
        <v>0</v>
      </c>
      <c r="AB2420" s="15" t="s">
        <v>35</v>
      </c>
    </row>
    <row r="2421">
      <c r="A2421" s="15">
        <v>2417</v>
      </c>
      <c r="B2421" s="15" t="s">
        <v>246</v>
      </c>
      <c r="C2421" s="15" t="s">
        <v>259</v>
      </c>
      <c r="D2421" s="15" t="s">
        <v>432</v>
      </c>
      <c r="E2421" s="15" t="s">
        <v>116</v>
      </c>
      <c r="F2421" s="15" t="s">
        <v>35</v>
      </c>
      <c r="G2421" s="15" t="s">
        <v>74</v>
      </c>
      <c r="H2421" s="15" t="s">
        <v>12395</v>
      </c>
      <c r="I2421" s="15" t="s">
        <v>12396</v>
      </c>
      <c r="J2421" s="15" t="s">
        <v>12397</v>
      </c>
      <c r="K2421" s="15" t="s">
        <v>166</v>
      </c>
      <c r="L2421" s="15" t="s">
        <v>167</v>
      </c>
      <c r="M2421" s="15" t="s">
        <v>263</v>
      </c>
      <c r="N2421" s="15" t="s">
        <v>264</v>
      </c>
      <c r="O2421" s="15" t="s">
        <v>82</v>
      </c>
      <c r="P2421" s="15" t="s">
        <v>2514</v>
      </c>
      <c r="Q2421" s="15" t="s">
        <v>2515</v>
      </c>
      <c r="R2421" s="16">
        <v>44329</v>
      </c>
      <c r="S2421" s="17" t="s">
        <v>70</v>
      </c>
      <c r="T2421" s="20">
        <f>HYPERLINK("https://vnm.spiral.com.vn//uploaded/20210513/ab563d0f-fc86-49fa-8b7a-65003e81d789.JPEG","09:21:06")</f>
      </c>
      <c r="U2421" s="20">
        <f>HYPERLINK("https://vnm.spiral.com.vn//uploaded/20210513/b0f58b29-b1c3-48f6-a68a-0933434ec4eb.JPEG","10:20:26")</f>
      </c>
      <c r="V2421" s="18">
        <v>0.0412037037037037</v>
      </c>
      <c r="W2421" s="15" t="s">
        <v>12398</v>
      </c>
      <c r="X2421" s="15" t="s">
        <v>12399</v>
      </c>
      <c r="Y2421" s="15" t="s">
        <v>35</v>
      </c>
      <c r="Z2421" s="19">
        <v>0</v>
      </c>
      <c r="AA2421" s="15">
        <v>0</v>
      </c>
      <c r="AB2421" s="15" t="s">
        <v>35</v>
      </c>
    </row>
    <row r="2422">
      <c r="A2422" s="15">
        <v>2418</v>
      </c>
      <c r="B2422" s="15" t="s">
        <v>49</v>
      </c>
      <c r="C2422" s="15" t="s">
        <v>369</v>
      </c>
      <c r="D2422" s="15" t="s">
        <v>135</v>
      </c>
      <c r="E2422" s="15" t="s">
        <v>116</v>
      </c>
      <c r="F2422" s="15" t="s">
        <v>35</v>
      </c>
      <c r="G2422" s="15" t="s">
        <v>74</v>
      </c>
      <c r="H2422" s="15" t="s">
        <v>12400</v>
      </c>
      <c r="I2422" s="15" t="s">
        <v>12401</v>
      </c>
      <c r="J2422" s="15" t="s">
        <v>12402</v>
      </c>
      <c r="K2422" s="15" t="s">
        <v>168</v>
      </c>
      <c r="L2422" s="15" t="s">
        <v>169</v>
      </c>
      <c r="M2422" s="15" t="s">
        <v>383</v>
      </c>
      <c r="N2422" s="15" t="s">
        <v>384</v>
      </c>
      <c r="O2422" s="15" t="s">
        <v>82</v>
      </c>
      <c r="P2422" s="15" t="s">
        <v>1008</v>
      </c>
      <c r="Q2422" s="15" t="s">
        <v>1009</v>
      </c>
      <c r="R2422" s="16">
        <v>44329</v>
      </c>
      <c r="S2422" s="17" t="s">
        <v>70</v>
      </c>
      <c r="T2422" s="20">
        <f>HYPERLINK("https://vnm.spiral.com.vn//uploaded/20210513/D9C99B2B-50D8-4EC7-B0BC-B4FA20AC2030.jpg","09:02:37")</f>
      </c>
      <c r="U2422" s="20">
        <f>HYPERLINK("https://vnm.spiral.com.vn//uploaded/20210513/C335CDE7-690B-4386-9F2B-8F8CAA5A63FF.jpg","10:20:19")</f>
      </c>
      <c r="V2422" s="18">
        <v>0.05395833333333333</v>
      </c>
      <c r="W2422" s="15" t="s">
        <v>12403</v>
      </c>
      <c r="X2422" s="15" t="s">
        <v>12404</v>
      </c>
      <c r="Y2422" s="15" t="s">
        <v>35</v>
      </c>
      <c r="Z2422" s="19">
        <v>0</v>
      </c>
      <c r="AA2422" s="15">
        <v>0</v>
      </c>
      <c r="AB2422" s="15" t="s">
        <v>35</v>
      </c>
    </row>
    <row r="2423">
      <c r="A2423" s="15">
        <v>2419</v>
      </c>
      <c r="B2423" s="15" t="s">
        <v>87</v>
      </c>
      <c r="C2423" s="15" t="s">
        <v>88</v>
      </c>
      <c r="D2423" s="15" t="s">
        <v>35</v>
      </c>
      <c r="E2423" s="15" t="s">
        <v>35</v>
      </c>
      <c r="F2423" s="15" t="s">
        <v>35</v>
      </c>
      <c r="G2423" s="15" t="s">
        <v>74</v>
      </c>
      <c r="H2423" s="15" t="s">
        <v>12405</v>
      </c>
      <c r="I2423" s="15" t="s">
        <v>12406</v>
      </c>
      <c r="J2423" s="15" t="s">
        <v>12407</v>
      </c>
      <c r="K2423" s="15" t="s">
        <v>888</v>
      </c>
      <c r="L2423" s="15" t="s">
        <v>889</v>
      </c>
      <c r="M2423" s="15" t="s">
        <v>924</v>
      </c>
      <c r="N2423" s="15" t="s">
        <v>925</v>
      </c>
      <c r="O2423" s="15" t="s">
        <v>82</v>
      </c>
      <c r="P2423" s="15" t="s">
        <v>1893</v>
      </c>
      <c r="Q2423" s="15" t="s">
        <v>1894</v>
      </c>
      <c r="R2423" s="16">
        <v>44329</v>
      </c>
      <c r="S2423" s="17" t="s">
        <v>70</v>
      </c>
      <c r="T2423" s="20">
        <f>HYPERLINK("https://vnm.spiral.com.vn//uploaded/20210513/921B7B80-B09D-4AB6-8323-03873F3AEB55.jpg","09:58:23")</f>
      </c>
      <c r="U2423" s="20">
        <f>HYPERLINK("https://vnm.spiral.com.vn//uploaded/20210513/D7962A0F-29EF-4AE5-844F-DB0C14D7036D.jpg","10:20:16")</f>
      </c>
      <c r="V2423" s="18">
        <v>0.015196759259259259</v>
      </c>
      <c r="W2423" s="15" t="s">
        <v>12408</v>
      </c>
      <c r="X2423" s="15" t="s">
        <v>12409</v>
      </c>
      <c r="Y2423" s="15" t="s">
        <v>35</v>
      </c>
      <c r="Z2423" s="19">
        <v>0</v>
      </c>
      <c r="AA2423" s="15">
        <v>0</v>
      </c>
      <c r="AB2423" s="15" t="s">
        <v>35</v>
      </c>
    </row>
    <row r="2424">
      <c r="A2424" s="15">
        <v>2420</v>
      </c>
      <c r="B2424" s="15" t="s">
        <v>87</v>
      </c>
      <c r="C2424" s="15" t="s">
        <v>88</v>
      </c>
      <c r="D2424" s="15" t="s">
        <v>135</v>
      </c>
      <c r="E2424" s="15" t="s">
        <v>116</v>
      </c>
      <c r="F2424" s="15" t="s">
        <v>35</v>
      </c>
      <c r="G2424" s="15" t="s">
        <v>74</v>
      </c>
      <c r="H2424" s="15" t="s">
        <v>12410</v>
      </c>
      <c r="I2424" s="15" t="s">
        <v>12411</v>
      </c>
      <c r="J2424" s="15" t="s">
        <v>12412</v>
      </c>
      <c r="K2424" s="15" t="s">
        <v>139</v>
      </c>
      <c r="L2424" s="15" t="s">
        <v>140</v>
      </c>
      <c r="M2424" s="15" t="s">
        <v>141</v>
      </c>
      <c r="N2424" s="15" t="s">
        <v>142</v>
      </c>
      <c r="O2424" s="15" t="s">
        <v>82</v>
      </c>
      <c r="P2424" s="15" t="s">
        <v>1400</v>
      </c>
      <c r="Q2424" s="15" t="s">
        <v>1401</v>
      </c>
      <c r="R2424" s="16">
        <v>44329</v>
      </c>
      <c r="S2424" s="17" t="s">
        <v>70</v>
      </c>
      <c r="T2424" s="20">
        <f>HYPERLINK("https://vnm.spiral.com.vn//uploaded/20210513/816C4351-12D9-47F8-9700-F2860A146C74.jpg","09:08:01")</f>
      </c>
      <c r="U2424" s="20">
        <f>HYPERLINK("https://vnm.spiral.com.vn//uploaded/20210513/6D3FA792-9716-4BD0-AF2B-225B791D6870.jpg","10:20:14")</f>
      </c>
      <c r="V2424" s="18">
        <v>0.050150462962962966</v>
      </c>
      <c r="W2424" s="15" t="s">
        <v>12413</v>
      </c>
      <c r="X2424" s="15" t="s">
        <v>12414</v>
      </c>
      <c r="Y2424" s="15" t="s">
        <v>35</v>
      </c>
      <c r="Z2424" s="19">
        <v>0</v>
      </c>
      <c r="AA2424" s="15">
        <v>0</v>
      </c>
      <c r="AB2424" s="15" t="s">
        <v>35</v>
      </c>
    </row>
    <row r="2425">
      <c r="A2425" s="15">
        <v>2421</v>
      </c>
      <c r="B2425" s="15" t="s">
        <v>61</v>
      </c>
      <c r="C2425" s="15" t="s">
        <v>904</v>
      </c>
      <c r="D2425" s="15" t="s">
        <v>35</v>
      </c>
      <c r="E2425" s="15" t="s">
        <v>35</v>
      </c>
      <c r="F2425" s="15" t="s">
        <v>35</v>
      </c>
      <c r="G2425" s="15" t="s">
        <v>36</v>
      </c>
      <c r="H2425" s="15" t="s">
        <v>12415</v>
      </c>
      <c r="I2425" s="15" t="s">
        <v>12416</v>
      </c>
      <c r="J2425" s="15" t="s">
        <v>12417</v>
      </c>
      <c r="K2425" s="15" t="s">
        <v>40</v>
      </c>
      <c r="L2425" s="15" t="s">
        <v>41</v>
      </c>
      <c r="M2425" s="15" t="s">
        <v>66</v>
      </c>
      <c r="N2425" s="15" t="s">
        <v>67</v>
      </c>
      <c r="O2425" s="15" t="s">
        <v>44</v>
      </c>
      <c r="P2425" s="15" t="s">
        <v>12418</v>
      </c>
      <c r="Q2425" s="15" t="s">
        <v>12419</v>
      </c>
      <c r="R2425" s="16">
        <v>44329</v>
      </c>
      <c r="S2425" s="17" t="s">
        <v>12220</v>
      </c>
      <c r="T2425" s="20">
        <f>HYPERLINK("https://vnm.spiral.com.vn//uploaded/20210513/fcf962b4-e425-4bf3-a945-af620a63ccea.JPEG","10:20:12")</f>
      </c>
      <c r="U2425" s="18"/>
      <c r="V2425" s="18" t="s">
        <v>35</v>
      </c>
      <c r="W2425" s="15" t="s">
        <v>12420</v>
      </c>
      <c r="X2425" s="15" t="s">
        <v>35</v>
      </c>
      <c r="Y2425" s="15" t="s">
        <v>35</v>
      </c>
      <c r="Z2425" s="19">
        <v>0</v>
      </c>
      <c r="AA2425" s="15">
        <v>0</v>
      </c>
      <c r="AB2425" s="15" t="s">
        <v>35</v>
      </c>
    </row>
    <row r="2426">
      <c r="A2426" s="15">
        <v>2422</v>
      </c>
      <c r="B2426" s="15" t="s">
        <v>49</v>
      </c>
      <c r="C2426" s="15" t="s">
        <v>1715</v>
      </c>
      <c r="D2426" s="15" t="s">
        <v>135</v>
      </c>
      <c r="E2426" s="15" t="s">
        <v>116</v>
      </c>
      <c r="F2426" s="15" t="s">
        <v>35</v>
      </c>
      <c r="G2426" s="15" t="s">
        <v>74</v>
      </c>
      <c r="H2426" s="15" t="s">
        <v>12421</v>
      </c>
      <c r="I2426" s="15" t="s">
        <v>12422</v>
      </c>
      <c r="J2426" s="15" t="s">
        <v>12423</v>
      </c>
      <c r="K2426" s="15" t="s">
        <v>166</v>
      </c>
      <c r="L2426" s="15" t="s">
        <v>167</v>
      </c>
      <c r="M2426" s="15" t="s">
        <v>168</v>
      </c>
      <c r="N2426" s="15" t="s">
        <v>169</v>
      </c>
      <c r="O2426" s="15" t="s">
        <v>82</v>
      </c>
      <c r="P2426" s="15" t="s">
        <v>2590</v>
      </c>
      <c r="Q2426" s="15" t="s">
        <v>2591</v>
      </c>
      <c r="R2426" s="16">
        <v>44329</v>
      </c>
      <c r="S2426" s="17" t="s">
        <v>70</v>
      </c>
      <c r="T2426" s="20">
        <f>HYPERLINK("https://vnm.spiral.com.vn//uploaded/20210513/2b8f4bc5-ba0f-4f95-ad18-0876e68436bc.JPEG","09:08:55")</f>
      </c>
      <c r="U2426" s="20">
        <f>HYPERLINK("https://vnm.spiral.com.vn//uploaded/20210513/97827b1a-07e0-4cca-bcba-6b3f17be6fb7.JPEG","10:19:08")</f>
      </c>
      <c r="V2426" s="18">
        <v>0.048761574074074075</v>
      </c>
      <c r="W2426" s="15" t="s">
        <v>12424</v>
      </c>
      <c r="X2426" s="15" t="s">
        <v>12425</v>
      </c>
      <c r="Y2426" s="15" t="s">
        <v>35</v>
      </c>
      <c r="Z2426" s="19">
        <v>0</v>
      </c>
      <c r="AA2426" s="15">
        <v>0</v>
      </c>
      <c r="AB2426" s="15" t="s">
        <v>35</v>
      </c>
    </row>
    <row r="2427">
      <c r="A2427" s="15">
        <v>2423</v>
      </c>
      <c r="B2427" s="15" t="s">
        <v>87</v>
      </c>
      <c r="C2427" s="15" t="s">
        <v>88</v>
      </c>
      <c r="D2427" s="15" t="s">
        <v>610</v>
      </c>
      <c r="E2427" s="15" t="s">
        <v>90</v>
      </c>
      <c r="F2427" s="15" t="s">
        <v>35</v>
      </c>
      <c r="G2427" s="15" t="s">
        <v>74</v>
      </c>
      <c r="H2427" s="15" t="s">
        <v>12426</v>
      </c>
      <c r="I2427" s="15" t="s">
        <v>12427</v>
      </c>
      <c r="J2427" s="15" t="s">
        <v>12428</v>
      </c>
      <c r="K2427" s="15" t="s">
        <v>94</v>
      </c>
      <c r="L2427" s="15" t="s">
        <v>95</v>
      </c>
      <c r="M2427" s="15" t="s">
        <v>614</v>
      </c>
      <c r="N2427" s="15" t="s">
        <v>615</v>
      </c>
      <c r="O2427" s="15" t="s">
        <v>82</v>
      </c>
      <c r="P2427" s="15" t="s">
        <v>1341</v>
      </c>
      <c r="Q2427" s="15" t="s">
        <v>1342</v>
      </c>
      <c r="R2427" s="16">
        <v>44329</v>
      </c>
      <c r="S2427" s="17" t="s">
        <v>70</v>
      </c>
      <c r="T2427" s="20">
        <f>HYPERLINK("https://vnm.spiral.com.vn//uploaded/20210513/1D3326BA-9DA3-4C2E-80A6-8DF55C69CCE3.jpg","09:58:14")</f>
      </c>
      <c r="U2427" s="20">
        <f>HYPERLINK("https://vnm.spiral.com.vn//uploaded/20210513/C36112BA-32E1-4D26-AB79-E6576F2A686D.jpg","10:18:50")</f>
      </c>
      <c r="V2427" s="18">
        <v>0.014305555555555556</v>
      </c>
      <c r="W2427" s="15" t="s">
        <v>12429</v>
      </c>
      <c r="X2427" s="15" t="s">
        <v>12430</v>
      </c>
      <c r="Y2427" s="15" t="s">
        <v>35</v>
      </c>
      <c r="Z2427" s="19">
        <v>0</v>
      </c>
      <c r="AA2427" s="15">
        <v>0</v>
      </c>
      <c r="AB2427" s="15" t="s">
        <v>35</v>
      </c>
    </row>
    <row r="2428">
      <c r="A2428" s="15">
        <v>2424</v>
      </c>
      <c r="B2428" s="15" t="s">
        <v>49</v>
      </c>
      <c r="C2428" s="15" t="s">
        <v>1389</v>
      </c>
      <c r="D2428" s="15" t="s">
        <v>35</v>
      </c>
      <c r="E2428" s="15" t="s">
        <v>35</v>
      </c>
      <c r="F2428" s="15" t="s">
        <v>4452</v>
      </c>
      <c r="G2428" s="15" t="s">
        <v>36</v>
      </c>
      <c r="H2428" s="15" t="s">
        <v>12431</v>
      </c>
      <c r="I2428" s="15" t="s">
        <v>12432</v>
      </c>
      <c r="J2428" s="15" t="s">
        <v>12433</v>
      </c>
      <c r="K2428" s="15" t="s">
        <v>40</v>
      </c>
      <c r="L2428" s="15" t="s">
        <v>41</v>
      </c>
      <c r="M2428" s="15" t="s">
        <v>55</v>
      </c>
      <c r="N2428" s="15" t="s">
        <v>56</v>
      </c>
      <c r="O2428" s="15" t="s">
        <v>44</v>
      </c>
      <c r="P2428" s="15" t="s">
        <v>12434</v>
      </c>
      <c r="Q2428" s="15" t="s">
        <v>12435</v>
      </c>
      <c r="R2428" s="16">
        <v>44329</v>
      </c>
      <c r="S2428" s="17" t="s">
        <v>70</v>
      </c>
      <c r="T2428" s="20">
        <f>HYPERLINK("https://vnm.spiral.com.vn//uploaded/20210513/c724cd59-252b-47fe-9bf8-95bb47376095.JPEG","10:18:48")</f>
      </c>
      <c r="U2428" s="18"/>
      <c r="V2428" s="18" t="s">
        <v>35</v>
      </c>
      <c r="W2428" s="15" t="s">
        <v>12436</v>
      </c>
      <c r="X2428" s="15" t="s">
        <v>35</v>
      </c>
      <c r="Y2428" s="15" t="s">
        <v>35</v>
      </c>
      <c r="Z2428" s="19">
        <v>0</v>
      </c>
      <c r="AA2428" s="15">
        <v>0</v>
      </c>
      <c r="AB2428" s="15" t="s">
        <v>35</v>
      </c>
    </row>
    <row r="2429">
      <c r="A2429" s="15">
        <v>2425</v>
      </c>
      <c r="B2429" s="15" t="s">
        <v>343</v>
      </c>
      <c r="C2429" s="15" t="s">
        <v>344</v>
      </c>
      <c r="D2429" s="15" t="s">
        <v>536</v>
      </c>
      <c r="E2429" s="15" t="s">
        <v>116</v>
      </c>
      <c r="F2429" s="15" t="s">
        <v>35</v>
      </c>
      <c r="G2429" s="15" t="s">
        <v>74</v>
      </c>
      <c r="H2429" s="15" t="s">
        <v>12437</v>
      </c>
      <c r="I2429" s="15" t="s">
        <v>12438</v>
      </c>
      <c r="J2429" s="15" t="s">
        <v>12439</v>
      </c>
      <c r="K2429" s="15" t="s">
        <v>997</v>
      </c>
      <c r="L2429" s="15" t="s">
        <v>998</v>
      </c>
      <c r="M2429" s="15" t="s">
        <v>1325</v>
      </c>
      <c r="N2429" s="15" t="s">
        <v>1326</v>
      </c>
      <c r="O2429" s="15" t="s">
        <v>82</v>
      </c>
      <c r="P2429" s="15" t="s">
        <v>2576</v>
      </c>
      <c r="Q2429" s="15" t="s">
        <v>2577</v>
      </c>
      <c r="R2429" s="16">
        <v>44329</v>
      </c>
      <c r="S2429" s="17" t="s">
        <v>70</v>
      </c>
      <c r="T2429" s="20">
        <f>HYPERLINK("https://vnm.spiral.com.vn//uploaded/20210513/de4285f5-5ee0-4e82-9f62-db58c2c73942.JPEG","09:48:59")</f>
      </c>
      <c r="U2429" s="20">
        <f>HYPERLINK("https://vnm.spiral.com.vn//uploaded/20210513/87db1e9c-4dc2-4345-bcd4-70c05a9560f1.JPEG","10:18:40")</f>
      </c>
      <c r="V2429" s="18">
        <v>0.020613425925925927</v>
      </c>
      <c r="W2429" s="15" t="s">
        <v>12440</v>
      </c>
      <c r="X2429" s="15" t="s">
        <v>12441</v>
      </c>
      <c r="Y2429" s="15" t="s">
        <v>35</v>
      </c>
      <c r="Z2429" s="19">
        <v>0</v>
      </c>
      <c r="AA2429" s="15">
        <v>0</v>
      </c>
      <c r="AB2429" s="15" t="s">
        <v>35</v>
      </c>
    </row>
    <row r="2430">
      <c r="A2430" s="15">
        <v>2426</v>
      </c>
      <c r="B2430" s="15" t="s">
        <v>343</v>
      </c>
      <c r="C2430" s="15" t="s">
        <v>344</v>
      </c>
      <c r="D2430" s="15" t="s">
        <v>878</v>
      </c>
      <c r="E2430" s="15" t="s">
        <v>35</v>
      </c>
      <c r="F2430" s="15" t="s">
        <v>35</v>
      </c>
      <c r="G2430" s="15" t="s">
        <v>74</v>
      </c>
      <c r="H2430" s="15" t="s">
        <v>12442</v>
      </c>
      <c r="I2430" s="15" t="s">
        <v>12443</v>
      </c>
      <c r="J2430" s="15" t="s">
        <v>12444</v>
      </c>
      <c r="K2430" s="15" t="s">
        <v>584</v>
      </c>
      <c r="L2430" s="15" t="s">
        <v>585</v>
      </c>
      <c r="M2430" s="15" t="s">
        <v>586</v>
      </c>
      <c r="N2430" s="15" t="s">
        <v>587</v>
      </c>
      <c r="O2430" s="15" t="s">
        <v>82</v>
      </c>
      <c r="P2430" s="15" t="s">
        <v>1385</v>
      </c>
      <c r="Q2430" s="15" t="s">
        <v>1386</v>
      </c>
      <c r="R2430" s="16">
        <v>44329</v>
      </c>
      <c r="S2430" s="17" t="s">
        <v>70</v>
      </c>
      <c r="T2430" s="20">
        <f>HYPERLINK("https://vnm.spiral.com.vn//uploaded/20210513/d77402de-ccf4-4233-9bbb-1f1de2418cac.JPEG","09:25:56")</f>
      </c>
      <c r="U2430" s="20">
        <f>HYPERLINK("https://vnm.spiral.com.vn//uploaded/20210513/a9320ab7-4724-4a52-a429-3190285b3ec3.JPEG","10:18:37")</f>
      </c>
      <c r="V2430" s="18">
        <v>0.036585648148148145</v>
      </c>
      <c r="W2430" s="15" t="s">
        <v>12445</v>
      </c>
      <c r="X2430" s="15" t="s">
        <v>12446</v>
      </c>
      <c r="Y2430" s="15" t="s">
        <v>35</v>
      </c>
      <c r="Z2430" s="19">
        <v>0</v>
      </c>
      <c r="AA2430" s="15">
        <v>0</v>
      </c>
      <c r="AB2430" s="15" t="s">
        <v>35</v>
      </c>
    </row>
    <row r="2431">
      <c r="A2431" s="15">
        <v>2427</v>
      </c>
      <c r="B2431" s="15" t="s">
        <v>103</v>
      </c>
      <c r="C2431" s="15" t="s">
        <v>1078</v>
      </c>
      <c r="D2431" s="15" t="s">
        <v>432</v>
      </c>
      <c r="E2431" s="15" t="s">
        <v>116</v>
      </c>
      <c r="F2431" s="15" t="s">
        <v>35</v>
      </c>
      <c r="G2431" s="15" t="s">
        <v>74</v>
      </c>
      <c r="H2431" s="15" t="s">
        <v>12447</v>
      </c>
      <c r="I2431" s="15" t="s">
        <v>12448</v>
      </c>
      <c r="J2431" s="15" t="s">
        <v>12449</v>
      </c>
      <c r="K2431" s="15" t="s">
        <v>436</v>
      </c>
      <c r="L2431" s="15" t="s">
        <v>437</v>
      </c>
      <c r="M2431" s="15" t="s">
        <v>438</v>
      </c>
      <c r="N2431" s="15" t="s">
        <v>439</v>
      </c>
      <c r="O2431" s="15" t="s">
        <v>82</v>
      </c>
      <c r="P2431" s="15" t="s">
        <v>1082</v>
      </c>
      <c r="Q2431" s="15" t="s">
        <v>1083</v>
      </c>
      <c r="R2431" s="16">
        <v>44329</v>
      </c>
      <c r="S2431" s="17" t="s">
        <v>70</v>
      </c>
      <c r="T2431" s="20">
        <f>HYPERLINK("https://vnm.spiral.com.vn//uploaded/20210513/2DD3471F-F7F0-41F0-AAC1-AF55AA1F6ED4.jpg","09:55:46")</f>
      </c>
      <c r="U2431" s="20">
        <f>HYPERLINK("https://vnm.spiral.com.vn//uploaded/20210513/244621AA-10C0-4E68-A4F9-ED0A6DCC3E79.jpg","10:18:31")</f>
      </c>
      <c r="V2431" s="18">
        <v>0.01579861111111111</v>
      </c>
      <c r="W2431" s="15" t="s">
        <v>12450</v>
      </c>
      <c r="X2431" s="15" t="s">
        <v>12451</v>
      </c>
      <c r="Y2431" s="15" t="s">
        <v>35</v>
      </c>
      <c r="Z2431" s="19">
        <v>0</v>
      </c>
      <c r="AA2431" s="15">
        <v>0</v>
      </c>
      <c r="AB2431" s="15" t="s">
        <v>35</v>
      </c>
    </row>
    <row r="2432">
      <c r="A2432" s="15">
        <v>2428</v>
      </c>
      <c r="B2432" s="15" t="s">
        <v>87</v>
      </c>
      <c r="C2432" s="15" t="s">
        <v>88</v>
      </c>
      <c r="D2432" s="15" t="s">
        <v>135</v>
      </c>
      <c r="E2432" s="15" t="s">
        <v>116</v>
      </c>
      <c r="F2432" s="15" t="s">
        <v>35</v>
      </c>
      <c r="G2432" s="15" t="s">
        <v>74</v>
      </c>
      <c r="H2432" s="15" t="s">
        <v>12452</v>
      </c>
      <c r="I2432" s="15" t="s">
        <v>12453</v>
      </c>
      <c r="J2432" s="15" t="s">
        <v>12454</v>
      </c>
      <c r="K2432" s="15" t="s">
        <v>139</v>
      </c>
      <c r="L2432" s="15" t="s">
        <v>140</v>
      </c>
      <c r="M2432" s="15" t="s">
        <v>530</v>
      </c>
      <c r="N2432" s="15" t="s">
        <v>531</v>
      </c>
      <c r="O2432" s="15" t="s">
        <v>82</v>
      </c>
      <c r="P2432" s="15" t="s">
        <v>2158</v>
      </c>
      <c r="Q2432" s="15" t="s">
        <v>2159</v>
      </c>
      <c r="R2432" s="16">
        <v>44329</v>
      </c>
      <c r="S2432" s="17" t="s">
        <v>70</v>
      </c>
      <c r="T2432" s="20">
        <f>HYPERLINK("https://vnm.spiral.com.vn//uploaded/20210513/6a0ef7ec-38b4-4465-a6df-3148436d39fd.JPEG","09:17:52")</f>
      </c>
      <c r="U2432" s="20">
        <f>HYPERLINK("https://vnm.spiral.com.vn//uploaded/20210513/e8049073-b818-4b63-9078-3091ff7cc921.JPEG","10:18:23")</f>
      </c>
      <c r="V2432" s="18">
        <v>0.042025462962962966</v>
      </c>
      <c r="W2432" s="15" t="s">
        <v>12455</v>
      </c>
      <c r="X2432" s="15" t="s">
        <v>12456</v>
      </c>
      <c r="Y2432" s="15" t="s">
        <v>35</v>
      </c>
      <c r="Z2432" s="19">
        <v>0</v>
      </c>
      <c r="AA2432" s="15">
        <v>0</v>
      </c>
      <c r="AB2432" s="15" t="s">
        <v>35</v>
      </c>
    </row>
    <row r="2433">
      <c r="A2433" s="15">
        <v>2429</v>
      </c>
      <c r="B2433" s="15" t="s">
        <v>61</v>
      </c>
      <c r="C2433" s="15" t="s">
        <v>442</v>
      </c>
      <c r="D2433" s="15" t="s">
        <v>35</v>
      </c>
      <c r="E2433" s="15" t="s">
        <v>35</v>
      </c>
      <c r="F2433" s="15" t="s">
        <v>35</v>
      </c>
      <c r="G2433" s="15" t="s">
        <v>36</v>
      </c>
      <c r="H2433" s="15" t="s">
        <v>12457</v>
      </c>
      <c r="I2433" s="15" t="s">
        <v>12458</v>
      </c>
      <c r="J2433" s="15" t="s">
        <v>12459</v>
      </c>
      <c r="K2433" s="15" t="s">
        <v>40</v>
      </c>
      <c r="L2433" s="15" t="s">
        <v>41</v>
      </c>
      <c r="M2433" s="15" t="s">
        <v>205</v>
      </c>
      <c r="N2433" s="15" t="s">
        <v>206</v>
      </c>
      <c r="O2433" s="15" t="s">
        <v>44</v>
      </c>
      <c r="P2433" s="15" t="s">
        <v>12460</v>
      </c>
      <c r="Q2433" s="15" t="s">
        <v>12461</v>
      </c>
      <c r="R2433" s="16">
        <v>44329</v>
      </c>
      <c r="S2433" s="17" t="s">
        <v>35</v>
      </c>
      <c r="T2433" s="20">
        <f>HYPERLINK("https://vnm.spiral.com.vn//uploaded/20210513/03D44402-4D4A-42C1-8191-749AD8D5A105.jpg","10:18:06")</f>
      </c>
      <c r="U2433" s="18"/>
      <c r="V2433" s="18" t="s">
        <v>35</v>
      </c>
      <c r="W2433" s="15" t="s">
        <v>12462</v>
      </c>
      <c r="X2433" s="15" t="s">
        <v>35</v>
      </c>
      <c r="Y2433" s="15" t="s">
        <v>35</v>
      </c>
      <c r="Z2433" s="19">
        <v>0</v>
      </c>
      <c r="AA2433" s="15">
        <v>0</v>
      </c>
      <c r="AB2433" s="15" t="s">
        <v>35</v>
      </c>
    </row>
    <row r="2434">
      <c r="A2434" s="15">
        <v>2430</v>
      </c>
      <c r="B2434" s="15" t="s">
        <v>343</v>
      </c>
      <c r="C2434" s="15" t="s">
        <v>344</v>
      </c>
      <c r="D2434" s="15" t="s">
        <v>432</v>
      </c>
      <c r="E2434" s="15" t="s">
        <v>116</v>
      </c>
      <c r="F2434" s="15" t="s">
        <v>35</v>
      </c>
      <c r="G2434" s="15" t="s">
        <v>74</v>
      </c>
      <c r="H2434" s="15" t="s">
        <v>12463</v>
      </c>
      <c r="I2434" s="15" t="s">
        <v>12464</v>
      </c>
      <c r="J2434" s="15" t="s">
        <v>12465</v>
      </c>
      <c r="K2434" s="15" t="s">
        <v>1168</v>
      </c>
      <c r="L2434" s="15" t="s">
        <v>1169</v>
      </c>
      <c r="M2434" s="15" t="s">
        <v>1170</v>
      </c>
      <c r="N2434" s="15" t="s">
        <v>1171</v>
      </c>
      <c r="O2434" s="15" t="s">
        <v>82</v>
      </c>
      <c r="P2434" s="15" t="s">
        <v>1726</v>
      </c>
      <c r="Q2434" s="15" t="s">
        <v>1727</v>
      </c>
      <c r="R2434" s="16">
        <v>44329</v>
      </c>
      <c r="S2434" s="17" t="s">
        <v>70</v>
      </c>
      <c r="T2434" s="20">
        <f>HYPERLINK("https://vnm.spiral.com.vn//uploaded/20210513/838d8228-6da2-4595-8417-f8ef20ef83d7.JPEG","08:00:09")</f>
      </c>
      <c r="U2434" s="20">
        <f>HYPERLINK("https://vnm.spiral.com.vn//uploaded/20210513/e1954d7b-dfe8-48fa-9a04-3dd037a006a4.JPEG","10:17:15")</f>
      </c>
      <c r="V2434" s="18">
        <v>0.09520833333333334</v>
      </c>
      <c r="W2434" s="15" t="s">
        <v>12466</v>
      </c>
      <c r="X2434" s="15" t="s">
        <v>12467</v>
      </c>
      <c r="Y2434" s="15" t="s">
        <v>35</v>
      </c>
      <c r="Z2434" s="19">
        <v>0</v>
      </c>
      <c r="AA2434" s="15">
        <v>0</v>
      </c>
      <c r="AB2434" s="15" t="s">
        <v>35</v>
      </c>
    </row>
    <row r="2435">
      <c r="A2435" s="15">
        <v>2431</v>
      </c>
      <c r="B2435" s="15" t="s">
        <v>343</v>
      </c>
      <c r="C2435" s="15" t="s">
        <v>344</v>
      </c>
      <c r="D2435" s="15" t="s">
        <v>35</v>
      </c>
      <c r="E2435" s="15" t="s">
        <v>35</v>
      </c>
      <c r="F2435" s="15" t="s">
        <v>35</v>
      </c>
      <c r="G2435" s="15" t="s">
        <v>74</v>
      </c>
      <c r="H2435" s="15" t="s">
        <v>12468</v>
      </c>
      <c r="I2435" s="15" t="s">
        <v>12469</v>
      </c>
      <c r="J2435" s="15" t="s">
        <v>12470</v>
      </c>
      <c r="K2435" s="15" t="s">
        <v>584</v>
      </c>
      <c r="L2435" s="15" t="s">
        <v>585</v>
      </c>
      <c r="M2435" s="15" t="s">
        <v>827</v>
      </c>
      <c r="N2435" s="15" t="s">
        <v>828</v>
      </c>
      <c r="O2435" s="15" t="s">
        <v>82</v>
      </c>
      <c r="P2435" s="15" t="s">
        <v>2484</v>
      </c>
      <c r="Q2435" s="15" t="s">
        <v>2485</v>
      </c>
      <c r="R2435" s="16">
        <v>44329</v>
      </c>
      <c r="S2435" s="17" t="s">
        <v>70</v>
      </c>
      <c r="T2435" s="20">
        <f>HYPERLINK("https://vnm.spiral.com.vn//uploaded/20210513/B65219BE-E14B-47FA-A6C4-89163860AA39.jpg","10:01:21")</f>
      </c>
      <c r="U2435" s="20">
        <f>HYPERLINK("https://vnm.spiral.com.vn//uploaded/20210513/FC6B507E-C273-4A9D-BD1D-0137C822EF26.jpg","10:17:15")</f>
      </c>
      <c r="V2435" s="18">
        <v>0.011041666666666667</v>
      </c>
      <c r="W2435" s="15" t="s">
        <v>12471</v>
      </c>
      <c r="X2435" s="15" t="s">
        <v>12472</v>
      </c>
      <c r="Y2435" s="15" t="s">
        <v>35</v>
      </c>
      <c r="Z2435" s="19">
        <v>0</v>
      </c>
      <c r="AA2435" s="15">
        <v>0</v>
      </c>
      <c r="AB2435" s="15" t="s">
        <v>35</v>
      </c>
    </row>
    <row r="2436">
      <c r="A2436" s="15">
        <v>2432</v>
      </c>
      <c r="B2436" s="15" t="s">
        <v>61</v>
      </c>
      <c r="C2436" s="15" t="s">
        <v>1106</v>
      </c>
      <c r="D2436" s="15" t="s">
        <v>135</v>
      </c>
      <c r="E2436" s="15" t="s">
        <v>116</v>
      </c>
      <c r="F2436" s="15" t="s">
        <v>35</v>
      </c>
      <c r="G2436" s="15" t="s">
        <v>74</v>
      </c>
      <c r="H2436" s="15" t="s">
        <v>12473</v>
      </c>
      <c r="I2436" s="15" t="s">
        <v>12474</v>
      </c>
      <c r="J2436" s="15" t="s">
        <v>12475</v>
      </c>
      <c r="K2436" s="15" t="s">
        <v>154</v>
      </c>
      <c r="L2436" s="15" t="s">
        <v>155</v>
      </c>
      <c r="M2436" s="15" t="s">
        <v>2458</v>
      </c>
      <c r="N2436" s="15" t="s">
        <v>2459</v>
      </c>
      <c r="O2436" s="15" t="s">
        <v>82</v>
      </c>
      <c r="P2436" s="15" t="s">
        <v>6009</v>
      </c>
      <c r="Q2436" s="15" t="s">
        <v>6010</v>
      </c>
      <c r="R2436" s="16">
        <v>44329</v>
      </c>
      <c r="S2436" s="17" t="s">
        <v>70</v>
      </c>
      <c r="T2436" s="20">
        <f>HYPERLINK("https://vnm.spiral.com.vn//uploaded/20210513/bde89ed1-e3f4-45c9-8a3f-5a9ac3543f69.JPEG","07:39:15")</f>
      </c>
      <c r="U2436" s="20">
        <f>HYPERLINK("https://vnm.spiral.com.vn//uploaded/20210513/2f9991cf-f8fb-4aec-a951-d868d828689b.JPEG","10:17:10")</f>
      </c>
      <c r="V2436" s="18">
        <v>0.10966435185185185</v>
      </c>
      <c r="W2436" s="15" t="s">
        <v>12476</v>
      </c>
      <c r="X2436" s="15" t="s">
        <v>12477</v>
      </c>
      <c r="Y2436" s="15" t="s">
        <v>35</v>
      </c>
      <c r="Z2436" s="19">
        <v>0</v>
      </c>
      <c r="AA2436" s="15">
        <v>0</v>
      </c>
      <c r="AB2436" s="15" t="s">
        <v>35</v>
      </c>
    </row>
    <row r="2437">
      <c r="A2437" s="15">
        <v>2433</v>
      </c>
      <c r="B2437" s="15" t="s">
        <v>87</v>
      </c>
      <c r="C2437" s="15" t="s">
        <v>88</v>
      </c>
      <c r="D2437" s="15" t="s">
        <v>610</v>
      </c>
      <c r="E2437" s="15" t="s">
        <v>90</v>
      </c>
      <c r="F2437" s="15" t="s">
        <v>35</v>
      </c>
      <c r="G2437" s="15" t="s">
        <v>74</v>
      </c>
      <c r="H2437" s="15" t="s">
        <v>12478</v>
      </c>
      <c r="I2437" s="15" t="s">
        <v>12479</v>
      </c>
      <c r="J2437" s="15" t="s">
        <v>12480</v>
      </c>
      <c r="K2437" s="15" t="s">
        <v>614</v>
      </c>
      <c r="L2437" s="15" t="s">
        <v>615</v>
      </c>
      <c r="M2437" s="15" t="s">
        <v>616</v>
      </c>
      <c r="N2437" s="15" t="s">
        <v>617</v>
      </c>
      <c r="O2437" s="15" t="s">
        <v>82</v>
      </c>
      <c r="P2437" s="15" t="s">
        <v>656</v>
      </c>
      <c r="Q2437" s="15" t="s">
        <v>657</v>
      </c>
      <c r="R2437" s="16">
        <v>44329</v>
      </c>
      <c r="S2437" s="17" t="s">
        <v>70</v>
      </c>
      <c r="T2437" s="20">
        <f>HYPERLINK("https://vnm.spiral.com.vn//uploaded/20210513/418a11cf-f32a-4943-9edb-b3233fe69667.JPEG","08:24:59")</f>
      </c>
      <c r="U2437" s="20">
        <f>HYPERLINK("https://vnm.spiral.com.vn//uploaded/20210513/98212e4f-d69a-4cd4-8cca-ba61d1674157.JPEG","10:17:02")</f>
      </c>
      <c r="V2437" s="18">
        <v>0.0778125</v>
      </c>
      <c r="W2437" s="15" t="s">
        <v>12481</v>
      </c>
      <c r="X2437" s="15" t="s">
        <v>12482</v>
      </c>
      <c r="Y2437" s="15" t="s">
        <v>35</v>
      </c>
      <c r="Z2437" s="19">
        <v>0</v>
      </c>
      <c r="AA2437" s="15">
        <v>0</v>
      </c>
      <c r="AB2437" s="15" t="s">
        <v>35</v>
      </c>
    </row>
    <row r="2438">
      <c r="A2438" s="15">
        <v>2434</v>
      </c>
      <c r="B2438" s="15" t="s">
        <v>87</v>
      </c>
      <c r="C2438" s="15" t="s">
        <v>88</v>
      </c>
      <c r="D2438" s="15" t="s">
        <v>135</v>
      </c>
      <c r="E2438" s="15" t="s">
        <v>116</v>
      </c>
      <c r="F2438" s="15" t="s">
        <v>35</v>
      </c>
      <c r="G2438" s="15" t="s">
        <v>74</v>
      </c>
      <c r="H2438" s="15" t="s">
        <v>12483</v>
      </c>
      <c r="I2438" s="15" t="s">
        <v>12484</v>
      </c>
      <c r="J2438" s="15" t="s">
        <v>12485</v>
      </c>
      <c r="K2438" s="15" t="s">
        <v>390</v>
      </c>
      <c r="L2438" s="15" t="s">
        <v>391</v>
      </c>
      <c r="M2438" s="15" t="s">
        <v>392</v>
      </c>
      <c r="N2438" s="15" t="s">
        <v>393</v>
      </c>
      <c r="O2438" s="15" t="s">
        <v>82</v>
      </c>
      <c r="P2438" s="15" t="s">
        <v>5400</v>
      </c>
      <c r="Q2438" s="15" t="s">
        <v>5401</v>
      </c>
      <c r="R2438" s="16">
        <v>44329</v>
      </c>
      <c r="S2438" s="17" t="s">
        <v>70</v>
      </c>
      <c r="T2438" s="20">
        <f>HYPERLINK("https://vnm.spiral.com.vn//uploaded/20210513/BA63E3EB-3DF1-4A89-84F1-6185790F915D.jpg","09:39:23")</f>
      </c>
      <c r="U2438" s="20">
        <f>HYPERLINK("https://vnm.spiral.com.vn//uploaded/20210513/AAF15AF5-FEDA-4E47-AB3B-21FC1E4F800D.jpg","10:16:50")</f>
      </c>
      <c r="V2438" s="18">
        <v>0.026006944444444444</v>
      </c>
      <c r="W2438" s="15" t="s">
        <v>11367</v>
      </c>
      <c r="X2438" s="15" t="s">
        <v>11367</v>
      </c>
      <c r="Y2438" s="15" t="s">
        <v>35</v>
      </c>
      <c r="Z2438" s="19">
        <v>0</v>
      </c>
      <c r="AA2438" s="15">
        <v>0</v>
      </c>
      <c r="AB2438" s="15" t="s">
        <v>35</v>
      </c>
    </row>
    <row r="2439">
      <c r="A2439" s="15">
        <v>2435</v>
      </c>
      <c r="B2439" s="15" t="s">
        <v>87</v>
      </c>
      <c r="C2439" s="15" t="s">
        <v>88</v>
      </c>
      <c r="D2439" s="15" t="s">
        <v>35</v>
      </c>
      <c r="E2439" s="15" t="s">
        <v>35</v>
      </c>
      <c r="F2439" s="15" t="s">
        <v>35</v>
      </c>
      <c r="G2439" s="15" t="s">
        <v>74</v>
      </c>
      <c r="H2439" s="15" t="s">
        <v>12486</v>
      </c>
      <c r="I2439" s="15" t="s">
        <v>12487</v>
      </c>
      <c r="J2439" s="15" t="s">
        <v>12488</v>
      </c>
      <c r="K2439" s="15" t="s">
        <v>888</v>
      </c>
      <c r="L2439" s="15" t="s">
        <v>889</v>
      </c>
      <c r="M2439" s="15" t="s">
        <v>924</v>
      </c>
      <c r="N2439" s="15" t="s">
        <v>925</v>
      </c>
      <c r="O2439" s="15" t="s">
        <v>82</v>
      </c>
      <c r="P2439" s="15" t="s">
        <v>1906</v>
      </c>
      <c r="Q2439" s="15" t="s">
        <v>1907</v>
      </c>
      <c r="R2439" s="16">
        <v>44329</v>
      </c>
      <c r="S2439" s="17" t="s">
        <v>70</v>
      </c>
      <c r="T2439" s="20">
        <f>HYPERLINK("https://vnm.spiral.com.vn//uploaded/20210513/936294a1-2054-4538-880b-13c5cddc98e7.JPEG","09:54:55")</f>
      </c>
      <c r="U2439" s="20">
        <f>HYPERLINK("https://vnm.spiral.com.vn//uploaded/20210513/53daeade-05d5-448e-bcba-394bc79074a7.JPEG","10:16:47")</f>
      </c>
      <c r="V2439" s="18">
        <v>0.015185185185185185</v>
      </c>
      <c r="W2439" s="15" t="s">
        <v>12489</v>
      </c>
      <c r="X2439" s="15" t="s">
        <v>12490</v>
      </c>
      <c r="Y2439" s="15" t="s">
        <v>35</v>
      </c>
      <c r="Z2439" s="19">
        <v>0</v>
      </c>
      <c r="AA2439" s="15">
        <v>0</v>
      </c>
      <c r="AB2439" s="15" t="s">
        <v>35</v>
      </c>
    </row>
    <row r="2440">
      <c r="A2440" s="15">
        <v>2436</v>
      </c>
      <c r="B2440" s="15" t="s">
        <v>87</v>
      </c>
      <c r="C2440" s="15" t="s">
        <v>88</v>
      </c>
      <c r="D2440" s="15" t="s">
        <v>357</v>
      </c>
      <c r="E2440" s="15" t="s">
        <v>90</v>
      </c>
      <c r="F2440" s="15" t="s">
        <v>35</v>
      </c>
      <c r="G2440" s="15" t="s">
        <v>74</v>
      </c>
      <c r="H2440" s="15" t="s">
        <v>12491</v>
      </c>
      <c r="I2440" s="15" t="s">
        <v>12492</v>
      </c>
      <c r="J2440" s="15" t="s">
        <v>12493</v>
      </c>
      <c r="K2440" s="15" t="s">
        <v>1570</v>
      </c>
      <c r="L2440" s="15" t="s">
        <v>1571</v>
      </c>
      <c r="M2440" s="15" t="s">
        <v>2024</v>
      </c>
      <c r="N2440" s="15" t="s">
        <v>2025</v>
      </c>
      <c r="O2440" s="15" t="s">
        <v>82</v>
      </c>
      <c r="P2440" s="15" t="s">
        <v>2172</v>
      </c>
      <c r="Q2440" s="15" t="s">
        <v>2173</v>
      </c>
      <c r="R2440" s="16">
        <v>44329</v>
      </c>
      <c r="S2440" s="17" t="s">
        <v>70</v>
      </c>
      <c r="T2440" s="20">
        <f>HYPERLINK("https://vnm.spiral.com.vn//uploaded/20210513/1d456816-27bc-4838-ade0-6860b5696a20.JPEG","09:32:04")</f>
      </c>
      <c r="U2440" s="20">
        <f>HYPERLINK("https://vnm.spiral.com.vn//uploaded/20210513/8ee11f87-d6fb-44da-8870-4c28688b12a6.JPEG","10:16:24")</f>
      </c>
      <c r="V2440" s="18">
        <v>0.030787037037037036</v>
      </c>
      <c r="W2440" s="15" t="s">
        <v>12494</v>
      </c>
      <c r="X2440" s="15" t="s">
        <v>12495</v>
      </c>
      <c r="Y2440" s="15" t="s">
        <v>35</v>
      </c>
      <c r="Z2440" s="19">
        <v>0</v>
      </c>
      <c r="AA2440" s="15">
        <v>0</v>
      </c>
      <c r="AB2440" s="15" t="s">
        <v>35</v>
      </c>
    </row>
    <row r="2441">
      <c r="A2441" s="15">
        <v>2437</v>
      </c>
      <c r="B2441" s="15" t="s">
        <v>87</v>
      </c>
      <c r="C2441" s="15" t="s">
        <v>88</v>
      </c>
      <c r="D2441" s="15" t="s">
        <v>89</v>
      </c>
      <c r="E2441" s="15" t="s">
        <v>90</v>
      </c>
      <c r="F2441" s="15" t="s">
        <v>35</v>
      </c>
      <c r="G2441" s="15" t="s">
        <v>74</v>
      </c>
      <c r="H2441" s="15" t="s">
        <v>2606</v>
      </c>
      <c r="I2441" s="15" t="s">
        <v>2607</v>
      </c>
      <c r="J2441" s="15" t="s">
        <v>2608</v>
      </c>
      <c r="K2441" s="15" t="s">
        <v>94</v>
      </c>
      <c r="L2441" s="15" t="s">
        <v>95</v>
      </c>
      <c r="M2441" s="15" t="s">
        <v>96</v>
      </c>
      <c r="N2441" s="15" t="s">
        <v>97</v>
      </c>
      <c r="O2441" s="15" t="s">
        <v>98</v>
      </c>
      <c r="P2441" s="15" t="s">
        <v>1640</v>
      </c>
      <c r="Q2441" s="15" t="s">
        <v>1641</v>
      </c>
      <c r="R2441" s="16">
        <v>44329</v>
      </c>
      <c r="S2441" s="17" t="s">
        <v>70</v>
      </c>
      <c r="T2441" s="20">
        <f>HYPERLINK("https://vnm.spiral.com.vn//uploaded/20210513/12f8cd8d-f9f5-4657-bab8-828f90b2335c.JPEG","07:55:28")</f>
      </c>
      <c r="U2441" s="20">
        <f>HYPERLINK("https://vnm.spiral.com.vn//uploaded/20210513/2a0ebaa0-b383-4b3d-b34b-a4dafe45b7e2.JPEG","10:16:23")</f>
      </c>
      <c r="V2441" s="18">
        <v>0.09785879629629629</v>
      </c>
      <c r="W2441" s="15" t="s">
        <v>12496</v>
      </c>
      <c r="X2441" s="15" t="s">
        <v>12497</v>
      </c>
      <c r="Y2441" s="15" t="s">
        <v>35</v>
      </c>
      <c r="Z2441" s="19">
        <v>0</v>
      </c>
      <c r="AA2441" s="15">
        <v>0</v>
      </c>
      <c r="AB2441" s="15" t="s">
        <v>35</v>
      </c>
    </row>
    <row r="2442">
      <c r="A2442" s="15">
        <v>2438</v>
      </c>
      <c r="B2442" s="15" t="s">
        <v>33</v>
      </c>
      <c r="C2442" s="15" t="s">
        <v>492</v>
      </c>
      <c r="D2442" s="15" t="s">
        <v>357</v>
      </c>
      <c r="E2442" s="15" t="s">
        <v>35</v>
      </c>
      <c r="F2442" s="15" t="s">
        <v>35</v>
      </c>
      <c r="G2442" s="15" t="s">
        <v>74</v>
      </c>
      <c r="H2442" s="15" t="s">
        <v>12498</v>
      </c>
      <c r="I2442" s="15" t="s">
        <v>12499</v>
      </c>
      <c r="J2442" s="15" t="s">
        <v>12500</v>
      </c>
      <c r="K2442" s="15" t="s">
        <v>540</v>
      </c>
      <c r="L2442" s="15" t="s">
        <v>541</v>
      </c>
      <c r="M2442" s="15" t="s">
        <v>78</v>
      </c>
      <c r="N2442" s="15" t="s">
        <v>79</v>
      </c>
      <c r="O2442" s="15" t="s">
        <v>82</v>
      </c>
      <c r="P2442" s="15" t="s">
        <v>1102</v>
      </c>
      <c r="Q2442" s="15" t="s">
        <v>1103</v>
      </c>
      <c r="R2442" s="16">
        <v>44329</v>
      </c>
      <c r="S2442" s="17" t="s">
        <v>70</v>
      </c>
      <c r="T2442" s="20">
        <f>HYPERLINK("https://vnm.spiral.com.vn//uploaded/20210513/d48024ae-f012-487a-9c77-ed2576b30114.JPEG","09:57:43")</f>
      </c>
      <c r="U2442" s="20">
        <f>HYPERLINK("https://vnm.spiral.com.vn//uploaded/20210513/1faa07ab-6394-4985-9045-d17fc0698797.JPEG","10:16:15")</f>
      </c>
      <c r="V2442" s="18">
        <v>0.01287037037037037</v>
      </c>
      <c r="W2442" s="15" t="s">
        <v>12501</v>
      </c>
      <c r="X2442" s="15" t="s">
        <v>12502</v>
      </c>
      <c r="Y2442" s="15" t="s">
        <v>35</v>
      </c>
      <c r="Z2442" s="19">
        <v>0</v>
      </c>
      <c r="AA2442" s="15">
        <v>0</v>
      </c>
      <c r="AB2442" s="15" t="s">
        <v>35</v>
      </c>
    </row>
    <row r="2443">
      <c r="A2443" s="15">
        <v>2439</v>
      </c>
      <c r="B2443" s="15" t="s">
        <v>87</v>
      </c>
      <c r="C2443" s="15" t="s">
        <v>88</v>
      </c>
      <c r="D2443" s="15" t="s">
        <v>135</v>
      </c>
      <c r="E2443" s="15" t="s">
        <v>116</v>
      </c>
      <c r="F2443" s="15" t="s">
        <v>35</v>
      </c>
      <c r="G2443" s="15" t="s">
        <v>74</v>
      </c>
      <c r="H2443" s="15" t="s">
        <v>12503</v>
      </c>
      <c r="I2443" s="15" t="s">
        <v>12504</v>
      </c>
      <c r="J2443" s="15" t="s">
        <v>12505</v>
      </c>
      <c r="K2443" s="15" t="s">
        <v>139</v>
      </c>
      <c r="L2443" s="15" t="s">
        <v>140</v>
      </c>
      <c r="M2443" s="15" t="s">
        <v>530</v>
      </c>
      <c r="N2443" s="15" t="s">
        <v>531</v>
      </c>
      <c r="O2443" s="15" t="s">
        <v>82</v>
      </c>
      <c r="P2443" s="15" t="s">
        <v>2017</v>
      </c>
      <c r="Q2443" s="15" t="s">
        <v>2018</v>
      </c>
      <c r="R2443" s="16">
        <v>44329</v>
      </c>
      <c r="S2443" s="17" t="s">
        <v>70</v>
      </c>
      <c r="T2443" s="20">
        <f>HYPERLINK("https://vnm.spiral.com.vn//uploaded/20210513/4C2AFE56-9067-4610-9CB7-E0C276CD1BFC.jpg","09:13:17")</f>
      </c>
      <c r="U2443" s="20">
        <f>HYPERLINK("https://vnm.spiral.com.vn//uploaded/20210513/64213C04-560F-4889-ABB4-CAD5C9C51D0D.jpg","10:16:05")</f>
      </c>
      <c r="V2443" s="18">
        <v>0.043611111111111114</v>
      </c>
      <c r="W2443" s="15" t="s">
        <v>12506</v>
      </c>
      <c r="X2443" s="15" t="s">
        <v>12507</v>
      </c>
      <c r="Y2443" s="15" t="s">
        <v>35</v>
      </c>
      <c r="Z2443" s="19">
        <v>0</v>
      </c>
      <c r="AA2443" s="15">
        <v>0</v>
      </c>
      <c r="AB2443" s="15" t="s">
        <v>35</v>
      </c>
    </row>
    <row r="2444">
      <c r="A2444" s="15">
        <v>2440</v>
      </c>
      <c r="B2444" s="15" t="s">
        <v>103</v>
      </c>
      <c r="C2444" s="15" t="s">
        <v>104</v>
      </c>
      <c r="D2444" s="15" t="s">
        <v>135</v>
      </c>
      <c r="E2444" s="15" t="s">
        <v>116</v>
      </c>
      <c r="F2444" s="15" t="s">
        <v>35</v>
      </c>
      <c r="G2444" s="15" t="s">
        <v>74</v>
      </c>
      <c r="H2444" s="15" t="s">
        <v>12508</v>
      </c>
      <c r="I2444" s="15" t="s">
        <v>12509</v>
      </c>
      <c r="J2444" s="15" t="s">
        <v>12510</v>
      </c>
      <c r="K2444" s="15" t="s">
        <v>460</v>
      </c>
      <c r="L2444" s="15" t="s">
        <v>461</v>
      </c>
      <c r="M2444" s="15" t="s">
        <v>462</v>
      </c>
      <c r="N2444" s="15" t="s">
        <v>463</v>
      </c>
      <c r="O2444" s="15" t="s">
        <v>82</v>
      </c>
      <c r="P2444" s="15" t="s">
        <v>464</v>
      </c>
      <c r="Q2444" s="15" t="s">
        <v>465</v>
      </c>
      <c r="R2444" s="16">
        <v>44329</v>
      </c>
      <c r="S2444" s="17" t="s">
        <v>70</v>
      </c>
      <c r="T2444" s="20">
        <f>HYPERLINK("https://vnm.spiral.com.vn//uploaded/20210513/5bce27a3-a50d-4bef-9ad8-54a4a8c4834a.JPEG","07:51:54")</f>
      </c>
      <c r="U2444" s="20">
        <f>HYPERLINK("https://vnm.spiral.com.vn//uploaded/20210513/12b905a2-731a-4639-ab8f-06cbcfcb5200.JPEG","10:16:00")</f>
      </c>
      <c r="V2444" s="18">
        <v>0.10006944444444445</v>
      </c>
      <c r="W2444" s="15" t="s">
        <v>12511</v>
      </c>
      <c r="X2444" s="15" t="s">
        <v>12512</v>
      </c>
      <c r="Y2444" s="15" t="s">
        <v>35</v>
      </c>
      <c r="Z2444" s="19">
        <v>0</v>
      </c>
      <c r="AA2444" s="15">
        <v>0</v>
      </c>
      <c r="AB2444" s="15" t="s">
        <v>35</v>
      </c>
    </row>
    <row r="2445">
      <c r="A2445" s="15">
        <v>2441</v>
      </c>
      <c r="B2445" s="15" t="s">
        <v>87</v>
      </c>
      <c r="C2445" s="15" t="s">
        <v>88</v>
      </c>
      <c r="D2445" s="15" t="s">
        <v>35</v>
      </c>
      <c r="E2445" s="15" t="s">
        <v>35</v>
      </c>
      <c r="F2445" s="15" t="s">
        <v>35</v>
      </c>
      <c r="G2445" s="15" t="s">
        <v>74</v>
      </c>
      <c r="H2445" s="15" t="s">
        <v>12513</v>
      </c>
      <c r="I2445" s="15" t="s">
        <v>12514</v>
      </c>
      <c r="J2445" s="15" t="s">
        <v>12515</v>
      </c>
      <c r="K2445" s="15" t="s">
        <v>888</v>
      </c>
      <c r="L2445" s="15" t="s">
        <v>889</v>
      </c>
      <c r="M2445" s="15" t="s">
        <v>924</v>
      </c>
      <c r="N2445" s="15" t="s">
        <v>925</v>
      </c>
      <c r="O2445" s="15" t="s">
        <v>82</v>
      </c>
      <c r="P2445" s="15" t="s">
        <v>926</v>
      </c>
      <c r="Q2445" s="15" t="s">
        <v>927</v>
      </c>
      <c r="R2445" s="16">
        <v>44329</v>
      </c>
      <c r="S2445" s="17" t="s">
        <v>70</v>
      </c>
      <c r="T2445" s="20">
        <f>HYPERLINK("https://vnm.spiral.com.vn//uploaded/20210513/2EDFDD3C-1D91-4352-9934-34F4CE1CE61F.jpg","10:00:01")</f>
      </c>
      <c r="U2445" s="20">
        <f>HYPERLINK("https://vnm.spiral.com.vn//uploaded/20210513/B2FC79A6-4321-4633-91BC-CF441B56DE1D.jpg","10:15:42")</f>
      </c>
      <c r="V2445" s="18">
        <v>0.010891203703703703</v>
      </c>
      <c r="W2445" s="15" t="s">
        <v>12516</v>
      </c>
      <c r="X2445" s="15" t="s">
        <v>12517</v>
      </c>
      <c r="Y2445" s="15" t="s">
        <v>35</v>
      </c>
      <c r="Z2445" s="19">
        <v>0</v>
      </c>
      <c r="AA2445" s="15">
        <v>0</v>
      </c>
      <c r="AB2445" s="15" t="s">
        <v>35</v>
      </c>
    </row>
    <row r="2446">
      <c r="A2446" s="15">
        <v>2442</v>
      </c>
      <c r="B2446" s="15" t="s">
        <v>87</v>
      </c>
      <c r="C2446" s="15" t="s">
        <v>88</v>
      </c>
      <c r="D2446" s="15" t="s">
        <v>35</v>
      </c>
      <c r="E2446" s="15" t="s">
        <v>35</v>
      </c>
      <c r="F2446" s="15" t="s">
        <v>35</v>
      </c>
      <c r="G2446" s="15" t="s">
        <v>74</v>
      </c>
      <c r="H2446" s="15" t="s">
        <v>12518</v>
      </c>
      <c r="I2446" s="15" t="s">
        <v>12519</v>
      </c>
      <c r="J2446" s="15" t="s">
        <v>12520</v>
      </c>
      <c r="K2446" s="15" t="s">
        <v>888</v>
      </c>
      <c r="L2446" s="15" t="s">
        <v>889</v>
      </c>
      <c r="M2446" s="15" t="s">
        <v>924</v>
      </c>
      <c r="N2446" s="15" t="s">
        <v>925</v>
      </c>
      <c r="O2446" s="15" t="s">
        <v>82</v>
      </c>
      <c r="P2446" s="15" t="s">
        <v>1140</v>
      </c>
      <c r="Q2446" s="15" t="s">
        <v>69</v>
      </c>
      <c r="R2446" s="16">
        <v>44329</v>
      </c>
      <c r="S2446" s="17" t="s">
        <v>70</v>
      </c>
      <c r="T2446" s="20">
        <f>HYPERLINK("https://vnm.spiral.com.vn//uploaded/20210513/6c56c199-648d-4189-b334-12401f64259f.JPEG","09:59:58")</f>
      </c>
      <c r="U2446" s="20">
        <f>HYPERLINK("https://vnm.spiral.com.vn//uploaded/20210513/fe159706-35db-46cb-b637-a2ea03a7a68a.JPEG","10:15:13")</f>
      </c>
      <c r="V2446" s="18">
        <v>0.010590277777777778</v>
      </c>
      <c r="W2446" s="15" t="s">
        <v>12521</v>
      </c>
      <c r="X2446" s="15" t="s">
        <v>12522</v>
      </c>
      <c r="Y2446" s="15" t="s">
        <v>35</v>
      </c>
      <c r="Z2446" s="19">
        <v>0</v>
      </c>
      <c r="AA2446" s="15">
        <v>0</v>
      </c>
      <c r="AB2446" s="15" t="s">
        <v>35</v>
      </c>
    </row>
    <row r="2447">
      <c r="A2447" s="15">
        <v>2443</v>
      </c>
      <c r="B2447" s="15" t="s">
        <v>87</v>
      </c>
      <c r="C2447" s="15" t="s">
        <v>88</v>
      </c>
      <c r="D2447" s="15" t="s">
        <v>115</v>
      </c>
      <c r="E2447" s="15" t="s">
        <v>116</v>
      </c>
      <c r="F2447" s="15" t="s">
        <v>35</v>
      </c>
      <c r="G2447" s="15" t="s">
        <v>74</v>
      </c>
      <c r="H2447" s="15" t="s">
        <v>12523</v>
      </c>
      <c r="I2447" s="15" t="s">
        <v>12524</v>
      </c>
      <c r="J2447" s="15" t="s">
        <v>12525</v>
      </c>
      <c r="K2447" s="15" t="s">
        <v>120</v>
      </c>
      <c r="L2447" s="15" t="s">
        <v>121</v>
      </c>
      <c r="M2447" s="15" t="s">
        <v>122</v>
      </c>
      <c r="N2447" s="15" t="s">
        <v>123</v>
      </c>
      <c r="O2447" s="15" t="s">
        <v>82</v>
      </c>
      <c r="P2447" s="15" t="s">
        <v>7564</v>
      </c>
      <c r="Q2447" s="15" t="s">
        <v>7565</v>
      </c>
      <c r="R2447" s="16">
        <v>44329</v>
      </c>
      <c r="S2447" s="17" t="s">
        <v>70</v>
      </c>
      <c r="T2447" s="20">
        <f>HYPERLINK("https://vnm.spiral.com.vn//uploaded/20210513/2F93D649-CEAB-40B6-969D-C69D4AA1B87E.jpg","07:42:35")</f>
      </c>
      <c r="U2447" s="20">
        <f>HYPERLINK("https://vnm.spiral.com.vn//uploaded/20210513/1EBE9A5A-E571-4B10-9CB7-637278BB0FA8.jpg","10:14:51")</f>
      </c>
      <c r="V2447" s="18">
        <v>0.10574074074074075</v>
      </c>
      <c r="W2447" s="15" t="s">
        <v>12526</v>
      </c>
      <c r="X2447" s="15" t="s">
        <v>12526</v>
      </c>
      <c r="Y2447" s="15" t="s">
        <v>35</v>
      </c>
      <c r="Z2447" s="19">
        <v>0</v>
      </c>
      <c r="AA2447" s="15">
        <v>0</v>
      </c>
      <c r="AB2447" s="15" t="s">
        <v>35</v>
      </c>
    </row>
    <row r="2448">
      <c r="A2448" s="15">
        <v>2444</v>
      </c>
      <c r="B2448" s="15" t="s">
        <v>343</v>
      </c>
      <c r="C2448" s="15" t="s">
        <v>344</v>
      </c>
      <c r="D2448" s="15" t="s">
        <v>432</v>
      </c>
      <c r="E2448" s="15" t="s">
        <v>116</v>
      </c>
      <c r="F2448" s="15" t="s">
        <v>35</v>
      </c>
      <c r="G2448" s="15" t="s">
        <v>74</v>
      </c>
      <c r="H2448" s="15" t="s">
        <v>12527</v>
      </c>
      <c r="I2448" s="15" t="s">
        <v>12528</v>
      </c>
      <c r="J2448" s="15" t="s">
        <v>12529</v>
      </c>
      <c r="K2448" s="15" t="s">
        <v>512</v>
      </c>
      <c r="L2448" s="15" t="s">
        <v>513</v>
      </c>
      <c r="M2448" s="15" t="s">
        <v>514</v>
      </c>
      <c r="N2448" s="15" t="s">
        <v>515</v>
      </c>
      <c r="O2448" s="15" t="s">
        <v>82</v>
      </c>
      <c r="P2448" s="15" t="s">
        <v>1633</v>
      </c>
      <c r="Q2448" s="15" t="s">
        <v>1634</v>
      </c>
      <c r="R2448" s="16">
        <v>44329</v>
      </c>
      <c r="S2448" s="17" t="s">
        <v>70</v>
      </c>
      <c r="T2448" s="20">
        <f>HYPERLINK("https://vnm.spiral.com.vn//uploaded/20210513/e4ea9be3-0e43-4eec-bc83-2d0a1fe1c89b.JPEG","07:52:42")</f>
      </c>
      <c r="U2448" s="20">
        <f>HYPERLINK("https://vnm.spiral.com.vn//uploaded/20210513/73e9e3cf-9d95-43d2-9e8f-834792276da0.JPEG","10:14:42")</f>
      </c>
      <c r="V2448" s="18">
        <v>0.09861111111111111</v>
      </c>
      <c r="W2448" s="15" t="s">
        <v>12530</v>
      </c>
      <c r="X2448" s="15" t="s">
        <v>12531</v>
      </c>
      <c r="Y2448" s="15" t="s">
        <v>35</v>
      </c>
      <c r="Z2448" s="19">
        <v>0</v>
      </c>
      <c r="AA2448" s="15">
        <v>0</v>
      </c>
      <c r="AB2448" s="15" t="s">
        <v>35</v>
      </c>
    </row>
    <row r="2449">
      <c r="A2449" s="15">
        <v>2445</v>
      </c>
      <c r="B2449" s="15" t="s">
        <v>87</v>
      </c>
      <c r="C2449" s="15" t="s">
        <v>88</v>
      </c>
      <c r="D2449" s="15" t="s">
        <v>35</v>
      </c>
      <c r="E2449" s="15" t="s">
        <v>35</v>
      </c>
      <c r="F2449" s="15" t="s">
        <v>35</v>
      </c>
      <c r="G2449" s="15" t="s">
        <v>74</v>
      </c>
      <c r="H2449" s="15" t="s">
        <v>12532</v>
      </c>
      <c r="I2449" s="15" t="s">
        <v>12533</v>
      </c>
      <c r="J2449" s="15" t="s">
        <v>12534</v>
      </c>
      <c r="K2449" s="15" t="s">
        <v>888</v>
      </c>
      <c r="L2449" s="15" t="s">
        <v>889</v>
      </c>
      <c r="M2449" s="15" t="s">
        <v>1666</v>
      </c>
      <c r="N2449" s="15" t="s">
        <v>1667</v>
      </c>
      <c r="O2449" s="15" t="s">
        <v>82</v>
      </c>
      <c r="P2449" s="15" t="s">
        <v>6570</v>
      </c>
      <c r="Q2449" s="15" t="s">
        <v>6571</v>
      </c>
      <c r="R2449" s="16">
        <v>44329</v>
      </c>
      <c r="S2449" s="17" t="s">
        <v>70</v>
      </c>
      <c r="T2449" s="20">
        <f>HYPERLINK("https://vnm.spiral.com.vn//uploaded/20210513/88B7C0B4-A9E6-42D0-8D51-EDB635ABAFAB.jpg","09:48:18")</f>
      </c>
      <c r="U2449" s="20">
        <f>HYPERLINK("https://vnm.spiral.com.vn//uploaded/20210513/51E2A9D1-32C9-407B-A2D5-68DC5021B63B.jpg","10:14:29")</f>
      </c>
      <c r="V2449" s="18">
        <v>0.01818287037037037</v>
      </c>
      <c r="W2449" s="15" t="s">
        <v>12535</v>
      </c>
      <c r="X2449" s="15" t="s">
        <v>12536</v>
      </c>
      <c r="Y2449" s="15" t="s">
        <v>35</v>
      </c>
      <c r="Z2449" s="19">
        <v>0</v>
      </c>
      <c r="AA2449" s="15">
        <v>0</v>
      </c>
      <c r="AB2449" s="15" t="s">
        <v>35</v>
      </c>
    </row>
    <row r="2450">
      <c r="A2450" s="15">
        <v>2446</v>
      </c>
      <c r="B2450" s="15" t="s">
        <v>343</v>
      </c>
      <c r="C2450" s="15" t="s">
        <v>344</v>
      </c>
      <c r="D2450" s="15" t="s">
        <v>1644</v>
      </c>
      <c r="E2450" s="15" t="s">
        <v>35</v>
      </c>
      <c r="F2450" s="15" t="s">
        <v>35</v>
      </c>
      <c r="G2450" s="15" t="s">
        <v>74</v>
      </c>
      <c r="H2450" s="15" t="s">
        <v>12537</v>
      </c>
      <c r="I2450" s="15" t="s">
        <v>12538</v>
      </c>
      <c r="J2450" s="15" t="s">
        <v>12539</v>
      </c>
      <c r="K2450" s="15" t="s">
        <v>584</v>
      </c>
      <c r="L2450" s="15" t="s">
        <v>585</v>
      </c>
      <c r="M2450" s="15" t="s">
        <v>827</v>
      </c>
      <c r="N2450" s="15" t="s">
        <v>828</v>
      </c>
      <c r="O2450" s="15" t="s">
        <v>82</v>
      </c>
      <c r="P2450" s="15" t="s">
        <v>2319</v>
      </c>
      <c r="Q2450" s="15" t="s">
        <v>2320</v>
      </c>
      <c r="R2450" s="16">
        <v>44329</v>
      </c>
      <c r="S2450" s="17" t="s">
        <v>70</v>
      </c>
      <c r="T2450" s="20">
        <f>HYPERLINK("https://vnm.spiral.com.vn//uploaded/20210513/4795FAA6-9578-4897-A980-D8D6191A4412.jpg","09:56:11")</f>
      </c>
      <c r="U2450" s="20">
        <f>HYPERLINK("https://vnm.spiral.com.vn//uploaded/20210513/BFAFA1D9-BE3A-452E-AE53-93381701F676.jpg","10:14:04")</f>
      </c>
      <c r="V2450" s="18">
        <v>0.012418981481481482</v>
      </c>
      <c r="W2450" s="15" t="s">
        <v>12540</v>
      </c>
      <c r="X2450" s="15" t="s">
        <v>12541</v>
      </c>
      <c r="Y2450" s="15" t="s">
        <v>35</v>
      </c>
      <c r="Z2450" s="19">
        <v>0</v>
      </c>
      <c r="AA2450" s="15">
        <v>0</v>
      </c>
      <c r="AB2450" s="15" t="s">
        <v>35</v>
      </c>
    </row>
    <row r="2451">
      <c r="A2451" s="15">
        <v>2447</v>
      </c>
      <c r="B2451" s="15" t="s">
        <v>246</v>
      </c>
      <c r="C2451" s="15" t="s">
        <v>259</v>
      </c>
      <c r="D2451" s="15" t="s">
        <v>432</v>
      </c>
      <c r="E2451" s="15" t="s">
        <v>116</v>
      </c>
      <c r="F2451" s="15" t="s">
        <v>35</v>
      </c>
      <c r="G2451" s="15" t="s">
        <v>74</v>
      </c>
      <c r="H2451" s="15" t="s">
        <v>12542</v>
      </c>
      <c r="I2451" s="15" t="s">
        <v>12543</v>
      </c>
      <c r="J2451" s="15" t="s">
        <v>12544</v>
      </c>
      <c r="K2451" s="15" t="s">
        <v>166</v>
      </c>
      <c r="L2451" s="15" t="s">
        <v>167</v>
      </c>
      <c r="M2451" s="15" t="s">
        <v>263</v>
      </c>
      <c r="N2451" s="15" t="s">
        <v>264</v>
      </c>
      <c r="O2451" s="15" t="s">
        <v>82</v>
      </c>
      <c r="P2451" s="15" t="s">
        <v>2216</v>
      </c>
      <c r="Q2451" s="15" t="s">
        <v>2217</v>
      </c>
      <c r="R2451" s="16">
        <v>44329</v>
      </c>
      <c r="S2451" s="17" t="s">
        <v>70</v>
      </c>
      <c r="T2451" s="20">
        <f>HYPERLINK("https://vnm.spiral.com.vn//uploaded/20210513/fd8ce1d3-a9e8-4560-b18a-f9d07833026b.JPEG","08:00:20")</f>
      </c>
      <c r="U2451" s="20">
        <f>HYPERLINK("https://vnm.spiral.com.vn//uploaded/20210513/cc1d98c0-41fd-4fdb-9b3c-fb2001f657e6.JPEG","10:12:26")</f>
      </c>
      <c r="V2451" s="18">
        <v>0.09173611111111112</v>
      </c>
      <c r="W2451" s="15" t="s">
        <v>12545</v>
      </c>
      <c r="X2451" s="15" t="s">
        <v>12546</v>
      </c>
      <c r="Y2451" s="15" t="s">
        <v>35</v>
      </c>
      <c r="Z2451" s="19">
        <v>0</v>
      </c>
      <c r="AA2451" s="15">
        <v>0</v>
      </c>
      <c r="AB2451" s="15" t="s">
        <v>35</v>
      </c>
    </row>
    <row r="2452">
      <c r="A2452" s="15">
        <v>2448</v>
      </c>
      <c r="B2452" s="15" t="s">
        <v>343</v>
      </c>
      <c r="C2452" s="15" t="s">
        <v>344</v>
      </c>
      <c r="D2452" s="15" t="s">
        <v>35</v>
      </c>
      <c r="E2452" s="15" t="s">
        <v>35</v>
      </c>
      <c r="F2452" s="15" t="s">
        <v>35</v>
      </c>
      <c r="G2452" s="15" t="s">
        <v>74</v>
      </c>
      <c r="H2452" s="15" t="s">
        <v>12547</v>
      </c>
      <c r="I2452" s="15" t="s">
        <v>12548</v>
      </c>
      <c r="J2452" s="15" t="s">
        <v>12549</v>
      </c>
      <c r="K2452" s="15" t="s">
        <v>584</v>
      </c>
      <c r="L2452" s="15" t="s">
        <v>585</v>
      </c>
      <c r="M2452" s="15" t="s">
        <v>827</v>
      </c>
      <c r="N2452" s="15" t="s">
        <v>828</v>
      </c>
      <c r="O2452" s="15" t="s">
        <v>82</v>
      </c>
      <c r="P2452" s="15" t="s">
        <v>7778</v>
      </c>
      <c r="Q2452" s="15" t="s">
        <v>7779</v>
      </c>
      <c r="R2452" s="16">
        <v>44329</v>
      </c>
      <c r="S2452" s="17" t="s">
        <v>70</v>
      </c>
      <c r="T2452" s="20">
        <f>HYPERLINK("https://vnm.spiral.com.vn//uploaded/20210513/320e2bef-941e-4a3c-a12e-c5b100833393.JPEG","09:53:46")</f>
      </c>
      <c r="U2452" s="20">
        <f>HYPERLINK("https://vnm.spiral.com.vn//uploaded/20210513/595537a6-4891-4634-832e-7763c83c102b.JPEG","10:11:46")</f>
      </c>
      <c r="V2452" s="18">
        <v>0.0125</v>
      </c>
      <c r="W2452" s="15" t="s">
        <v>12550</v>
      </c>
      <c r="X2452" s="15" t="s">
        <v>12551</v>
      </c>
      <c r="Y2452" s="15" t="s">
        <v>35</v>
      </c>
      <c r="Z2452" s="19">
        <v>0</v>
      </c>
      <c r="AA2452" s="15">
        <v>0</v>
      </c>
      <c r="AB2452" s="15" t="s">
        <v>35</v>
      </c>
    </row>
    <row r="2453">
      <c r="A2453" s="15">
        <v>2449</v>
      </c>
      <c r="B2453" s="15" t="s">
        <v>343</v>
      </c>
      <c r="C2453" s="15" t="s">
        <v>344</v>
      </c>
      <c r="D2453" s="15" t="s">
        <v>35</v>
      </c>
      <c r="E2453" s="15" t="s">
        <v>35</v>
      </c>
      <c r="F2453" s="15" t="s">
        <v>35</v>
      </c>
      <c r="G2453" s="15" t="s">
        <v>74</v>
      </c>
      <c r="H2453" s="15" t="s">
        <v>12552</v>
      </c>
      <c r="I2453" s="15" t="s">
        <v>12553</v>
      </c>
      <c r="J2453" s="15" t="s">
        <v>12554</v>
      </c>
      <c r="K2453" s="15" t="s">
        <v>584</v>
      </c>
      <c r="L2453" s="15" t="s">
        <v>585</v>
      </c>
      <c r="M2453" s="15" t="s">
        <v>827</v>
      </c>
      <c r="N2453" s="15" t="s">
        <v>828</v>
      </c>
      <c r="O2453" s="15" t="s">
        <v>82</v>
      </c>
      <c r="P2453" s="15" t="s">
        <v>2717</v>
      </c>
      <c r="Q2453" s="15" t="s">
        <v>2718</v>
      </c>
      <c r="R2453" s="16">
        <v>44329</v>
      </c>
      <c r="S2453" s="17" t="s">
        <v>70</v>
      </c>
      <c r="T2453" s="20">
        <f>HYPERLINK("https://vnm.spiral.com.vn//uploaded/20210513/CB6E70BA-85C8-4414-846B-A374C2025C88.jpg","07:47:04")</f>
      </c>
      <c r="U2453" s="20">
        <f>HYPERLINK("https://vnm.spiral.com.vn//uploaded/20210513/FEB9291C-5133-4F94-9F25-382B457E0CA8.jpg","10:11:42")</f>
      </c>
      <c r="V2453" s="18">
        <v>0.10043981481481482</v>
      </c>
      <c r="W2453" s="15" t="s">
        <v>12555</v>
      </c>
      <c r="X2453" s="15" t="s">
        <v>12556</v>
      </c>
      <c r="Y2453" s="15" t="s">
        <v>35</v>
      </c>
      <c r="Z2453" s="19">
        <v>0</v>
      </c>
      <c r="AA2453" s="15">
        <v>0</v>
      </c>
      <c r="AB2453" s="15" t="s">
        <v>35</v>
      </c>
    </row>
    <row r="2454">
      <c r="A2454" s="15">
        <v>2450</v>
      </c>
      <c r="B2454" s="15" t="s">
        <v>61</v>
      </c>
      <c r="C2454" s="15" t="s">
        <v>201</v>
      </c>
      <c r="D2454" s="15" t="s">
        <v>35</v>
      </c>
      <c r="E2454" s="15" t="s">
        <v>35</v>
      </c>
      <c r="F2454" s="15" t="s">
        <v>35</v>
      </c>
      <c r="G2454" s="15" t="s">
        <v>36</v>
      </c>
      <c r="H2454" s="15" t="s">
        <v>5647</v>
      </c>
      <c r="I2454" s="15" t="s">
        <v>3174</v>
      </c>
      <c r="J2454" s="15" t="s">
        <v>5648</v>
      </c>
      <c r="K2454" s="15" t="s">
        <v>40</v>
      </c>
      <c r="L2454" s="15" t="s">
        <v>41</v>
      </c>
      <c r="M2454" s="15" t="s">
        <v>205</v>
      </c>
      <c r="N2454" s="15" t="s">
        <v>206</v>
      </c>
      <c r="O2454" s="15" t="s">
        <v>44</v>
      </c>
      <c r="P2454" s="15" t="s">
        <v>5649</v>
      </c>
      <c r="Q2454" s="15" t="s">
        <v>5650</v>
      </c>
      <c r="R2454" s="16">
        <v>44329</v>
      </c>
      <c r="S2454" s="17" t="s">
        <v>3885</v>
      </c>
      <c r="T2454" s="20">
        <f>HYPERLINK("https://vnm.spiral.com.vn//uploaded/20210513/1691b81f-64cb-4c7a-8889-ce213fa94ca2.JPEG","05:58:03")</f>
      </c>
      <c r="U2454" s="20">
        <f>HYPERLINK("https://vnm.spiral.com.vn//uploaded/20210513/22a10cd4-01c5-4f13-a493-cb986c379037.JPEG","10:10:36")</f>
      </c>
      <c r="V2454" s="18">
        <v>0.17538194444444444</v>
      </c>
      <c r="W2454" s="15" t="s">
        <v>12557</v>
      </c>
      <c r="X2454" s="15" t="s">
        <v>12558</v>
      </c>
      <c r="Y2454" s="15" t="s">
        <v>35</v>
      </c>
      <c r="Z2454" s="19">
        <v>0</v>
      </c>
      <c r="AA2454" s="15">
        <v>0</v>
      </c>
      <c r="AB2454" s="15" t="s">
        <v>35</v>
      </c>
    </row>
    <row r="2455">
      <c r="A2455" s="15">
        <v>2451</v>
      </c>
      <c r="B2455" s="15" t="s">
        <v>343</v>
      </c>
      <c r="C2455" s="15" t="s">
        <v>344</v>
      </c>
      <c r="D2455" s="15" t="s">
        <v>1644</v>
      </c>
      <c r="E2455" s="15" t="s">
        <v>35</v>
      </c>
      <c r="F2455" s="15" t="s">
        <v>35</v>
      </c>
      <c r="G2455" s="15" t="s">
        <v>74</v>
      </c>
      <c r="H2455" s="15" t="s">
        <v>12559</v>
      </c>
      <c r="I2455" s="15" t="s">
        <v>12560</v>
      </c>
      <c r="J2455" s="15" t="s">
        <v>12561</v>
      </c>
      <c r="K2455" s="15" t="s">
        <v>584</v>
      </c>
      <c r="L2455" s="15" t="s">
        <v>585</v>
      </c>
      <c r="M2455" s="15" t="s">
        <v>827</v>
      </c>
      <c r="N2455" s="15" t="s">
        <v>828</v>
      </c>
      <c r="O2455" s="15" t="s">
        <v>82</v>
      </c>
      <c r="P2455" s="15" t="s">
        <v>2471</v>
      </c>
      <c r="Q2455" s="15" t="s">
        <v>2472</v>
      </c>
      <c r="R2455" s="16">
        <v>44329</v>
      </c>
      <c r="S2455" s="17" t="s">
        <v>70</v>
      </c>
      <c r="T2455" s="20">
        <f>HYPERLINK("https://vnm.spiral.com.vn//uploaded/20210513/17AA4B5A-1999-4169-AA5E-97D82568800E.jpg","09:53:29")</f>
      </c>
      <c r="U2455" s="20">
        <f>HYPERLINK("https://vnm.spiral.com.vn//uploaded/20210513/D0BEECA3-7337-4669-AF67-D0DEC7C6D2F8.jpg","10:10:27")</f>
      </c>
      <c r="V2455" s="18">
        <v>0.011782407407407408</v>
      </c>
      <c r="W2455" s="15" t="s">
        <v>12562</v>
      </c>
      <c r="X2455" s="15" t="s">
        <v>12279</v>
      </c>
      <c r="Y2455" s="15" t="s">
        <v>35</v>
      </c>
      <c r="Z2455" s="19">
        <v>0</v>
      </c>
      <c r="AA2455" s="15">
        <v>0</v>
      </c>
      <c r="AB2455" s="15" t="s">
        <v>35</v>
      </c>
    </row>
    <row r="2456">
      <c r="A2456" s="15">
        <v>2452</v>
      </c>
      <c r="B2456" s="15" t="s">
        <v>87</v>
      </c>
      <c r="C2456" s="15" t="s">
        <v>88</v>
      </c>
      <c r="D2456" s="15" t="s">
        <v>1910</v>
      </c>
      <c r="E2456" s="15" t="s">
        <v>1910</v>
      </c>
      <c r="F2456" s="15" t="s">
        <v>35</v>
      </c>
      <c r="G2456" s="15" t="s">
        <v>74</v>
      </c>
      <c r="H2456" s="15" t="s">
        <v>12563</v>
      </c>
      <c r="I2456" s="15" t="s">
        <v>12564</v>
      </c>
      <c r="J2456" s="15" t="s">
        <v>12565</v>
      </c>
      <c r="K2456" s="15" t="s">
        <v>888</v>
      </c>
      <c r="L2456" s="15" t="s">
        <v>889</v>
      </c>
      <c r="M2456" s="15" t="s">
        <v>890</v>
      </c>
      <c r="N2456" s="15" t="s">
        <v>891</v>
      </c>
      <c r="O2456" s="15" t="s">
        <v>82</v>
      </c>
      <c r="P2456" s="15" t="s">
        <v>1914</v>
      </c>
      <c r="Q2456" s="15" t="s">
        <v>1915</v>
      </c>
      <c r="R2456" s="16">
        <v>44329</v>
      </c>
      <c r="S2456" s="17" t="s">
        <v>70</v>
      </c>
      <c r="T2456" s="20">
        <f>HYPERLINK("https://vnm.spiral.com.vn//uploaded/20210513/50E45E3D-CEAA-4250-8B7A-7BDCF09A87EE.jpg","09:39:56")</f>
      </c>
      <c r="U2456" s="20">
        <f>HYPERLINK("https://vnm.spiral.com.vn//uploaded/20210513/C3C3E392-3193-4BCB-82E5-F904CB0685D5.jpg","10:09:51")</f>
      </c>
      <c r="V2456" s="18">
        <v>0.020775462962962964</v>
      </c>
      <c r="W2456" s="15" t="s">
        <v>12566</v>
      </c>
      <c r="X2456" s="15" t="s">
        <v>12567</v>
      </c>
      <c r="Y2456" s="15" t="s">
        <v>35</v>
      </c>
      <c r="Z2456" s="19">
        <v>0</v>
      </c>
      <c r="AA2456" s="15">
        <v>0</v>
      </c>
      <c r="AB2456" s="15" t="s">
        <v>35</v>
      </c>
    </row>
    <row r="2457">
      <c r="A2457" s="15">
        <v>2453</v>
      </c>
      <c r="B2457" s="15" t="s">
        <v>61</v>
      </c>
      <c r="C2457" s="15" t="s">
        <v>320</v>
      </c>
      <c r="D2457" s="15" t="s">
        <v>35</v>
      </c>
      <c r="E2457" s="15" t="s">
        <v>35</v>
      </c>
      <c r="F2457" s="15" t="s">
        <v>35</v>
      </c>
      <c r="G2457" s="15" t="s">
        <v>36</v>
      </c>
      <c r="H2457" s="15" t="s">
        <v>12568</v>
      </c>
      <c r="I2457" s="15" t="s">
        <v>2783</v>
      </c>
      <c r="J2457" s="15" t="s">
        <v>12569</v>
      </c>
      <c r="K2457" s="15" t="s">
        <v>40</v>
      </c>
      <c r="L2457" s="15" t="s">
        <v>41</v>
      </c>
      <c r="M2457" s="15" t="s">
        <v>205</v>
      </c>
      <c r="N2457" s="15" t="s">
        <v>206</v>
      </c>
      <c r="O2457" s="15" t="s">
        <v>44</v>
      </c>
      <c r="P2457" s="15" t="s">
        <v>12570</v>
      </c>
      <c r="Q2457" s="15" t="s">
        <v>12571</v>
      </c>
      <c r="R2457" s="16">
        <v>44329</v>
      </c>
      <c r="S2457" s="17" t="s">
        <v>70</v>
      </c>
      <c r="T2457" s="20">
        <f>HYPERLINK("https://vnm.spiral.com.vn//uploaded/20210513/9855eff1-6f5c-454b-b581-2efede5766d9.JPEG","10:09:41")</f>
      </c>
      <c r="U2457" s="18"/>
      <c r="V2457" s="18" t="s">
        <v>35</v>
      </c>
      <c r="W2457" s="15" t="s">
        <v>12572</v>
      </c>
      <c r="X2457" s="15" t="s">
        <v>35</v>
      </c>
      <c r="Y2457" s="15" t="s">
        <v>35</v>
      </c>
      <c r="Z2457" s="19">
        <v>0</v>
      </c>
      <c r="AA2457" s="15">
        <v>0</v>
      </c>
      <c r="AB2457" s="15" t="s">
        <v>35</v>
      </c>
    </row>
    <row r="2458">
      <c r="A2458" s="15">
        <v>2454</v>
      </c>
      <c r="B2458" s="15" t="s">
        <v>87</v>
      </c>
      <c r="C2458" s="15" t="s">
        <v>88</v>
      </c>
      <c r="D2458" s="15" t="s">
        <v>115</v>
      </c>
      <c r="E2458" s="15" t="s">
        <v>116</v>
      </c>
      <c r="F2458" s="15" t="s">
        <v>35</v>
      </c>
      <c r="G2458" s="15" t="s">
        <v>74</v>
      </c>
      <c r="H2458" s="15" t="s">
        <v>12573</v>
      </c>
      <c r="I2458" s="15" t="s">
        <v>12574</v>
      </c>
      <c r="J2458" s="15" t="s">
        <v>12575</v>
      </c>
      <c r="K2458" s="15" t="s">
        <v>120</v>
      </c>
      <c r="L2458" s="15" t="s">
        <v>121</v>
      </c>
      <c r="M2458" s="15" t="s">
        <v>122</v>
      </c>
      <c r="N2458" s="15" t="s">
        <v>123</v>
      </c>
      <c r="O2458" s="15" t="s">
        <v>82</v>
      </c>
      <c r="P2458" s="15" t="s">
        <v>962</v>
      </c>
      <c r="Q2458" s="15" t="s">
        <v>963</v>
      </c>
      <c r="R2458" s="16">
        <v>44329</v>
      </c>
      <c r="S2458" s="17" t="s">
        <v>70</v>
      </c>
      <c r="T2458" s="20">
        <f>HYPERLINK("https://vnm.spiral.com.vn//uploaded/20210513/fdf4f2e2-3b7c-4519-b405-bf919a9ded7c.jpg","07:34:09")</f>
      </c>
      <c r="U2458" s="20">
        <f>HYPERLINK("https://vnm.spiral.com.vn//uploaded/20210513/873626bf-92e0-42d2-a298-ae982dc6563a.jpg","10:09:37")</f>
      </c>
      <c r="V2458" s="18">
        <v>0.10796296296296297</v>
      </c>
      <c r="W2458" s="15" t="s">
        <v>12576</v>
      </c>
      <c r="X2458" s="15" t="s">
        <v>12577</v>
      </c>
      <c r="Y2458" s="15" t="s">
        <v>35</v>
      </c>
      <c r="Z2458" s="19">
        <v>0</v>
      </c>
      <c r="AA2458" s="15">
        <v>0</v>
      </c>
      <c r="AB2458" s="15" t="s">
        <v>35</v>
      </c>
    </row>
    <row r="2459">
      <c r="A2459" s="15">
        <v>2455</v>
      </c>
      <c r="B2459" s="15" t="s">
        <v>87</v>
      </c>
      <c r="C2459" s="15" t="s">
        <v>88</v>
      </c>
      <c r="D2459" s="15" t="s">
        <v>35</v>
      </c>
      <c r="E2459" s="15" t="s">
        <v>35</v>
      </c>
      <c r="F2459" s="15" t="s">
        <v>35</v>
      </c>
      <c r="G2459" s="15" t="s">
        <v>74</v>
      </c>
      <c r="H2459" s="15" t="s">
        <v>12578</v>
      </c>
      <c r="I2459" s="15" t="s">
        <v>12579</v>
      </c>
      <c r="J2459" s="15" t="s">
        <v>12580</v>
      </c>
      <c r="K2459" s="15" t="s">
        <v>190</v>
      </c>
      <c r="L2459" s="15" t="s">
        <v>191</v>
      </c>
      <c r="M2459" s="15" t="s">
        <v>888</v>
      </c>
      <c r="N2459" s="15" t="s">
        <v>889</v>
      </c>
      <c r="O2459" s="15" t="s">
        <v>98</v>
      </c>
      <c r="P2459" s="15" t="s">
        <v>924</v>
      </c>
      <c r="Q2459" s="15" t="s">
        <v>925</v>
      </c>
      <c r="R2459" s="16">
        <v>44329</v>
      </c>
      <c r="S2459" s="17" t="s">
        <v>35</v>
      </c>
      <c r="T2459" s="20">
        <f>HYPERLINK("https://vnm.spiral.com.vn//uploaded/20210513/7e1df77d-e024-42bf-b9e3-dea407328a01.JPEG","09:48:35")</f>
      </c>
      <c r="U2459" s="20">
        <f>HYPERLINK("https://vnm.spiral.com.vn//uploaded/20210513/b2a57129-b0ba-483e-bc99-fcb0754e6082.JPEG","10:09:22")</f>
      </c>
      <c r="V2459" s="18">
        <v>0.01443287037037037</v>
      </c>
      <c r="W2459" s="15" t="s">
        <v>12581</v>
      </c>
      <c r="X2459" s="15" t="s">
        <v>12581</v>
      </c>
      <c r="Y2459" s="15" t="s">
        <v>35</v>
      </c>
      <c r="Z2459" s="19">
        <v>0</v>
      </c>
      <c r="AA2459" s="15">
        <v>0</v>
      </c>
      <c r="AB2459" s="15" t="s">
        <v>35</v>
      </c>
    </row>
    <row r="2460">
      <c r="A2460" s="15">
        <v>2456</v>
      </c>
      <c r="B2460" s="15" t="s">
        <v>343</v>
      </c>
      <c r="C2460" s="15" t="s">
        <v>3117</v>
      </c>
      <c r="D2460" s="15" t="s">
        <v>432</v>
      </c>
      <c r="E2460" s="15" t="s">
        <v>116</v>
      </c>
      <c r="F2460" s="15" t="s">
        <v>35</v>
      </c>
      <c r="G2460" s="15" t="s">
        <v>74</v>
      </c>
      <c r="H2460" s="15" t="s">
        <v>12582</v>
      </c>
      <c r="I2460" s="15" t="s">
        <v>12583</v>
      </c>
      <c r="J2460" s="15" t="s">
        <v>12584</v>
      </c>
      <c r="K2460" s="15" t="s">
        <v>1168</v>
      </c>
      <c r="L2460" s="15" t="s">
        <v>1169</v>
      </c>
      <c r="M2460" s="15" t="s">
        <v>1170</v>
      </c>
      <c r="N2460" s="15" t="s">
        <v>1171</v>
      </c>
      <c r="O2460" s="15" t="s">
        <v>82</v>
      </c>
      <c r="P2460" s="15" t="s">
        <v>3121</v>
      </c>
      <c r="Q2460" s="15" t="s">
        <v>3122</v>
      </c>
      <c r="R2460" s="16">
        <v>44329</v>
      </c>
      <c r="S2460" s="17" t="s">
        <v>70</v>
      </c>
      <c r="T2460" s="20">
        <f>HYPERLINK("https://vnm.spiral.com.vn//uploaded/20210513/8230b602-bb49-4265-a6a0-8403953ff555.JPEG","09:13:32")</f>
      </c>
      <c r="U2460" s="20">
        <f>HYPERLINK("https://vnm.spiral.com.vn//uploaded/20210513/ec159075-11c8-46bb-97b7-17cb9474e9c5.JPEG","10:09:18")</f>
      </c>
      <c r="V2460" s="18">
        <v>0.03872685185185185</v>
      </c>
      <c r="W2460" s="15" t="s">
        <v>12585</v>
      </c>
      <c r="X2460" s="15" t="s">
        <v>12586</v>
      </c>
      <c r="Y2460" s="15" t="s">
        <v>35</v>
      </c>
      <c r="Z2460" s="19">
        <v>0</v>
      </c>
      <c r="AA2460" s="15">
        <v>0</v>
      </c>
      <c r="AB2460" s="15" t="s">
        <v>35</v>
      </c>
    </row>
    <row r="2461">
      <c r="A2461" s="15">
        <v>2457</v>
      </c>
      <c r="B2461" s="15" t="s">
        <v>87</v>
      </c>
      <c r="C2461" s="15" t="s">
        <v>88</v>
      </c>
      <c r="D2461" s="15" t="s">
        <v>610</v>
      </c>
      <c r="E2461" s="15" t="s">
        <v>90</v>
      </c>
      <c r="F2461" s="15" t="s">
        <v>35</v>
      </c>
      <c r="G2461" s="15" t="s">
        <v>74</v>
      </c>
      <c r="H2461" s="15" t="s">
        <v>12587</v>
      </c>
      <c r="I2461" s="15" t="s">
        <v>12588</v>
      </c>
      <c r="J2461" s="15" t="s">
        <v>12589</v>
      </c>
      <c r="K2461" s="15" t="s">
        <v>94</v>
      </c>
      <c r="L2461" s="15" t="s">
        <v>95</v>
      </c>
      <c r="M2461" s="15" t="s">
        <v>614</v>
      </c>
      <c r="N2461" s="15" t="s">
        <v>615</v>
      </c>
      <c r="O2461" s="15" t="s">
        <v>98</v>
      </c>
      <c r="P2461" s="15" t="s">
        <v>1769</v>
      </c>
      <c r="Q2461" s="15" t="s">
        <v>1770</v>
      </c>
      <c r="R2461" s="16">
        <v>44329</v>
      </c>
      <c r="S2461" s="17" t="s">
        <v>70</v>
      </c>
      <c r="T2461" s="20">
        <f>HYPERLINK("https://vnm.spiral.com.vn//uploaded/20210513/2CD741A2-0D94-4C59-B7B0-23DA1833A189.jpg","09:30:02")</f>
      </c>
      <c r="U2461" s="20">
        <f>HYPERLINK("https://vnm.spiral.com.vn//uploaded/20210513/FE15C546-0C24-46F8-B75F-E74D8594055A.jpg","10:08:45")</f>
      </c>
      <c r="V2461" s="18">
        <v>0.026886574074074073</v>
      </c>
      <c r="W2461" s="15" t="s">
        <v>12590</v>
      </c>
      <c r="X2461" s="15" t="s">
        <v>12591</v>
      </c>
      <c r="Y2461" s="15" t="s">
        <v>35</v>
      </c>
      <c r="Z2461" s="19">
        <v>0</v>
      </c>
      <c r="AA2461" s="15">
        <v>0</v>
      </c>
      <c r="AB2461" s="15" t="s">
        <v>35</v>
      </c>
    </row>
    <row r="2462">
      <c r="A2462" s="15">
        <v>2458</v>
      </c>
      <c r="B2462" s="15" t="s">
        <v>87</v>
      </c>
      <c r="C2462" s="15" t="s">
        <v>88</v>
      </c>
      <c r="D2462" s="15" t="s">
        <v>35</v>
      </c>
      <c r="E2462" s="15" t="s">
        <v>35</v>
      </c>
      <c r="F2462" s="15" t="s">
        <v>35</v>
      </c>
      <c r="G2462" s="15" t="s">
        <v>74</v>
      </c>
      <c r="H2462" s="15" t="s">
        <v>12592</v>
      </c>
      <c r="I2462" s="15" t="s">
        <v>12593</v>
      </c>
      <c r="J2462" s="15" t="s">
        <v>12594</v>
      </c>
      <c r="K2462" s="15" t="s">
        <v>888</v>
      </c>
      <c r="L2462" s="15" t="s">
        <v>889</v>
      </c>
      <c r="M2462" s="15" t="s">
        <v>1666</v>
      </c>
      <c r="N2462" s="15" t="s">
        <v>1667</v>
      </c>
      <c r="O2462" s="15" t="s">
        <v>82</v>
      </c>
      <c r="P2462" s="15" t="s">
        <v>1668</v>
      </c>
      <c r="Q2462" s="15" t="s">
        <v>1669</v>
      </c>
      <c r="R2462" s="16">
        <v>44329</v>
      </c>
      <c r="S2462" s="17" t="s">
        <v>70</v>
      </c>
      <c r="T2462" s="20">
        <f>HYPERLINK("https://vnm.spiral.com.vn//uploaded/20210513/4C808C38-3296-4FB6-BE33-7D6B5BF2CC12.jpg","09:28:01")</f>
      </c>
      <c r="U2462" s="20">
        <f>HYPERLINK("https://vnm.spiral.com.vn//uploaded/20210513/337C7D2D-6D2B-44E6-BFF5-6F52E2C47381.jpg","10:08:43")</f>
      </c>
      <c r="V2462" s="18">
        <v>0.02826388888888889</v>
      </c>
      <c r="W2462" s="15" t="s">
        <v>12595</v>
      </c>
      <c r="X2462" s="15" t="s">
        <v>12596</v>
      </c>
      <c r="Y2462" s="15" t="s">
        <v>35</v>
      </c>
      <c r="Z2462" s="19">
        <v>0</v>
      </c>
      <c r="AA2462" s="15">
        <v>0</v>
      </c>
      <c r="AB2462" s="15" t="s">
        <v>35</v>
      </c>
    </row>
    <row r="2463">
      <c r="A2463" s="15">
        <v>2459</v>
      </c>
      <c r="B2463" s="15" t="s">
        <v>103</v>
      </c>
      <c r="C2463" s="15" t="s">
        <v>2116</v>
      </c>
      <c r="D2463" s="15" t="s">
        <v>135</v>
      </c>
      <c r="E2463" s="15" t="s">
        <v>116</v>
      </c>
      <c r="F2463" s="15" t="s">
        <v>35</v>
      </c>
      <c r="G2463" s="15" t="s">
        <v>74</v>
      </c>
      <c r="H2463" s="15" t="s">
        <v>12597</v>
      </c>
      <c r="I2463" s="15" t="s">
        <v>12598</v>
      </c>
      <c r="J2463" s="15" t="s">
        <v>12599</v>
      </c>
      <c r="K2463" s="15" t="s">
        <v>178</v>
      </c>
      <c r="L2463" s="15" t="s">
        <v>179</v>
      </c>
      <c r="M2463" s="15" t="s">
        <v>2120</v>
      </c>
      <c r="N2463" s="15" t="s">
        <v>2121</v>
      </c>
      <c r="O2463" s="15" t="s">
        <v>82</v>
      </c>
      <c r="P2463" s="15" t="s">
        <v>2186</v>
      </c>
      <c r="Q2463" s="15" t="s">
        <v>2187</v>
      </c>
      <c r="R2463" s="16">
        <v>44329</v>
      </c>
      <c r="S2463" s="17" t="s">
        <v>70</v>
      </c>
      <c r="T2463" s="20">
        <f>HYPERLINK("https://vnm.spiral.com.vn//uploaded/20210513/758ac145-11ff-4992-8394-3393de6f2b20.JPEG","09:15:45")</f>
      </c>
      <c r="U2463" s="20">
        <f>HYPERLINK("https://vnm.spiral.com.vn//uploaded/20210513/0c7b6ba6-9de8-4c71-bea7-ee143df0159a.JPEG","10:08:02")</f>
      </c>
      <c r="V2463" s="18">
        <v>0.03630787037037037</v>
      </c>
      <c r="W2463" s="15" t="s">
        <v>12600</v>
      </c>
      <c r="X2463" s="15" t="s">
        <v>12601</v>
      </c>
      <c r="Y2463" s="15" t="s">
        <v>35</v>
      </c>
      <c r="Z2463" s="19">
        <v>0</v>
      </c>
      <c r="AA2463" s="15">
        <v>0</v>
      </c>
      <c r="AB2463" s="15" t="s">
        <v>35</v>
      </c>
    </row>
    <row r="2464">
      <c r="A2464" s="15">
        <v>2460</v>
      </c>
      <c r="B2464" s="15" t="s">
        <v>61</v>
      </c>
      <c r="C2464" s="15" t="s">
        <v>303</v>
      </c>
      <c r="D2464" s="15" t="s">
        <v>610</v>
      </c>
      <c r="E2464" s="15" t="s">
        <v>90</v>
      </c>
      <c r="F2464" s="15" t="s">
        <v>35</v>
      </c>
      <c r="G2464" s="15" t="s">
        <v>74</v>
      </c>
      <c r="H2464" s="15" t="s">
        <v>12602</v>
      </c>
      <c r="I2464" s="15" t="s">
        <v>12603</v>
      </c>
      <c r="J2464" s="15" t="s">
        <v>12604</v>
      </c>
      <c r="K2464" s="15" t="s">
        <v>152</v>
      </c>
      <c r="L2464" s="15" t="s">
        <v>153</v>
      </c>
      <c r="M2464" s="15" t="s">
        <v>309</v>
      </c>
      <c r="N2464" s="15" t="s">
        <v>310</v>
      </c>
      <c r="O2464" s="15" t="s">
        <v>98</v>
      </c>
      <c r="P2464" s="15" t="s">
        <v>311</v>
      </c>
      <c r="Q2464" s="15" t="s">
        <v>312</v>
      </c>
      <c r="R2464" s="16">
        <v>44329</v>
      </c>
      <c r="S2464" s="17" t="s">
        <v>70</v>
      </c>
      <c r="T2464" s="20">
        <f>HYPERLINK("https://vnm.spiral.com.vn//uploaded/20210513/0B0D47A9-5B53-4E42-AC6F-167E96F6E391.jpg","09:46:12")</f>
      </c>
      <c r="U2464" s="20">
        <f>HYPERLINK("https://vnm.spiral.com.vn//uploaded/20210513/C9A8FED6-C08A-4133-9B76-9E80F8636ECC.jpg","10:08:00")</f>
      </c>
      <c r="V2464" s="18">
        <v>0.01513888888888889</v>
      </c>
      <c r="W2464" s="15" t="s">
        <v>12605</v>
      </c>
      <c r="X2464" s="15" t="s">
        <v>12606</v>
      </c>
      <c r="Y2464" s="15" t="s">
        <v>35</v>
      </c>
      <c r="Z2464" s="19">
        <v>0</v>
      </c>
      <c r="AA2464" s="15">
        <v>0</v>
      </c>
      <c r="AB2464" s="15" t="s">
        <v>35</v>
      </c>
    </row>
    <row r="2465">
      <c r="A2465" s="15">
        <v>2461</v>
      </c>
      <c r="B2465" s="15" t="s">
        <v>87</v>
      </c>
      <c r="C2465" s="15" t="s">
        <v>88</v>
      </c>
      <c r="D2465" s="15" t="s">
        <v>135</v>
      </c>
      <c r="E2465" s="15" t="s">
        <v>116</v>
      </c>
      <c r="F2465" s="15" t="s">
        <v>35</v>
      </c>
      <c r="G2465" s="15" t="s">
        <v>74</v>
      </c>
      <c r="H2465" s="15" t="s">
        <v>12607</v>
      </c>
      <c r="I2465" s="15" t="s">
        <v>12608</v>
      </c>
      <c r="J2465" s="15" t="s">
        <v>12609</v>
      </c>
      <c r="K2465" s="15" t="s">
        <v>139</v>
      </c>
      <c r="L2465" s="15" t="s">
        <v>140</v>
      </c>
      <c r="M2465" s="15" t="s">
        <v>530</v>
      </c>
      <c r="N2465" s="15" t="s">
        <v>531</v>
      </c>
      <c r="O2465" s="15" t="s">
        <v>82</v>
      </c>
      <c r="P2465" s="15" t="s">
        <v>1453</v>
      </c>
      <c r="Q2465" s="15" t="s">
        <v>1454</v>
      </c>
      <c r="R2465" s="16">
        <v>44329</v>
      </c>
      <c r="S2465" s="17" t="s">
        <v>70</v>
      </c>
      <c r="T2465" s="20">
        <f>HYPERLINK("https://vnm.spiral.com.vn//uploaded/20210513/eba583c8-cff8-45e9-bb70-5142c816e0b9.JPEG","09:12:05")</f>
      </c>
      <c r="U2465" s="20">
        <f>HYPERLINK("https://vnm.spiral.com.vn//uploaded/20210513/7f0ee9f6-7884-4640-bc70-7694cc43cdb8.JPEG","10:07:43")</f>
      </c>
      <c r="V2465" s="18">
        <v>0.03863425925925926</v>
      </c>
      <c r="W2465" s="15" t="s">
        <v>12610</v>
      </c>
      <c r="X2465" s="15" t="s">
        <v>12611</v>
      </c>
      <c r="Y2465" s="15" t="s">
        <v>35</v>
      </c>
      <c r="Z2465" s="19">
        <v>0</v>
      </c>
      <c r="AA2465" s="15">
        <v>0</v>
      </c>
      <c r="AB2465" s="15" t="s">
        <v>35</v>
      </c>
    </row>
    <row r="2466">
      <c r="A2466" s="15">
        <v>2462</v>
      </c>
      <c r="B2466" s="15" t="s">
        <v>87</v>
      </c>
      <c r="C2466" s="15" t="s">
        <v>88</v>
      </c>
      <c r="D2466" s="15" t="s">
        <v>35</v>
      </c>
      <c r="E2466" s="15" t="s">
        <v>35</v>
      </c>
      <c r="F2466" s="15" t="s">
        <v>35</v>
      </c>
      <c r="G2466" s="15" t="s">
        <v>74</v>
      </c>
      <c r="H2466" s="15" t="s">
        <v>12612</v>
      </c>
      <c r="I2466" s="15" t="s">
        <v>12613</v>
      </c>
      <c r="J2466" s="15" t="s">
        <v>12614</v>
      </c>
      <c r="K2466" s="15" t="s">
        <v>888</v>
      </c>
      <c r="L2466" s="15" t="s">
        <v>889</v>
      </c>
      <c r="M2466" s="15" t="s">
        <v>890</v>
      </c>
      <c r="N2466" s="15" t="s">
        <v>891</v>
      </c>
      <c r="O2466" s="15" t="s">
        <v>82</v>
      </c>
      <c r="P2466" s="15" t="s">
        <v>1547</v>
      </c>
      <c r="Q2466" s="15" t="s">
        <v>1548</v>
      </c>
      <c r="R2466" s="16">
        <v>44329</v>
      </c>
      <c r="S2466" s="17" t="s">
        <v>70</v>
      </c>
      <c r="T2466" s="20">
        <f>HYPERLINK("https://vnm.spiral.com.vn//uploaded/20210513/CF60BB46-FADF-465E-AFCD-F87361FEAF9A.jpg","09:38:14")</f>
      </c>
      <c r="U2466" s="20">
        <f>HYPERLINK("https://vnm.spiral.com.vn//uploaded/20210513/D924BE59-FBFD-4115-BDAA-ECE16DDC269B.jpg","10:07:29")</f>
      </c>
      <c r="V2466" s="18">
        <v>0.0203125</v>
      </c>
      <c r="W2466" s="15" t="s">
        <v>12615</v>
      </c>
      <c r="X2466" s="15" t="s">
        <v>12616</v>
      </c>
      <c r="Y2466" s="15" t="s">
        <v>35</v>
      </c>
      <c r="Z2466" s="19">
        <v>0</v>
      </c>
      <c r="AA2466" s="15">
        <v>0</v>
      </c>
      <c r="AB2466" s="15" t="s">
        <v>35</v>
      </c>
    </row>
    <row r="2467">
      <c r="A2467" s="15">
        <v>2463</v>
      </c>
      <c r="B2467" s="15" t="s">
        <v>87</v>
      </c>
      <c r="C2467" s="15" t="s">
        <v>88</v>
      </c>
      <c r="D2467" s="15" t="s">
        <v>115</v>
      </c>
      <c r="E2467" s="15" t="s">
        <v>116</v>
      </c>
      <c r="F2467" s="15" t="s">
        <v>35</v>
      </c>
      <c r="G2467" s="15" t="s">
        <v>74</v>
      </c>
      <c r="H2467" s="15" t="s">
        <v>12617</v>
      </c>
      <c r="I2467" s="15" t="s">
        <v>12618</v>
      </c>
      <c r="J2467" s="15" t="s">
        <v>12619</v>
      </c>
      <c r="K2467" s="15" t="s">
        <v>120</v>
      </c>
      <c r="L2467" s="15" t="s">
        <v>121</v>
      </c>
      <c r="M2467" s="15" t="s">
        <v>1073</v>
      </c>
      <c r="N2467" s="15" t="s">
        <v>1074</v>
      </c>
      <c r="O2467" s="15" t="s">
        <v>82</v>
      </c>
      <c r="P2467" s="15" t="s">
        <v>1748</v>
      </c>
      <c r="Q2467" s="15" t="s">
        <v>1749</v>
      </c>
      <c r="R2467" s="16">
        <v>44329</v>
      </c>
      <c r="S2467" s="17" t="s">
        <v>70</v>
      </c>
      <c r="T2467" s="20">
        <f>HYPERLINK("https://vnm.spiral.com.vn//uploaded/20210513/8593FE40-B53A-46F0-AD01-D4BCAA83C782.jpg","08:59:46")</f>
      </c>
      <c r="U2467" s="20">
        <f>HYPERLINK("https://vnm.spiral.com.vn//uploaded/20210513/47F6CA60-ED55-49B3-A0BE-38B075A7FB9F.jpg","10:06:43")</f>
      </c>
      <c r="V2467" s="18">
        <v>0.04649305555555556</v>
      </c>
      <c r="W2467" s="15" t="s">
        <v>12620</v>
      </c>
      <c r="X2467" s="15" t="s">
        <v>1750</v>
      </c>
      <c r="Y2467" s="15" t="s">
        <v>35</v>
      </c>
      <c r="Z2467" s="19">
        <v>0</v>
      </c>
      <c r="AA2467" s="15">
        <v>0</v>
      </c>
      <c r="AB2467" s="15" t="s">
        <v>35</v>
      </c>
    </row>
    <row r="2468">
      <c r="A2468" s="15">
        <v>2464</v>
      </c>
      <c r="B2468" s="15" t="s">
        <v>87</v>
      </c>
      <c r="C2468" s="15" t="s">
        <v>88</v>
      </c>
      <c r="D2468" s="15" t="s">
        <v>35</v>
      </c>
      <c r="E2468" s="15" t="s">
        <v>35</v>
      </c>
      <c r="F2468" s="15" t="s">
        <v>35</v>
      </c>
      <c r="G2468" s="15" t="s">
        <v>74</v>
      </c>
      <c r="H2468" s="15" t="s">
        <v>12621</v>
      </c>
      <c r="I2468" s="15" t="s">
        <v>12622</v>
      </c>
      <c r="J2468" s="15" t="s">
        <v>12623</v>
      </c>
      <c r="K2468" s="15" t="s">
        <v>190</v>
      </c>
      <c r="L2468" s="15" t="s">
        <v>191</v>
      </c>
      <c r="M2468" s="15" t="s">
        <v>888</v>
      </c>
      <c r="N2468" s="15" t="s">
        <v>889</v>
      </c>
      <c r="O2468" s="15" t="s">
        <v>98</v>
      </c>
      <c r="P2468" s="15" t="s">
        <v>1666</v>
      </c>
      <c r="Q2468" s="15" t="s">
        <v>1667</v>
      </c>
      <c r="R2468" s="16">
        <v>44329</v>
      </c>
      <c r="S2468" s="17" t="s">
        <v>35</v>
      </c>
      <c r="T2468" s="20">
        <f>HYPERLINK("https://vnm.spiral.com.vn//uploaded/20210513/7bff344a-6472-4448-9115-20768c604331.JPEG","09:46:49")</f>
      </c>
      <c r="U2468" s="20">
        <f>HYPERLINK("https://vnm.spiral.com.vn//uploaded/20210513/ac5a8e17-dc9e-4bf2-be1e-38394c60d528.JPEG","10:06:35")</f>
      </c>
      <c r="V2468" s="18">
        <v>0.013726851851851851</v>
      </c>
      <c r="W2468" s="15" t="s">
        <v>12624</v>
      </c>
      <c r="X2468" s="15" t="s">
        <v>12625</v>
      </c>
      <c r="Y2468" s="15" t="s">
        <v>35</v>
      </c>
      <c r="Z2468" s="19">
        <v>0</v>
      </c>
      <c r="AA2468" s="15">
        <v>0</v>
      </c>
      <c r="AB2468" s="15" t="s">
        <v>35</v>
      </c>
    </row>
    <row r="2469">
      <c r="A2469" s="15">
        <v>2465</v>
      </c>
      <c r="B2469" s="15" t="s">
        <v>87</v>
      </c>
      <c r="C2469" s="15" t="s">
        <v>88</v>
      </c>
      <c r="D2469" s="15" t="s">
        <v>610</v>
      </c>
      <c r="E2469" s="15" t="s">
        <v>90</v>
      </c>
      <c r="F2469" s="15" t="s">
        <v>35</v>
      </c>
      <c r="G2469" s="15" t="s">
        <v>74</v>
      </c>
      <c r="H2469" s="15" t="s">
        <v>12626</v>
      </c>
      <c r="I2469" s="15" t="s">
        <v>12627</v>
      </c>
      <c r="J2469" s="15" t="s">
        <v>12628</v>
      </c>
      <c r="K2469" s="15" t="s">
        <v>614</v>
      </c>
      <c r="L2469" s="15" t="s">
        <v>615</v>
      </c>
      <c r="M2469" s="15" t="s">
        <v>616</v>
      </c>
      <c r="N2469" s="15" t="s">
        <v>617</v>
      </c>
      <c r="O2469" s="15" t="s">
        <v>82</v>
      </c>
      <c r="P2469" s="15" t="s">
        <v>618</v>
      </c>
      <c r="Q2469" s="15" t="s">
        <v>619</v>
      </c>
      <c r="R2469" s="16">
        <v>44329</v>
      </c>
      <c r="S2469" s="17" t="s">
        <v>70</v>
      </c>
      <c r="T2469" s="20">
        <f>HYPERLINK("https://vnm.spiral.com.vn//uploaded/20210513/FC331B10-EF36-4F0C-94BF-026048E35D9D.jpg","09:47:41")</f>
      </c>
      <c r="U2469" s="20">
        <f>HYPERLINK("https://vnm.spiral.com.vn//uploaded/20210513/8365105C-07EE-4525-8CA7-D33E2A12AF12.jpg","10:06:27")</f>
      </c>
      <c r="V2469" s="18">
        <v>0.013032407407407407</v>
      </c>
      <c r="W2469" s="15" t="s">
        <v>12629</v>
      </c>
      <c r="X2469" s="15" t="s">
        <v>12630</v>
      </c>
      <c r="Y2469" s="15" t="s">
        <v>35</v>
      </c>
      <c r="Z2469" s="19">
        <v>0</v>
      </c>
      <c r="AA2469" s="15">
        <v>0</v>
      </c>
      <c r="AB2469" s="15" t="s">
        <v>35</v>
      </c>
    </row>
    <row r="2470">
      <c r="A2470" s="15">
        <v>2466</v>
      </c>
      <c r="B2470" s="15" t="s">
        <v>61</v>
      </c>
      <c r="C2470" s="15" t="s">
        <v>303</v>
      </c>
      <c r="D2470" s="15" t="s">
        <v>135</v>
      </c>
      <c r="E2470" s="15" t="s">
        <v>116</v>
      </c>
      <c r="F2470" s="15" t="s">
        <v>35</v>
      </c>
      <c r="G2470" s="15" t="s">
        <v>74</v>
      </c>
      <c r="H2470" s="15" t="s">
        <v>12631</v>
      </c>
      <c r="I2470" s="15" t="s">
        <v>12632</v>
      </c>
      <c r="J2470" s="15" t="s">
        <v>12633</v>
      </c>
      <c r="K2470" s="15" t="s">
        <v>232</v>
      </c>
      <c r="L2470" s="15" t="s">
        <v>233</v>
      </c>
      <c r="M2470" s="15" t="s">
        <v>503</v>
      </c>
      <c r="N2470" s="15" t="s">
        <v>504</v>
      </c>
      <c r="O2470" s="15" t="s">
        <v>82</v>
      </c>
      <c r="P2470" s="15" t="s">
        <v>2063</v>
      </c>
      <c r="Q2470" s="15" t="s">
        <v>2064</v>
      </c>
      <c r="R2470" s="16">
        <v>44329</v>
      </c>
      <c r="S2470" s="17" t="s">
        <v>70</v>
      </c>
      <c r="T2470" s="20">
        <f>HYPERLINK("https://vnm.spiral.com.vn//uploaded/20210513/7CAC1FB2-ADD6-42AD-98C3-A6F4CA2DF51F.jpg","09:29:21")</f>
      </c>
      <c r="U2470" s="20">
        <f>HYPERLINK("https://vnm.spiral.com.vn//uploaded/20210513/58B4DEA9-548E-434C-A95E-E9434D93EDCC.jpg","10:06:15")</f>
      </c>
      <c r="V2470" s="18">
        <v>0.025625</v>
      </c>
      <c r="W2470" s="15" t="s">
        <v>12634</v>
      </c>
      <c r="X2470" s="15" t="s">
        <v>12635</v>
      </c>
      <c r="Y2470" s="15" t="s">
        <v>35</v>
      </c>
      <c r="Z2470" s="19">
        <v>0</v>
      </c>
      <c r="AA2470" s="15">
        <v>0</v>
      </c>
      <c r="AB2470" s="15" t="s">
        <v>35</v>
      </c>
    </row>
    <row r="2471">
      <c r="A2471" s="15">
        <v>2467</v>
      </c>
      <c r="B2471" s="15" t="s">
        <v>87</v>
      </c>
      <c r="C2471" s="15" t="s">
        <v>88</v>
      </c>
      <c r="D2471" s="15" t="s">
        <v>135</v>
      </c>
      <c r="E2471" s="15" t="s">
        <v>116</v>
      </c>
      <c r="F2471" s="15" t="s">
        <v>35</v>
      </c>
      <c r="G2471" s="15" t="s">
        <v>74</v>
      </c>
      <c r="H2471" s="15" t="s">
        <v>12636</v>
      </c>
      <c r="I2471" s="15" t="s">
        <v>12637</v>
      </c>
      <c r="J2471" s="15" t="s">
        <v>12638</v>
      </c>
      <c r="K2471" s="15" t="s">
        <v>139</v>
      </c>
      <c r="L2471" s="15" t="s">
        <v>140</v>
      </c>
      <c r="M2471" s="15" t="s">
        <v>141</v>
      </c>
      <c r="N2471" s="15" t="s">
        <v>142</v>
      </c>
      <c r="O2471" s="15" t="s">
        <v>82</v>
      </c>
      <c r="P2471" s="15" t="s">
        <v>143</v>
      </c>
      <c r="Q2471" s="15" t="s">
        <v>144</v>
      </c>
      <c r="R2471" s="16">
        <v>44329</v>
      </c>
      <c r="S2471" s="17" t="s">
        <v>70</v>
      </c>
      <c r="T2471" s="20">
        <f>HYPERLINK("https://vnm.spiral.com.vn//uploaded/20210513/6a7b8ba4-6171-4ebb-8498-3bea4f4a6f3a.JPEG","09:18:34")</f>
      </c>
      <c r="U2471" s="20">
        <f>HYPERLINK("https://vnm.spiral.com.vn//uploaded/20210513/781b6200-ec8f-4db6-934b-7917e2a5119a.JPEG","10:04:58")</f>
      </c>
      <c r="V2471" s="18">
        <v>0.03222222222222222</v>
      </c>
      <c r="W2471" s="15" t="s">
        <v>12639</v>
      </c>
      <c r="X2471" s="15" t="s">
        <v>12640</v>
      </c>
      <c r="Y2471" s="15" t="s">
        <v>35</v>
      </c>
      <c r="Z2471" s="19">
        <v>0</v>
      </c>
      <c r="AA2471" s="15">
        <v>0</v>
      </c>
      <c r="AB2471" s="15" t="s">
        <v>35</v>
      </c>
    </row>
    <row r="2472">
      <c r="A2472" s="15">
        <v>2468</v>
      </c>
      <c r="B2472" s="15" t="s">
        <v>103</v>
      </c>
      <c r="C2472" s="15" t="s">
        <v>186</v>
      </c>
      <c r="D2472" s="15" t="s">
        <v>135</v>
      </c>
      <c r="E2472" s="15" t="s">
        <v>116</v>
      </c>
      <c r="F2472" s="15" t="s">
        <v>35</v>
      </c>
      <c r="G2472" s="15" t="s">
        <v>74</v>
      </c>
      <c r="H2472" s="15" t="s">
        <v>12641</v>
      </c>
      <c r="I2472" s="15" t="s">
        <v>12642</v>
      </c>
      <c r="J2472" s="15" t="s">
        <v>12643</v>
      </c>
      <c r="K2472" s="15" t="s">
        <v>436</v>
      </c>
      <c r="L2472" s="15" t="s">
        <v>437</v>
      </c>
      <c r="M2472" s="15" t="s">
        <v>438</v>
      </c>
      <c r="N2472" s="15" t="s">
        <v>439</v>
      </c>
      <c r="O2472" s="15" t="s">
        <v>82</v>
      </c>
      <c r="P2472" s="15" t="s">
        <v>2431</v>
      </c>
      <c r="Q2472" s="15" t="s">
        <v>2432</v>
      </c>
      <c r="R2472" s="16">
        <v>44329</v>
      </c>
      <c r="S2472" s="17" t="s">
        <v>70</v>
      </c>
      <c r="T2472" s="20">
        <f>HYPERLINK("https://vnm.spiral.com.vn//uploaded/20210513/47DD8368-66E3-45B7-A797-C228A4C6A858.jpg","09:14:27")</f>
      </c>
      <c r="U2472" s="20">
        <f>HYPERLINK("https://vnm.spiral.com.vn//uploaded/20210513/EE2E09DF-F3B4-4C6A-B4A9-74AA6C1461ED.jpg","10:04:48")</f>
      </c>
      <c r="V2472" s="18">
        <v>0.034965277777777776</v>
      </c>
      <c r="W2472" s="15" t="s">
        <v>12644</v>
      </c>
      <c r="X2472" s="15" t="s">
        <v>12645</v>
      </c>
      <c r="Y2472" s="15" t="s">
        <v>35</v>
      </c>
      <c r="Z2472" s="19">
        <v>0</v>
      </c>
      <c r="AA2472" s="15">
        <v>0</v>
      </c>
      <c r="AB2472" s="15" t="s">
        <v>35</v>
      </c>
    </row>
    <row r="2473">
      <c r="A2473" s="15">
        <v>2469</v>
      </c>
      <c r="B2473" s="15" t="s">
        <v>103</v>
      </c>
      <c r="C2473" s="15" t="s">
        <v>1078</v>
      </c>
      <c r="D2473" s="15" t="s">
        <v>135</v>
      </c>
      <c r="E2473" s="15" t="s">
        <v>116</v>
      </c>
      <c r="F2473" s="15" t="s">
        <v>35</v>
      </c>
      <c r="G2473" s="15" t="s">
        <v>74</v>
      </c>
      <c r="H2473" s="15" t="s">
        <v>12646</v>
      </c>
      <c r="I2473" s="15" t="s">
        <v>12647</v>
      </c>
      <c r="J2473" s="15" t="s">
        <v>12648</v>
      </c>
      <c r="K2473" s="15" t="s">
        <v>436</v>
      </c>
      <c r="L2473" s="15" t="s">
        <v>437</v>
      </c>
      <c r="M2473" s="15" t="s">
        <v>1429</v>
      </c>
      <c r="N2473" s="15" t="s">
        <v>1430</v>
      </c>
      <c r="O2473" s="15" t="s">
        <v>82</v>
      </c>
      <c r="P2473" s="15" t="s">
        <v>2234</v>
      </c>
      <c r="Q2473" s="15" t="s">
        <v>2235</v>
      </c>
      <c r="R2473" s="16">
        <v>44329</v>
      </c>
      <c r="S2473" s="17" t="s">
        <v>70</v>
      </c>
      <c r="T2473" s="20">
        <f>HYPERLINK("https://vnm.spiral.com.vn//uploaded/20210513/7D3613D0-D415-4125-804E-2335EDFBF330.jpg","09:04:08")</f>
      </c>
      <c r="U2473" s="20">
        <f>HYPERLINK("https://vnm.spiral.com.vn//uploaded/20210513/BD9B7AE3-B7CB-44DC-999F-3A492F20BE4E.jpg","10:04:36")</f>
      </c>
      <c r="V2473" s="18">
        <v>0.04199074074074074</v>
      </c>
      <c r="W2473" s="15" t="s">
        <v>12649</v>
      </c>
      <c r="X2473" s="15" t="s">
        <v>12650</v>
      </c>
      <c r="Y2473" s="15" t="s">
        <v>35</v>
      </c>
      <c r="Z2473" s="19">
        <v>0</v>
      </c>
      <c r="AA2473" s="15">
        <v>0</v>
      </c>
      <c r="AB2473" s="15" t="s">
        <v>35</v>
      </c>
    </row>
    <row r="2474">
      <c r="A2474" s="15">
        <v>2470</v>
      </c>
      <c r="B2474" s="15" t="s">
        <v>87</v>
      </c>
      <c r="C2474" s="15" t="s">
        <v>88</v>
      </c>
      <c r="D2474" s="15" t="s">
        <v>432</v>
      </c>
      <c r="E2474" s="15" t="s">
        <v>116</v>
      </c>
      <c r="F2474" s="15" t="s">
        <v>35</v>
      </c>
      <c r="G2474" s="15" t="s">
        <v>74</v>
      </c>
      <c r="H2474" s="15" t="s">
        <v>12651</v>
      </c>
      <c r="I2474" s="15" t="s">
        <v>12652</v>
      </c>
      <c r="J2474" s="15" t="s">
        <v>12653</v>
      </c>
      <c r="K2474" s="15" t="s">
        <v>625</v>
      </c>
      <c r="L2474" s="15" t="s">
        <v>626</v>
      </c>
      <c r="M2474" s="15" t="s">
        <v>627</v>
      </c>
      <c r="N2474" s="15" t="s">
        <v>628</v>
      </c>
      <c r="O2474" s="15" t="s">
        <v>82</v>
      </c>
      <c r="P2474" s="15" t="s">
        <v>2569</v>
      </c>
      <c r="Q2474" s="15" t="s">
        <v>2570</v>
      </c>
      <c r="R2474" s="16">
        <v>44329</v>
      </c>
      <c r="S2474" s="17" t="s">
        <v>70</v>
      </c>
      <c r="T2474" s="20">
        <f>HYPERLINK("https://vnm.spiral.com.vn//uploaded/20210513/C0EC48CD-27B8-414E-A834-CE0F594A9463.jpg","09:41:31")</f>
      </c>
      <c r="U2474" s="20">
        <f>HYPERLINK("https://vnm.spiral.com.vn//uploaded/20210513/9487B386-E43C-49AF-982E-ACD820630787.jpg","10:03:57")</f>
      </c>
      <c r="V2474" s="18">
        <v>0.015578703703703704</v>
      </c>
      <c r="W2474" s="15" t="s">
        <v>12654</v>
      </c>
      <c r="X2474" s="15" t="s">
        <v>12655</v>
      </c>
      <c r="Y2474" s="15" t="s">
        <v>35</v>
      </c>
      <c r="Z2474" s="19">
        <v>0</v>
      </c>
      <c r="AA2474" s="15">
        <v>0</v>
      </c>
      <c r="AB2474" s="15" t="s">
        <v>35</v>
      </c>
    </row>
    <row r="2475">
      <c r="A2475" s="15">
        <v>2471</v>
      </c>
      <c r="B2475" s="15" t="s">
        <v>87</v>
      </c>
      <c r="C2475" s="15" t="s">
        <v>88</v>
      </c>
      <c r="D2475" s="15" t="s">
        <v>135</v>
      </c>
      <c r="E2475" s="15" t="s">
        <v>116</v>
      </c>
      <c r="F2475" s="15" t="s">
        <v>35</v>
      </c>
      <c r="G2475" s="15" t="s">
        <v>74</v>
      </c>
      <c r="H2475" s="15" t="s">
        <v>12656</v>
      </c>
      <c r="I2475" s="15" t="s">
        <v>12657</v>
      </c>
      <c r="J2475" s="15" t="s">
        <v>12658</v>
      </c>
      <c r="K2475" s="15" t="s">
        <v>139</v>
      </c>
      <c r="L2475" s="15" t="s">
        <v>140</v>
      </c>
      <c r="M2475" s="15" t="s">
        <v>141</v>
      </c>
      <c r="N2475" s="15" t="s">
        <v>142</v>
      </c>
      <c r="O2475" s="15" t="s">
        <v>82</v>
      </c>
      <c r="P2475" s="15" t="s">
        <v>2298</v>
      </c>
      <c r="Q2475" s="15" t="s">
        <v>2299</v>
      </c>
      <c r="R2475" s="16">
        <v>44329</v>
      </c>
      <c r="S2475" s="17" t="s">
        <v>70</v>
      </c>
      <c r="T2475" s="20">
        <f>HYPERLINK("https://vnm.spiral.com.vn//uploaded/20210513/c611ad24-0b8d-4046-8eb0-8a0b656df3ef.JPEG","09:17:53")</f>
      </c>
      <c r="U2475" s="20">
        <f>HYPERLINK("https://vnm.spiral.com.vn//uploaded/20210513/b473b3d5-f713-4616-98df-630470b4efeb.JPEG","10:02:34")</f>
      </c>
      <c r="V2475" s="18">
        <v>0.031030092592592592</v>
      </c>
      <c r="W2475" s="15" t="s">
        <v>12659</v>
      </c>
      <c r="X2475" s="15" t="s">
        <v>12660</v>
      </c>
      <c r="Y2475" s="15" t="s">
        <v>35</v>
      </c>
      <c r="Z2475" s="19">
        <v>0</v>
      </c>
      <c r="AA2475" s="15">
        <v>0</v>
      </c>
      <c r="AB2475" s="15" t="s">
        <v>35</v>
      </c>
    </row>
    <row r="2476">
      <c r="A2476" s="15">
        <v>2472</v>
      </c>
      <c r="B2476" s="15" t="s">
        <v>61</v>
      </c>
      <c r="C2476" s="15" t="s">
        <v>442</v>
      </c>
      <c r="D2476" s="15" t="s">
        <v>135</v>
      </c>
      <c r="E2476" s="15" t="s">
        <v>116</v>
      </c>
      <c r="F2476" s="15" t="s">
        <v>35</v>
      </c>
      <c r="G2476" s="15" t="s">
        <v>74</v>
      </c>
      <c r="H2476" s="15" t="s">
        <v>12661</v>
      </c>
      <c r="I2476" s="15" t="s">
        <v>12662</v>
      </c>
      <c r="J2476" s="15" t="s">
        <v>12663</v>
      </c>
      <c r="K2476" s="15" t="s">
        <v>152</v>
      </c>
      <c r="L2476" s="15" t="s">
        <v>153</v>
      </c>
      <c r="M2476" s="15" t="s">
        <v>232</v>
      </c>
      <c r="N2476" s="15" t="s">
        <v>233</v>
      </c>
      <c r="O2476" s="15" t="s">
        <v>82</v>
      </c>
      <c r="P2476" s="15" t="s">
        <v>446</v>
      </c>
      <c r="Q2476" s="15" t="s">
        <v>447</v>
      </c>
      <c r="R2476" s="16">
        <v>44329</v>
      </c>
      <c r="S2476" s="17" t="s">
        <v>70</v>
      </c>
      <c r="T2476" s="20">
        <f>HYPERLINK("https://vnm.spiral.com.vn//uploaded/20210513/e473f05b-88d0-4a1b-8b03-9096ac26814f.JPEG","09:32:09")</f>
      </c>
      <c r="U2476" s="20">
        <f>HYPERLINK("https://vnm.spiral.com.vn//uploaded/20210513/5c740fa8-3e22-4476-a0d6-f55479eff72c.JPEG","10:02:30")</f>
      </c>
      <c r="V2476" s="18">
        <v>0.021076388888888888</v>
      </c>
      <c r="W2476" s="15" t="s">
        <v>12664</v>
      </c>
      <c r="X2476" s="15" t="s">
        <v>12665</v>
      </c>
      <c r="Y2476" s="15" t="s">
        <v>35</v>
      </c>
      <c r="Z2476" s="19">
        <v>0</v>
      </c>
      <c r="AA2476" s="15">
        <v>0</v>
      </c>
      <c r="AB2476" s="15" t="s">
        <v>35</v>
      </c>
    </row>
    <row r="2477">
      <c r="A2477" s="15">
        <v>2473</v>
      </c>
      <c r="B2477" s="15" t="s">
        <v>87</v>
      </c>
      <c r="C2477" s="15" t="s">
        <v>88</v>
      </c>
      <c r="D2477" s="15" t="s">
        <v>115</v>
      </c>
      <c r="E2477" s="15" t="s">
        <v>116</v>
      </c>
      <c r="F2477" s="15" t="s">
        <v>35</v>
      </c>
      <c r="G2477" s="15" t="s">
        <v>74</v>
      </c>
      <c r="H2477" s="15" t="s">
        <v>12666</v>
      </c>
      <c r="I2477" s="15" t="s">
        <v>12667</v>
      </c>
      <c r="J2477" s="15" t="s">
        <v>12668</v>
      </c>
      <c r="K2477" s="15" t="s">
        <v>120</v>
      </c>
      <c r="L2477" s="15" t="s">
        <v>121</v>
      </c>
      <c r="M2477" s="15" t="s">
        <v>1073</v>
      </c>
      <c r="N2477" s="15" t="s">
        <v>1074</v>
      </c>
      <c r="O2477" s="15" t="s">
        <v>82</v>
      </c>
      <c r="P2477" s="15" t="s">
        <v>2955</v>
      </c>
      <c r="Q2477" s="15" t="s">
        <v>2956</v>
      </c>
      <c r="R2477" s="16">
        <v>44329</v>
      </c>
      <c r="S2477" s="17" t="s">
        <v>70</v>
      </c>
      <c r="T2477" s="20">
        <f>HYPERLINK("https://vnm.spiral.com.vn//uploaded/20210513/647fb85e-c199-4055-b40e-d16c881ed940.jpg","07:57:58")</f>
      </c>
      <c r="U2477" s="20">
        <f>HYPERLINK("https://vnm.spiral.com.vn//uploaded/20210513/48e26876-8d22-4678-bc0a-820d21818fbb.jpg","10:02:27")</f>
      </c>
      <c r="V2477" s="18">
        <v>0.08644675925925926</v>
      </c>
      <c r="W2477" s="15" t="s">
        <v>12669</v>
      </c>
      <c r="X2477" s="15" t="s">
        <v>12670</v>
      </c>
      <c r="Y2477" s="15" t="s">
        <v>35</v>
      </c>
      <c r="Z2477" s="19">
        <v>0</v>
      </c>
      <c r="AA2477" s="15">
        <v>0</v>
      </c>
      <c r="AB2477" s="15" t="s">
        <v>35</v>
      </c>
    </row>
    <row r="2478">
      <c r="A2478" s="15">
        <v>2474</v>
      </c>
      <c r="B2478" s="15" t="s">
        <v>87</v>
      </c>
      <c r="C2478" s="15" t="s">
        <v>88</v>
      </c>
      <c r="D2478" s="15" t="s">
        <v>432</v>
      </c>
      <c r="E2478" s="15" t="s">
        <v>116</v>
      </c>
      <c r="F2478" s="15" t="s">
        <v>35</v>
      </c>
      <c r="G2478" s="15" t="s">
        <v>74</v>
      </c>
      <c r="H2478" s="15" t="s">
        <v>12651</v>
      </c>
      <c r="I2478" s="15" t="s">
        <v>12652</v>
      </c>
      <c r="J2478" s="15" t="s">
        <v>12653</v>
      </c>
      <c r="K2478" s="15" t="s">
        <v>94</v>
      </c>
      <c r="L2478" s="15" t="s">
        <v>95</v>
      </c>
      <c r="M2478" s="15" t="s">
        <v>625</v>
      </c>
      <c r="N2478" s="15" t="s">
        <v>626</v>
      </c>
      <c r="O2478" s="15" t="s">
        <v>98</v>
      </c>
      <c r="P2478" s="15" t="s">
        <v>627</v>
      </c>
      <c r="Q2478" s="15" t="s">
        <v>628</v>
      </c>
      <c r="R2478" s="16">
        <v>44329</v>
      </c>
      <c r="S2478" s="17" t="s">
        <v>70</v>
      </c>
      <c r="T2478" s="20">
        <f>HYPERLINK("https://vnm.spiral.com.vn//uploaded/20210513/464faf40-9177-4740-8a0a-7cdf8e47a806.JPEG","09:40:49")</f>
      </c>
      <c r="U2478" s="20">
        <f>HYPERLINK("https://vnm.spiral.com.vn//uploaded/20210513/acbe99c8-6b9c-4fd1-8614-54cfdf19466f.JPEG","10:02:17")</f>
      </c>
      <c r="V2478" s="18">
        <v>0.014907407407407407</v>
      </c>
      <c r="W2478" s="15" t="s">
        <v>12671</v>
      </c>
      <c r="X2478" s="15" t="s">
        <v>12672</v>
      </c>
      <c r="Y2478" s="15" t="s">
        <v>35</v>
      </c>
      <c r="Z2478" s="19">
        <v>0</v>
      </c>
      <c r="AA2478" s="15">
        <v>0</v>
      </c>
      <c r="AB2478" s="15" t="s">
        <v>35</v>
      </c>
    </row>
    <row r="2479">
      <c r="A2479" s="15">
        <v>2475</v>
      </c>
      <c r="B2479" s="15" t="s">
        <v>61</v>
      </c>
      <c r="C2479" s="15" t="s">
        <v>398</v>
      </c>
      <c r="D2479" s="15" t="s">
        <v>35</v>
      </c>
      <c r="E2479" s="15" t="s">
        <v>35</v>
      </c>
      <c r="F2479" s="15" t="s">
        <v>35</v>
      </c>
      <c r="G2479" s="15" t="s">
        <v>36</v>
      </c>
      <c r="H2479" s="15" t="s">
        <v>6931</v>
      </c>
      <c r="I2479" s="15" t="s">
        <v>6932</v>
      </c>
      <c r="J2479" s="15" t="s">
        <v>6933</v>
      </c>
      <c r="K2479" s="15" t="s">
        <v>40</v>
      </c>
      <c r="L2479" s="15" t="s">
        <v>41</v>
      </c>
      <c r="M2479" s="15" t="s">
        <v>66</v>
      </c>
      <c r="N2479" s="15" t="s">
        <v>67</v>
      </c>
      <c r="O2479" s="15" t="s">
        <v>44</v>
      </c>
      <c r="P2479" s="15" t="s">
        <v>6934</v>
      </c>
      <c r="Q2479" s="15" t="s">
        <v>6935</v>
      </c>
      <c r="R2479" s="16">
        <v>44329</v>
      </c>
      <c r="S2479" s="17" t="s">
        <v>12673</v>
      </c>
      <c r="T2479" s="20">
        <f>HYPERLINK("https://vnm.spiral.com.vn//uploaded/20210513/2d02e4a8-b394-436b-a363-4ce3e5c7f984.JPEG","05:53:26")</f>
      </c>
      <c r="U2479" s="20">
        <f>HYPERLINK("https://vnm.spiral.com.vn//uploaded/20210513/a5e6ade1-a3d7-406c-8e43-65406a647559.JPEG","10:00:52")</f>
      </c>
      <c r="V2479" s="18">
        <v>0.1718287037037037</v>
      </c>
      <c r="W2479" s="15" t="s">
        <v>12674</v>
      </c>
      <c r="X2479" s="15" t="s">
        <v>12675</v>
      </c>
      <c r="Y2479" s="15" t="s">
        <v>35</v>
      </c>
      <c r="Z2479" s="19">
        <v>0</v>
      </c>
      <c r="AA2479" s="15">
        <v>0</v>
      </c>
      <c r="AB2479" s="15" t="s">
        <v>35</v>
      </c>
    </row>
    <row r="2480">
      <c r="A2480" s="15">
        <v>2476</v>
      </c>
      <c r="B2480" s="15" t="s">
        <v>103</v>
      </c>
      <c r="C2480" s="15" t="s">
        <v>104</v>
      </c>
      <c r="D2480" s="15" t="s">
        <v>135</v>
      </c>
      <c r="E2480" s="15" t="s">
        <v>116</v>
      </c>
      <c r="F2480" s="15" t="s">
        <v>35</v>
      </c>
      <c r="G2480" s="15" t="s">
        <v>74</v>
      </c>
      <c r="H2480" s="15" t="s">
        <v>1051</v>
      </c>
      <c r="I2480" s="15" t="s">
        <v>1052</v>
      </c>
      <c r="J2480" s="15" t="s">
        <v>1053</v>
      </c>
      <c r="K2480" s="15" t="s">
        <v>460</v>
      </c>
      <c r="L2480" s="15" t="s">
        <v>461</v>
      </c>
      <c r="M2480" s="15" t="s">
        <v>462</v>
      </c>
      <c r="N2480" s="15" t="s">
        <v>463</v>
      </c>
      <c r="O2480" s="15" t="s">
        <v>82</v>
      </c>
      <c r="P2480" s="15" t="s">
        <v>2930</v>
      </c>
      <c r="Q2480" s="15" t="s">
        <v>2931</v>
      </c>
      <c r="R2480" s="16">
        <v>44329</v>
      </c>
      <c r="S2480" s="17" t="s">
        <v>70</v>
      </c>
      <c r="T2480" s="20">
        <f>HYPERLINK("https://vnm.spiral.com.vn//uploaded/20210513/f661aea8-4b6c-4a80-b6c3-9ba9c1514565.JPEG","08:14:03")</f>
      </c>
      <c r="U2480" s="20">
        <f>HYPERLINK("https://vnm.spiral.com.vn//uploaded/20210513/f5b671cc-8d93-494b-910a-27738424c48d.JPEG","10:00:50")</f>
      </c>
      <c r="V2480" s="18">
        <v>0.07415509259259259</v>
      </c>
      <c r="W2480" s="15" t="s">
        <v>12676</v>
      </c>
      <c r="X2480" s="15" t="s">
        <v>12677</v>
      </c>
      <c r="Y2480" s="15" t="s">
        <v>35</v>
      </c>
      <c r="Z2480" s="19">
        <v>0</v>
      </c>
      <c r="AA2480" s="15">
        <v>0</v>
      </c>
      <c r="AB2480" s="15" t="s">
        <v>35</v>
      </c>
    </row>
    <row r="2481">
      <c r="A2481" s="15">
        <v>2477</v>
      </c>
      <c r="B2481" s="15" t="s">
        <v>87</v>
      </c>
      <c r="C2481" s="15" t="s">
        <v>88</v>
      </c>
      <c r="D2481" s="15" t="s">
        <v>35</v>
      </c>
      <c r="E2481" s="15" t="s">
        <v>35</v>
      </c>
      <c r="F2481" s="15" t="s">
        <v>35</v>
      </c>
      <c r="G2481" s="15" t="s">
        <v>74</v>
      </c>
      <c r="H2481" s="15" t="s">
        <v>12678</v>
      </c>
      <c r="I2481" s="15" t="s">
        <v>12679</v>
      </c>
      <c r="J2481" s="15" t="s">
        <v>12680</v>
      </c>
      <c r="K2481" s="15" t="s">
        <v>888</v>
      </c>
      <c r="L2481" s="15" t="s">
        <v>889</v>
      </c>
      <c r="M2481" s="15" t="s">
        <v>924</v>
      </c>
      <c r="N2481" s="15" t="s">
        <v>925</v>
      </c>
      <c r="O2481" s="15" t="s">
        <v>82</v>
      </c>
      <c r="P2481" s="15" t="s">
        <v>1460</v>
      </c>
      <c r="Q2481" s="15" t="s">
        <v>1461</v>
      </c>
      <c r="R2481" s="16">
        <v>44329</v>
      </c>
      <c r="S2481" s="17" t="s">
        <v>70</v>
      </c>
      <c r="T2481" s="20">
        <f>HYPERLINK("https://vnm.spiral.com.vn//uploaded/20210513/66D3104E-2C50-49EA-9F03-802503E28645.jpg","09:29:14")</f>
      </c>
      <c r="U2481" s="20">
        <f>HYPERLINK("https://vnm.spiral.com.vn//uploaded/20210513/C9607165-C88E-428A-A228-BA665A303A31.jpg","10:00:49")</f>
      </c>
      <c r="V2481" s="18">
        <v>0.02193287037037037</v>
      </c>
      <c r="W2481" s="15" t="s">
        <v>12681</v>
      </c>
      <c r="X2481" s="15" t="s">
        <v>12682</v>
      </c>
      <c r="Y2481" s="15" t="s">
        <v>35</v>
      </c>
      <c r="Z2481" s="19">
        <v>0</v>
      </c>
      <c r="AA2481" s="15">
        <v>0</v>
      </c>
      <c r="AB2481" s="15" t="s">
        <v>35</v>
      </c>
    </row>
    <row r="2482">
      <c r="A2482" s="15">
        <v>2478</v>
      </c>
      <c r="B2482" s="15" t="s">
        <v>343</v>
      </c>
      <c r="C2482" s="15" t="s">
        <v>344</v>
      </c>
      <c r="D2482" s="15" t="s">
        <v>432</v>
      </c>
      <c r="E2482" s="15" t="s">
        <v>116</v>
      </c>
      <c r="F2482" s="15" t="s">
        <v>35</v>
      </c>
      <c r="G2482" s="15" t="s">
        <v>74</v>
      </c>
      <c r="H2482" s="15" t="s">
        <v>12683</v>
      </c>
      <c r="I2482" s="15" t="s">
        <v>12684</v>
      </c>
      <c r="J2482" s="15" t="s">
        <v>12685</v>
      </c>
      <c r="K2482" s="15" t="s">
        <v>1168</v>
      </c>
      <c r="L2482" s="15" t="s">
        <v>1169</v>
      </c>
      <c r="M2482" s="15" t="s">
        <v>1170</v>
      </c>
      <c r="N2482" s="15" t="s">
        <v>1171</v>
      </c>
      <c r="O2482" s="15" t="s">
        <v>82</v>
      </c>
      <c r="P2482" s="15" t="s">
        <v>1258</v>
      </c>
      <c r="Q2482" s="15" t="s">
        <v>1259</v>
      </c>
      <c r="R2482" s="16">
        <v>44329</v>
      </c>
      <c r="S2482" s="17" t="s">
        <v>70</v>
      </c>
      <c r="T2482" s="20">
        <f>HYPERLINK("https://vnm.spiral.com.vn//uploaded/20210513/5871ac93-64f2-43a3-add8-0b78fc70e1b7.JPEG","09:25:49")</f>
      </c>
      <c r="U2482" s="20">
        <f>HYPERLINK("https://vnm.spiral.com.vn//uploaded/20210513/f5bd48d9-2968-42fe-b974-3ac0953937e6.JPEG","10:00:29")</f>
      </c>
      <c r="V2482" s="18">
        <v>0.024074074074074074</v>
      </c>
      <c r="W2482" s="15" t="s">
        <v>12686</v>
      </c>
      <c r="X2482" s="15" t="s">
        <v>12687</v>
      </c>
      <c r="Y2482" s="15" t="s">
        <v>35</v>
      </c>
      <c r="Z2482" s="19">
        <v>0</v>
      </c>
      <c r="AA2482" s="15">
        <v>0</v>
      </c>
      <c r="AB2482" s="15" t="s">
        <v>35</v>
      </c>
    </row>
    <row r="2483">
      <c r="A2483" s="15">
        <v>2479</v>
      </c>
      <c r="B2483" s="15" t="s">
        <v>49</v>
      </c>
      <c r="C2483" s="15" t="s">
        <v>369</v>
      </c>
      <c r="D2483" s="15" t="s">
        <v>135</v>
      </c>
      <c r="E2483" s="15" t="s">
        <v>116</v>
      </c>
      <c r="F2483" s="15" t="s">
        <v>35</v>
      </c>
      <c r="G2483" s="15" t="s">
        <v>74</v>
      </c>
      <c r="H2483" s="15" t="s">
        <v>12688</v>
      </c>
      <c r="I2483" s="15" t="s">
        <v>12689</v>
      </c>
      <c r="J2483" s="15" t="s">
        <v>12690</v>
      </c>
      <c r="K2483" s="15" t="s">
        <v>166</v>
      </c>
      <c r="L2483" s="15" t="s">
        <v>167</v>
      </c>
      <c r="M2483" s="15" t="s">
        <v>168</v>
      </c>
      <c r="N2483" s="15" t="s">
        <v>169</v>
      </c>
      <c r="O2483" s="15" t="s">
        <v>82</v>
      </c>
      <c r="P2483" s="15" t="s">
        <v>1655</v>
      </c>
      <c r="Q2483" s="15" t="s">
        <v>1656</v>
      </c>
      <c r="R2483" s="16">
        <v>44329</v>
      </c>
      <c r="S2483" s="17" t="s">
        <v>70</v>
      </c>
      <c r="T2483" s="20">
        <f>HYPERLINK("https://vnm.spiral.com.vn//uploaded/20210513/1A27C781-E5EE-4DCF-A386-8457498D8F95.jpg","09:07:15")</f>
      </c>
      <c r="U2483" s="20">
        <f>HYPERLINK("https://vnm.spiral.com.vn//uploaded/20210513/80C6241F-8605-4242-AC30-ED6AE0DEE06D.jpg","10:00:19")</f>
      </c>
      <c r="V2483" s="18">
        <v>0.03685185185185185</v>
      </c>
      <c r="W2483" s="15" t="s">
        <v>12691</v>
      </c>
      <c r="X2483" s="15" t="s">
        <v>12692</v>
      </c>
      <c r="Y2483" s="15" t="s">
        <v>35</v>
      </c>
      <c r="Z2483" s="19">
        <v>0</v>
      </c>
      <c r="AA2483" s="15">
        <v>0</v>
      </c>
      <c r="AB2483" s="15" t="s">
        <v>35</v>
      </c>
    </row>
    <row r="2484">
      <c r="A2484" s="15">
        <v>2480</v>
      </c>
      <c r="B2484" s="15" t="s">
        <v>103</v>
      </c>
      <c r="C2484" s="15" t="s">
        <v>186</v>
      </c>
      <c r="D2484" s="15" t="s">
        <v>135</v>
      </c>
      <c r="E2484" s="15" t="s">
        <v>116</v>
      </c>
      <c r="F2484" s="15" t="s">
        <v>35</v>
      </c>
      <c r="G2484" s="15" t="s">
        <v>74</v>
      </c>
      <c r="H2484" s="15" t="s">
        <v>12693</v>
      </c>
      <c r="I2484" s="15" t="s">
        <v>12694</v>
      </c>
      <c r="J2484" s="15" t="s">
        <v>12695</v>
      </c>
      <c r="K2484" s="15" t="s">
        <v>190</v>
      </c>
      <c r="L2484" s="15" t="s">
        <v>191</v>
      </c>
      <c r="M2484" s="15" t="s">
        <v>436</v>
      </c>
      <c r="N2484" s="15" t="s">
        <v>437</v>
      </c>
      <c r="O2484" s="15" t="s">
        <v>98</v>
      </c>
      <c r="P2484" s="15" t="s">
        <v>438</v>
      </c>
      <c r="Q2484" s="15" t="s">
        <v>439</v>
      </c>
      <c r="R2484" s="16">
        <v>44329</v>
      </c>
      <c r="S2484" s="17" t="s">
        <v>70</v>
      </c>
      <c r="T2484" s="20">
        <f>HYPERLINK("https://vnm.spiral.com.vn//uploaded/20210513/42977053-7BB0-4C80-ADD8-8126668E0D60.jpg","07:39:22")</f>
      </c>
      <c r="U2484" s="20">
        <f>HYPERLINK("https://vnm.spiral.com.vn//uploaded/20210513/B48C2687-7A5A-48A4-8446-A973A1CB06A0.jpg","09:59:13")</f>
      </c>
      <c r="V2484" s="18">
        <v>0.09711805555555555</v>
      </c>
      <c r="W2484" s="15" t="s">
        <v>12696</v>
      </c>
      <c r="X2484" s="15" t="s">
        <v>12697</v>
      </c>
      <c r="Y2484" s="15" t="s">
        <v>35</v>
      </c>
      <c r="Z2484" s="19">
        <v>0</v>
      </c>
      <c r="AA2484" s="15">
        <v>0</v>
      </c>
      <c r="AB2484" s="15" t="s">
        <v>35</v>
      </c>
    </row>
    <row r="2485">
      <c r="A2485" s="15">
        <v>2481</v>
      </c>
      <c r="B2485" s="15" t="s">
        <v>246</v>
      </c>
      <c r="C2485" s="15" t="s">
        <v>259</v>
      </c>
      <c r="D2485" s="15" t="s">
        <v>35</v>
      </c>
      <c r="E2485" s="15" t="s">
        <v>35</v>
      </c>
      <c r="F2485" s="15" t="s">
        <v>35</v>
      </c>
      <c r="G2485" s="15" t="s">
        <v>35</v>
      </c>
      <c r="H2485" s="15" t="s">
        <v>7052</v>
      </c>
      <c r="I2485" s="15" t="s">
        <v>7053</v>
      </c>
      <c r="J2485" s="15" t="s">
        <v>7054</v>
      </c>
      <c r="K2485" s="15" t="s">
        <v>40</v>
      </c>
      <c r="L2485" s="15" t="s">
        <v>41</v>
      </c>
      <c r="M2485" s="15" t="s">
        <v>252</v>
      </c>
      <c r="N2485" s="15" t="s">
        <v>253</v>
      </c>
      <c r="O2485" s="15" t="s">
        <v>44</v>
      </c>
      <c r="P2485" s="15" t="s">
        <v>7055</v>
      </c>
      <c r="Q2485" s="15" t="s">
        <v>7056</v>
      </c>
      <c r="R2485" s="16">
        <v>44329</v>
      </c>
      <c r="S2485" s="17" t="s">
        <v>317</v>
      </c>
      <c r="T2485" s="20">
        <f>HYPERLINK("https://vnm.spiral.com.vn//uploaded/20210513/7a2730ba-d7bf-4b70-8400-daca15eaef34.JPEG","07:52:22")</f>
      </c>
      <c r="U2485" s="20">
        <f>HYPERLINK("https://vnm.spiral.com.vn//uploaded/20210513/b44459c7-1d5f-4f06-97ae-1ace0f0638a2.JPEG","09:58:57")</f>
      </c>
      <c r="V2485" s="18">
        <v>0.08790509259259259</v>
      </c>
      <c r="W2485" s="15" t="s">
        <v>12698</v>
      </c>
      <c r="X2485" s="15" t="s">
        <v>12699</v>
      </c>
      <c r="Y2485" s="15" t="s">
        <v>35</v>
      </c>
      <c r="Z2485" s="19">
        <v>0</v>
      </c>
      <c r="AA2485" s="15">
        <v>0</v>
      </c>
      <c r="AB2485" s="15" t="s">
        <v>35</v>
      </c>
    </row>
    <row r="2486">
      <c r="A2486" s="15">
        <v>2482</v>
      </c>
      <c r="B2486" s="15" t="s">
        <v>61</v>
      </c>
      <c r="C2486" s="15" t="s">
        <v>398</v>
      </c>
      <c r="D2486" s="15" t="s">
        <v>35</v>
      </c>
      <c r="E2486" s="15" t="s">
        <v>35</v>
      </c>
      <c r="F2486" s="15" t="s">
        <v>35</v>
      </c>
      <c r="G2486" s="15" t="s">
        <v>36</v>
      </c>
      <c r="H2486" s="15" t="s">
        <v>12700</v>
      </c>
      <c r="I2486" s="15" t="s">
        <v>12701</v>
      </c>
      <c r="J2486" s="15" t="s">
        <v>12702</v>
      </c>
      <c r="K2486" s="15" t="s">
        <v>40</v>
      </c>
      <c r="L2486" s="15" t="s">
        <v>41</v>
      </c>
      <c r="M2486" s="15" t="s">
        <v>66</v>
      </c>
      <c r="N2486" s="15" t="s">
        <v>67</v>
      </c>
      <c r="O2486" s="15" t="s">
        <v>44</v>
      </c>
      <c r="P2486" s="15" t="s">
        <v>12703</v>
      </c>
      <c r="Q2486" s="15" t="s">
        <v>12704</v>
      </c>
      <c r="R2486" s="16">
        <v>44329</v>
      </c>
      <c r="S2486" s="17" t="s">
        <v>8031</v>
      </c>
      <c r="T2486" s="20">
        <f>HYPERLINK("https://vnm.spiral.com.vn//uploaded/20210513/b81898f4-47e7-4574-af94-16e33e692ac9.JPEG","09:58:41")</f>
      </c>
      <c r="U2486" s="18"/>
      <c r="V2486" s="18" t="s">
        <v>35</v>
      </c>
      <c r="W2486" s="15" t="s">
        <v>12705</v>
      </c>
      <c r="X2486" s="15" t="s">
        <v>35</v>
      </c>
      <c r="Y2486" s="15" t="s">
        <v>35</v>
      </c>
      <c r="Z2486" s="19">
        <v>0</v>
      </c>
      <c r="AA2486" s="15">
        <v>0</v>
      </c>
      <c r="AB2486" s="15" t="s">
        <v>35</v>
      </c>
    </row>
    <row r="2487">
      <c r="A2487" s="15">
        <v>2483</v>
      </c>
      <c r="B2487" s="15" t="s">
        <v>87</v>
      </c>
      <c r="C2487" s="15" t="s">
        <v>88</v>
      </c>
      <c r="D2487" s="15" t="s">
        <v>35</v>
      </c>
      <c r="E2487" s="15" t="s">
        <v>35</v>
      </c>
      <c r="F2487" s="15" t="s">
        <v>2789</v>
      </c>
      <c r="G2487" s="15" t="s">
        <v>36</v>
      </c>
      <c r="H2487" s="15" t="s">
        <v>12706</v>
      </c>
      <c r="I2487" s="15" t="s">
        <v>12707</v>
      </c>
      <c r="J2487" s="15" t="s">
        <v>12708</v>
      </c>
      <c r="K2487" s="15" t="s">
        <v>40</v>
      </c>
      <c r="L2487" s="15" t="s">
        <v>41</v>
      </c>
      <c r="M2487" s="15" t="s">
        <v>289</v>
      </c>
      <c r="N2487" s="15" t="s">
        <v>290</v>
      </c>
      <c r="O2487" s="15" t="s">
        <v>44</v>
      </c>
      <c r="P2487" s="15" t="s">
        <v>12709</v>
      </c>
      <c r="Q2487" s="15" t="s">
        <v>12710</v>
      </c>
      <c r="R2487" s="16">
        <v>44329</v>
      </c>
      <c r="S2487" s="17" t="s">
        <v>12711</v>
      </c>
      <c r="T2487" s="20">
        <f>HYPERLINK("https://vnm.spiral.com.vn//uploaded/20210513/17046b15-cf2d-4f5a-8f8f-8f2c18870389.JPEG","09:58:22")</f>
      </c>
      <c r="U2487" s="18"/>
      <c r="V2487" s="18" t="s">
        <v>35</v>
      </c>
      <c r="W2487" s="15" t="s">
        <v>12712</v>
      </c>
      <c r="X2487" s="15" t="s">
        <v>35</v>
      </c>
      <c r="Y2487" s="15" t="s">
        <v>35</v>
      </c>
      <c r="Z2487" s="19">
        <v>0</v>
      </c>
      <c r="AA2487" s="15">
        <v>0</v>
      </c>
      <c r="AB2487" s="15" t="s">
        <v>35</v>
      </c>
    </row>
    <row r="2488">
      <c r="A2488" s="15">
        <v>2484</v>
      </c>
      <c r="B2488" s="15" t="s">
        <v>61</v>
      </c>
      <c r="C2488" s="15" t="s">
        <v>228</v>
      </c>
      <c r="D2488" s="15" t="s">
        <v>135</v>
      </c>
      <c r="E2488" s="15" t="s">
        <v>116</v>
      </c>
      <c r="F2488" s="15" t="s">
        <v>35</v>
      </c>
      <c r="G2488" s="15" t="s">
        <v>74</v>
      </c>
      <c r="H2488" s="15" t="s">
        <v>12713</v>
      </c>
      <c r="I2488" s="15" t="s">
        <v>12714</v>
      </c>
      <c r="J2488" s="15" t="s">
        <v>12715</v>
      </c>
      <c r="K2488" s="15" t="s">
        <v>152</v>
      </c>
      <c r="L2488" s="15" t="s">
        <v>153</v>
      </c>
      <c r="M2488" s="15" t="s">
        <v>232</v>
      </c>
      <c r="N2488" s="15" t="s">
        <v>233</v>
      </c>
      <c r="O2488" s="15" t="s">
        <v>98</v>
      </c>
      <c r="P2488" s="15" t="s">
        <v>453</v>
      </c>
      <c r="Q2488" s="15" t="s">
        <v>454</v>
      </c>
      <c r="R2488" s="16">
        <v>44329</v>
      </c>
      <c r="S2488" s="17" t="s">
        <v>70</v>
      </c>
      <c r="T2488" s="20">
        <f>HYPERLINK("https://vnm.spiral.com.vn//uploaded/20210513/FA7B5C4E-4ED7-4691-AB8B-F867A6D9E27E.jpg","07:56:12")</f>
      </c>
      <c r="U2488" s="20">
        <f>HYPERLINK("https://vnm.spiral.com.vn//uploaded/20210513/D122B5F0-E00A-45E4-8054-CE1D0BC5F4CD.jpg","09:58:16")</f>
      </c>
      <c r="V2488" s="18">
        <v>0.08476851851851852</v>
      </c>
      <c r="W2488" s="15" t="s">
        <v>12716</v>
      </c>
      <c r="X2488" s="15" t="s">
        <v>12717</v>
      </c>
      <c r="Y2488" s="15" t="s">
        <v>35</v>
      </c>
      <c r="Z2488" s="19">
        <v>0</v>
      </c>
      <c r="AA2488" s="15">
        <v>0</v>
      </c>
      <c r="AB2488" s="15" t="s">
        <v>35</v>
      </c>
    </row>
    <row r="2489">
      <c r="A2489" s="15">
        <v>2485</v>
      </c>
      <c r="B2489" s="15" t="s">
        <v>61</v>
      </c>
      <c r="C2489" s="15" t="s">
        <v>228</v>
      </c>
      <c r="D2489" s="15" t="s">
        <v>135</v>
      </c>
      <c r="E2489" s="15" t="s">
        <v>116</v>
      </c>
      <c r="F2489" s="15" t="s">
        <v>35</v>
      </c>
      <c r="G2489" s="15" t="s">
        <v>74</v>
      </c>
      <c r="H2489" s="15" t="s">
        <v>12718</v>
      </c>
      <c r="I2489" s="15" t="s">
        <v>12719</v>
      </c>
      <c r="J2489" s="15" t="s">
        <v>12720</v>
      </c>
      <c r="K2489" s="15" t="s">
        <v>152</v>
      </c>
      <c r="L2489" s="15" t="s">
        <v>153</v>
      </c>
      <c r="M2489" s="15" t="s">
        <v>232</v>
      </c>
      <c r="N2489" s="15" t="s">
        <v>233</v>
      </c>
      <c r="O2489" s="15" t="s">
        <v>82</v>
      </c>
      <c r="P2489" s="15" t="s">
        <v>234</v>
      </c>
      <c r="Q2489" s="15" t="s">
        <v>235</v>
      </c>
      <c r="R2489" s="16">
        <v>44329</v>
      </c>
      <c r="S2489" s="17" t="s">
        <v>70</v>
      </c>
      <c r="T2489" s="20">
        <f>HYPERLINK("https://vnm.spiral.com.vn//uploaded/20210513/6d82e6b6-6a96-4c64-9279-70715954f074.JPEG","07:53:43")</f>
      </c>
      <c r="U2489" s="20">
        <f>HYPERLINK("https://vnm.spiral.com.vn//uploaded/20210513/1c6ad9d8-db78-4cf9-ad48-0612659bdf2a.JPEG","09:58:05")</f>
      </c>
      <c r="V2489" s="18">
        <v>0.08636574074074074</v>
      </c>
      <c r="W2489" s="15" t="s">
        <v>12721</v>
      </c>
      <c r="X2489" s="15" t="s">
        <v>12722</v>
      </c>
      <c r="Y2489" s="15" t="s">
        <v>35</v>
      </c>
      <c r="Z2489" s="19">
        <v>0</v>
      </c>
      <c r="AA2489" s="15">
        <v>0</v>
      </c>
      <c r="AB2489" s="15" t="s">
        <v>35</v>
      </c>
    </row>
    <row r="2490">
      <c r="A2490" s="15">
        <v>2486</v>
      </c>
      <c r="B2490" s="15" t="s">
        <v>87</v>
      </c>
      <c r="C2490" s="15" t="s">
        <v>88</v>
      </c>
      <c r="D2490" s="15" t="s">
        <v>115</v>
      </c>
      <c r="E2490" s="15" t="s">
        <v>116</v>
      </c>
      <c r="F2490" s="15" t="s">
        <v>35</v>
      </c>
      <c r="G2490" s="15" t="s">
        <v>74</v>
      </c>
      <c r="H2490" s="15" t="s">
        <v>12723</v>
      </c>
      <c r="I2490" s="15" t="s">
        <v>12724</v>
      </c>
      <c r="J2490" s="15" t="s">
        <v>12725</v>
      </c>
      <c r="K2490" s="15" t="s">
        <v>120</v>
      </c>
      <c r="L2490" s="15" t="s">
        <v>121</v>
      </c>
      <c r="M2490" s="15" t="s">
        <v>1073</v>
      </c>
      <c r="N2490" s="15" t="s">
        <v>1074</v>
      </c>
      <c r="O2490" s="15" t="s">
        <v>82</v>
      </c>
      <c r="P2490" s="15" t="s">
        <v>2193</v>
      </c>
      <c r="Q2490" s="15" t="s">
        <v>2194</v>
      </c>
      <c r="R2490" s="16">
        <v>44329</v>
      </c>
      <c r="S2490" s="17" t="s">
        <v>70</v>
      </c>
      <c r="T2490" s="20">
        <f>HYPERLINK("https://vnm.spiral.com.vn//uploaded/20210513/1639366e-d428-446d-a945-755f13c713fc.JPEG","09:40:20")</f>
      </c>
      <c r="U2490" s="20">
        <f>HYPERLINK("https://vnm.spiral.com.vn//uploaded/20210513/003a0026-d31f-43c2-9661-e5d236c443cd.JPEG","09:57:45")</f>
      </c>
      <c r="V2490" s="18">
        <v>0.012094907407407407</v>
      </c>
      <c r="W2490" s="15" t="s">
        <v>12726</v>
      </c>
      <c r="X2490" s="15" t="s">
        <v>12727</v>
      </c>
      <c r="Y2490" s="15" t="s">
        <v>35</v>
      </c>
      <c r="Z2490" s="19">
        <v>0</v>
      </c>
      <c r="AA2490" s="15">
        <v>0</v>
      </c>
      <c r="AB2490" s="15" t="s">
        <v>35</v>
      </c>
    </row>
    <row r="2491">
      <c r="A2491" s="15">
        <v>2487</v>
      </c>
      <c r="B2491" s="15" t="s">
        <v>87</v>
      </c>
      <c r="C2491" s="15" t="s">
        <v>88</v>
      </c>
      <c r="D2491" s="15" t="s">
        <v>35</v>
      </c>
      <c r="E2491" s="15" t="s">
        <v>35</v>
      </c>
      <c r="F2491" s="15" t="s">
        <v>806</v>
      </c>
      <c r="G2491" s="15" t="s">
        <v>36</v>
      </c>
      <c r="H2491" s="15" t="s">
        <v>12728</v>
      </c>
      <c r="I2491" s="15" t="s">
        <v>12729</v>
      </c>
      <c r="J2491" s="15" t="s">
        <v>12730</v>
      </c>
      <c r="K2491" s="15" t="s">
        <v>40</v>
      </c>
      <c r="L2491" s="15" t="s">
        <v>41</v>
      </c>
      <c r="M2491" s="15" t="s">
        <v>810</v>
      </c>
      <c r="N2491" s="15" t="s">
        <v>811</v>
      </c>
      <c r="O2491" s="15" t="s">
        <v>44</v>
      </c>
      <c r="P2491" s="15" t="s">
        <v>12731</v>
      </c>
      <c r="Q2491" s="15" t="s">
        <v>12732</v>
      </c>
      <c r="R2491" s="16">
        <v>44329</v>
      </c>
      <c r="S2491" s="17" t="s">
        <v>12733</v>
      </c>
      <c r="T2491" s="20">
        <f>HYPERLINK("https://vnm.spiral.com.vn//uploaded/20210513/429B8118-8C72-47B9-92E2-22D2510FC88A.jpg","09:57:25")</f>
      </c>
      <c r="U2491" s="18"/>
      <c r="V2491" s="18" t="s">
        <v>35</v>
      </c>
      <c r="W2491" s="15" t="s">
        <v>12734</v>
      </c>
      <c r="X2491" s="15" t="s">
        <v>35</v>
      </c>
      <c r="Y2491" s="15" t="s">
        <v>35</v>
      </c>
      <c r="Z2491" s="19">
        <v>0</v>
      </c>
      <c r="AA2491" s="15">
        <v>0</v>
      </c>
      <c r="AB2491" s="15" t="s">
        <v>35</v>
      </c>
    </row>
    <row r="2492">
      <c r="A2492" s="15">
        <v>2488</v>
      </c>
      <c r="B2492" s="15" t="s">
        <v>87</v>
      </c>
      <c r="C2492" s="15" t="s">
        <v>88</v>
      </c>
      <c r="D2492" s="15" t="s">
        <v>35</v>
      </c>
      <c r="E2492" s="15" t="s">
        <v>35</v>
      </c>
      <c r="F2492" s="15" t="s">
        <v>35</v>
      </c>
      <c r="G2492" s="15" t="s">
        <v>74</v>
      </c>
      <c r="H2492" s="15" t="s">
        <v>12735</v>
      </c>
      <c r="I2492" s="15" t="s">
        <v>12736</v>
      </c>
      <c r="J2492" s="15" t="s">
        <v>12737</v>
      </c>
      <c r="K2492" s="15" t="s">
        <v>888</v>
      </c>
      <c r="L2492" s="15" t="s">
        <v>889</v>
      </c>
      <c r="M2492" s="15" t="s">
        <v>924</v>
      </c>
      <c r="N2492" s="15" t="s">
        <v>925</v>
      </c>
      <c r="O2492" s="15" t="s">
        <v>82</v>
      </c>
      <c r="P2492" s="15" t="s">
        <v>1140</v>
      </c>
      <c r="Q2492" s="15" t="s">
        <v>69</v>
      </c>
      <c r="R2492" s="16">
        <v>44329</v>
      </c>
      <c r="S2492" s="17" t="s">
        <v>70</v>
      </c>
      <c r="T2492" s="20">
        <f>HYPERLINK("https://vnm.spiral.com.vn//uploaded/20210513/0847a029-c864-4948-8242-da679b008284.JPEG","09:36:35")</f>
      </c>
      <c r="U2492" s="20">
        <f>HYPERLINK("https://vnm.spiral.com.vn//uploaded/20210513/d9a112f5-8d56-4fa3-b3fe-d5ba876e56f5.JPEG","09:57:11")</f>
      </c>
      <c r="V2492" s="18">
        <v>0.014305555555555556</v>
      </c>
      <c r="W2492" s="15" t="s">
        <v>12738</v>
      </c>
      <c r="X2492" s="15" t="s">
        <v>12739</v>
      </c>
      <c r="Y2492" s="15" t="s">
        <v>35</v>
      </c>
      <c r="Z2492" s="19">
        <v>0</v>
      </c>
      <c r="AA2492" s="15">
        <v>0</v>
      </c>
      <c r="AB2492" s="15" t="s">
        <v>35</v>
      </c>
    </row>
    <row r="2493">
      <c r="A2493" s="15">
        <v>2489</v>
      </c>
      <c r="B2493" s="15" t="s">
        <v>87</v>
      </c>
      <c r="C2493" s="15" t="s">
        <v>88</v>
      </c>
      <c r="D2493" s="15" t="s">
        <v>610</v>
      </c>
      <c r="E2493" s="15" t="s">
        <v>90</v>
      </c>
      <c r="F2493" s="15" t="s">
        <v>35</v>
      </c>
      <c r="G2493" s="15" t="s">
        <v>74</v>
      </c>
      <c r="H2493" s="15" t="s">
        <v>12740</v>
      </c>
      <c r="I2493" s="15" t="s">
        <v>12741</v>
      </c>
      <c r="J2493" s="15" t="s">
        <v>12742</v>
      </c>
      <c r="K2493" s="15" t="s">
        <v>614</v>
      </c>
      <c r="L2493" s="15" t="s">
        <v>615</v>
      </c>
      <c r="M2493" s="15" t="s">
        <v>616</v>
      </c>
      <c r="N2493" s="15" t="s">
        <v>617</v>
      </c>
      <c r="O2493" s="15" t="s">
        <v>82</v>
      </c>
      <c r="P2493" s="15" t="s">
        <v>1251</v>
      </c>
      <c r="Q2493" s="15" t="s">
        <v>1252</v>
      </c>
      <c r="R2493" s="16">
        <v>44329</v>
      </c>
      <c r="S2493" s="17" t="s">
        <v>70</v>
      </c>
      <c r="T2493" s="20">
        <f>HYPERLINK("https://vnm.spiral.com.vn//uploaded/20210513/F030D1B0-C3D5-41FA-9816-ADB46F301817.jpg","09:32:59")</f>
      </c>
      <c r="U2493" s="20">
        <f>HYPERLINK("https://vnm.spiral.com.vn//uploaded/20210513/13D616E2-2F7A-4A22-8928-A1E3B846D118.jpg","09:57:10")</f>
      </c>
      <c r="V2493" s="18">
        <v>0.016793981481481483</v>
      </c>
      <c r="W2493" s="15" t="s">
        <v>12743</v>
      </c>
      <c r="X2493" s="15" t="s">
        <v>12744</v>
      </c>
      <c r="Y2493" s="15" t="s">
        <v>35</v>
      </c>
      <c r="Z2493" s="19">
        <v>0</v>
      </c>
      <c r="AA2493" s="15">
        <v>0</v>
      </c>
      <c r="AB2493" s="15" t="s">
        <v>35</v>
      </c>
    </row>
    <row r="2494">
      <c r="A2494" s="15">
        <v>2490</v>
      </c>
      <c r="B2494" s="15" t="s">
        <v>61</v>
      </c>
      <c r="C2494" s="15" t="s">
        <v>303</v>
      </c>
      <c r="D2494" s="15" t="s">
        <v>35</v>
      </c>
      <c r="E2494" s="15" t="s">
        <v>35</v>
      </c>
      <c r="F2494" s="15" t="s">
        <v>1947</v>
      </c>
      <c r="G2494" s="15" t="s">
        <v>36</v>
      </c>
      <c r="H2494" s="15" t="s">
        <v>12745</v>
      </c>
      <c r="I2494" s="15" t="s">
        <v>12746</v>
      </c>
      <c r="J2494" s="15" t="s">
        <v>12747</v>
      </c>
      <c r="K2494" s="15" t="s">
        <v>40</v>
      </c>
      <c r="L2494" s="15" t="s">
        <v>41</v>
      </c>
      <c r="M2494" s="15" t="s">
        <v>205</v>
      </c>
      <c r="N2494" s="15" t="s">
        <v>206</v>
      </c>
      <c r="O2494" s="15" t="s">
        <v>44</v>
      </c>
      <c r="P2494" s="15" t="s">
        <v>12748</v>
      </c>
      <c r="Q2494" s="15" t="s">
        <v>12749</v>
      </c>
      <c r="R2494" s="16">
        <v>44329</v>
      </c>
      <c r="S2494" s="17" t="s">
        <v>11988</v>
      </c>
      <c r="T2494" s="20">
        <f>HYPERLINK("https://vnm.spiral.com.vn//uploaded/20210513/F5FA5F11-A228-4F84-A2F6-3FE091A09CF2.jpg","09:56:57")</f>
      </c>
      <c r="U2494" s="18"/>
      <c r="V2494" s="18" t="s">
        <v>35</v>
      </c>
      <c r="W2494" s="15" t="s">
        <v>12750</v>
      </c>
      <c r="X2494" s="15" t="s">
        <v>35</v>
      </c>
      <c r="Y2494" s="15" t="s">
        <v>35</v>
      </c>
      <c r="Z2494" s="19">
        <v>0</v>
      </c>
      <c r="AA2494" s="15">
        <v>0</v>
      </c>
      <c r="AB2494" s="15" t="s">
        <v>35</v>
      </c>
    </row>
    <row r="2495">
      <c r="A2495" s="15">
        <v>2491</v>
      </c>
      <c r="B2495" s="15" t="s">
        <v>87</v>
      </c>
      <c r="C2495" s="15" t="s">
        <v>88</v>
      </c>
      <c r="D2495" s="15" t="s">
        <v>35</v>
      </c>
      <c r="E2495" s="15" t="s">
        <v>35</v>
      </c>
      <c r="F2495" s="15" t="s">
        <v>2667</v>
      </c>
      <c r="G2495" s="15" t="s">
        <v>36</v>
      </c>
      <c r="H2495" s="15" t="s">
        <v>12751</v>
      </c>
      <c r="I2495" s="15" t="s">
        <v>12752</v>
      </c>
      <c r="J2495" s="15" t="s">
        <v>12753</v>
      </c>
      <c r="K2495" s="15" t="s">
        <v>40</v>
      </c>
      <c r="L2495" s="15" t="s">
        <v>41</v>
      </c>
      <c r="M2495" s="15" t="s">
        <v>1195</v>
      </c>
      <c r="N2495" s="15" t="s">
        <v>1196</v>
      </c>
      <c r="O2495" s="15" t="s">
        <v>44</v>
      </c>
      <c r="P2495" s="15" t="s">
        <v>12754</v>
      </c>
      <c r="Q2495" s="15" t="s">
        <v>12755</v>
      </c>
      <c r="R2495" s="16">
        <v>44329</v>
      </c>
      <c r="S2495" s="17" t="s">
        <v>12711</v>
      </c>
      <c r="T2495" s="20">
        <f>HYPERLINK("https://vnm.spiral.com.vn//uploaded/20210513/ce8513ef-c164-4ce4-b38f-9b0cd7c77501.JPEG","09:56:32")</f>
      </c>
      <c r="U2495" s="18"/>
      <c r="V2495" s="18" t="s">
        <v>35</v>
      </c>
      <c r="W2495" s="15" t="s">
        <v>12756</v>
      </c>
      <c r="X2495" s="15" t="s">
        <v>35</v>
      </c>
      <c r="Y2495" s="15" t="s">
        <v>35</v>
      </c>
      <c r="Z2495" s="19">
        <v>0</v>
      </c>
      <c r="AA2495" s="15">
        <v>0</v>
      </c>
      <c r="AB2495" s="15" t="s">
        <v>35</v>
      </c>
    </row>
    <row r="2496">
      <c r="A2496" s="15">
        <v>2492</v>
      </c>
      <c r="B2496" s="15" t="s">
        <v>33</v>
      </c>
      <c r="C2496" s="15" t="s">
        <v>492</v>
      </c>
      <c r="D2496" s="15" t="s">
        <v>357</v>
      </c>
      <c r="E2496" s="15" t="s">
        <v>35</v>
      </c>
      <c r="F2496" s="15" t="s">
        <v>35</v>
      </c>
      <c r="G2496" s="15" t="s">
        <v>74</v>
      </c>
      <c r="H2496" s="15" t="s">
        <v>12757</v>
      </c>
      <c r="I2496" s="15" t="s">
        <v>12758</v>
      </c>
      <c r="J2496" s="15" t="s">
        <v>12759</v>
      </c>
      <c r="K2496" s="15" t="s">
        <v>540</v>
      </c>
      <c r="L2496" s="15" t="s">
        <v>541</v>
      </c>
      <c r="M2496" s="15" t="s">
        <v>78</v>
      </c>
      <c r="N2496" s="15" t="s">
        <v>79</v>
      </c>
      <c r="O2496" s="15" t="s">
        <v>82</v>
      </c>
      <c r="P2496" s="15" t="s">
        <v>1102</v>
      </c>
      <c r="Q2496" s="15" t="s">
        <v>1103</v>
      </c>
      <c r="R2496" s="16">
        <v>44329</v>
      </c>
      <c r="S2496" s="17" t="s">
        <v>70</v>
      </c>
      <c r="T2496" s="20">
        <f>HYPERLINK("https://vnm.spiral.com.vn//uploaded/20210513/b6ef8f26-fc53-47f6-ba11-c7c25aec526b.JPEG","09:40:34")</f>
      </c>
      <c r="U2496" s="20">
        <f>HYPERLINK("https://vnm.spiral.com.vn//uploaded/20210513/c6afc95f-b46e-49f5-bb88-d66244746a0c.JPEG","09:56:28")</f>
      </c>
      <c r="V2496" s="18">
        <v>0.011041666666666667</v>
      </c>
      <c r="W2496" s="15" t="s">
        <v>12760</v>
      </c>
      <c r="X2496" s="15" t="s">
        <v>12761</v>
      </c>
      <c r="Y2496" s="15" t="s">
        <v>35</v>
      </c>
      <c r="Z2496" s="19">
        <v>0</v>
      </c>
      <c r="AA2496" s="15">
        <v>0</v>
      </c>
      <c r="AB2496" s="15" t="s">
        <v>35</v>
      </c>
    </row>
    <row r="2497">
      <c r="A2497" s="15">
        <v>2493</v>
      </c>
      <c r="B2497" s="15" t="s">
        <v>343</v>
      </c>
      <c r="C2497" s="15" t="s">
        <v>344</v>
      </c>
      <c r="D2497" s="15" t="s">
        <v>1644</v>
      </c>
      <c r="E2497" s="15" t="s">
        <v>35</v>
      </c>
      <c r="F2497" s="15" t="s">
        <v>35</v>
      </c>
      <c r="G2497" s="15" t="s">
        <v>74</v>
      </c>
      <c r="H2497" s="15" t="s">
        <v>12762</v>
      </c>
      <c r="I2497" s="15" t="s">
        <v>12763</v>
      </c>
      <c r="J2497" s="15" t="s">
        <v>12764</v>
      </c>
      <c r="K2497" s="15" t="s">
        <v>584</v>
      </c>
      <c r="L2497" s="15" t="s">
        <v>585</v>
      </c>
      <c r="M2497" s="15" t="s">
        <v>827</v>
      </c>
      <c r="N2497" s="15" t="s">
        <v>828</v>
      </c>
      <c r="O2497" s="15" t="s">
        <v>82</v>
      </c>
      <c r="P2497" s="15" t="s">
        <v>1648</v>
      </c>
      <c r="Q2497" s="15" t="s">
        <v>1649</v>
      </c>
      <c r="R2497" s="16">
        <v>44329</v>
      </c>
      <c r="S2497" s="17" t="s">
        <v>70</v>
      </c>
      <c r="T2497" s="20">
        <f>HYPERLINK("https://vnm.spiral.com.vn//uploaded/20210513/40d9e263-6ac0-4de8-88f0-92070fe6e379.JPEG","09:19:38")</f>
      </c>
      <c r="U2497" s="20">
        <f>HYPERLINK("https://vnm.spiral.com.vn//uploaded/20210513/b84f2c13-2bfb-4145-99e8-9e77644bf84d.JPEG","09:56:03")</f>
      </c>
      <c r="V2497" s="18">
        <v>0.02528935185185185</v>
      </c>
      <c r="W2497" s="15" t="s">
        <v>12765</v>
      </c>
      <c r="X2497" s="15" t="s">
        <v>12766</v>
      </c>
      <c r="Y2497" s="15" t="s">
        <v>35</v>
      </c>
      <c r="Z2497" s="19">
        <v>0</v>
      </c>
      <c r="AA2497" s="15">
        <v>0</v>
      </c>
      <c r="AB2497" s="15" t="s">
        <v>35</v>
      </c>
    </row>
    <row r="2498">
      <c r="A2498" s="15">
        <v>2494</v>
      </c>
      <c r="B2498" s="15" t="s">
        <v>61</v>
      </c>
      <c r="C2498" s="15" t="s">
        <v>303</v>
      </c>
      <c r="D2498" s="15" t="s">
        <v>35</v>
      </c>
      <c r="E2498" s="15" t="s">
        <v>35</v>
      </c>
      <c r="F2498" s="15" t="s">
        <v>35</v>
      </c>
      <c r="G2498" s="15" t="s">
        <v>36</v>
      </c>
      <c r="H2498" s="15" t="s">
        <v>12767</v>
      </c>
      <c r="I2498" s="15" t="s">
        <v>12768</v>
      </c>
      <c r="J2498" s="15" t="s">
        <v>12769</v>
      </c>
      <c r="K2498" s="15" t="s">
        <v>40</v>
      </c>
      <c r="L2498" s="15" t="s">
        <v>41</v>
      </c>
      <c r="M2498" s="15" t="s">
        <v>205</v>
      </c>
      <c r="N2498" s="15" t="s">
        <v>206</v>
      </c>
      <c r="O2498" s="15" t="s">
        <v>44</v>
      </c>
      <c r="P2498" s="15" t="s">
        <v>12770</v>
      </c>
      <c r="Q2498" s="15" t="s">
        <v>12771</v>
      </c>
      <c r="R2498" s="16">
        <v>44329</v>
      </c>
      <c r="S2498" s="17" t="s">
        <v>12772</v>
      </c>
      <c r="T2498" s="20">
        <f>HYPERLINK("https://vnm.spiral.com.vn//uploaded/20210513/653D0A0C-1A3F-46FE-A534-C5945DD3A676.jpg","09:55:41")</f>
      </c>
      <c r="U2498" s="18"/>
      <c r="V2498" s="18" t="s">
        <v>35</v>
      </c>
      <c r="W2498" s="15" t="s">
        <v>12773</v>
      </c>
      <c r="X2498" s="15" t="s">
        <v>35</v>
      </c>
      <c r="Y2498" s="15" t="s">
        <v>35</v>
      </c>
      <c r="Z2498" s="19">
        <v>0</v>
      </c>
      <c r="AA2498" s="15">
        <v>0</v>
      </c>
      <c r="AB2498" s="15" t="s">
        <v>35</v>
      </c>
    </row>
    <row r="2499">
      <c r="A2499" s="15">
        <v>2495</v>
      </c>
      <c r="B2499" s="15" t="s">
        <v>61</v>
      </c>
      <c r="C2499" s="15" t="s">
        <v>398</v>
      </c>
      <c r="D2499" s="15" t="s">
        <v>35</v>
      </c>
      <c r="E2499" s="15" t="s">
        <v>35</v>
      </c>
      <c r="F2499" s="15" t="s">
        <v>35</v>
      </c>
      <c r="G2499" s="15" t="s">
        <v>36</v>
      </c>
      <c r="H2499" s="15" t="s">
        <v>12774</v>
      </c>
      <c r="I2499" s="15" t="s">
        <v>12775</v>
      </c>
      <c r="J2499" s="15" t="s">
        <v>12776</v>
      </c>
      <c r="K2499" s="15" t="s">
        <v>40</v>
      </c>
      <c r="L2499" s="15" t="s">
        <v>41</v>
      </c>
      <c r="M2499" s="15" t="s">
        <v>66</v>
      </c>
      <c r="N2499" s="15" t="s">
        <v>67</v>
      </c>
      <c r="O2499" s="15" t="s">
        <v>44</v>
      </c>
      <c r="P2499" s="15" t="s">
        <v>12777</v>
      </c>
      <c r="Q2499" s="15" t="s">
        <v>1034</v>
      </c>
      <c r="R2499" s="16">
        <v>44329</v>
      </c>
      <c r="S2499" s="17" t="s">
        <v>8031</v>
      </c>
      <c r="T2499" s="20">
        <f>HYPERLINK("https://vnm.spiral.com.vn//uploaded/20210513/05320553-da0e-4b65-9bc8-6c23e8487f96.JPEG","09:55:36")</f>
      </c>
      <c r="U2499" s="18"/>
      <c r="V2499" s="18" t="s">
        <v>35</v>
      </c>
      <c r="W2499" s="15" t="s">
        <v>12778</v>
      </c>
      <c r="X2499" s="15" t="s">
        <v>35</v>
      </c>
      <c r="Y2499" s="15" t="s">
        <v>35</v>
      </c>
      <c r="Z2499" s="19">
        <v>0</v>
      </c>
      <c r="AA2499" s="15">
        <v>0</v>
      </c>
      <c r="AB2499" s="15" t="s">
        <v>35</v>
      </c>
    </row>
    <row r="2500">
      <c r="A2500" s="15">
        <v>2496</v>
      </c>
      <c r="B2500" s="15" t="s">
        <v>103</v>
      </c>
      <c r="C2500" s="15" t="s">
        <v>1078</v>
      </c>
      <c r="D2500" s="15" t="s">
        <v>135</v>
      </c>
      <c r="E2500" s="15" t="s">
        <v>116</v>
      </c>
      <c r="F2500" s="15" t="s">
        <v>35</v>
      </c>
      <c r="G2500" s="15" t="s">
        <v>74</v>
      </c>
      <c r="H2500" s="15" t="s">
        <v>12779</v>
      </c>
      <c r="I2500" s="15" t="s">
        <v>12780</v>
      </c>
      <c r="J2500" s="15" t="s">
        <v>12781</v>
      </c>
      <c r="K2500" s="15" t="s">
        <v>436</v>
      </c>
      <c r="L2500" s="15" t="s">
        <v>437</v>
      </c>
      <c r="M2500" s="15" t="s">
        <v>1429</v>
      </c>
      <c r="N2500" s="15" t="s">
        <v>1430</v>
      </c>
      <c r="O2500" s="15" t="s">
        <v>82</v>
      </c>
      <c r="P2500" s="15" t="s">
        <v>1825</v>
      </c>
      <c r="Q2500" s="15" t="s">
        <v>144</v>
      </c>
      <c r="R2500" s="16">
        <v>44329</v>
      </c>
      <c r="S2500" s="17" t="s">
        <v>70</v>
      </c>
      <c r="T2500" s="20">
        <f>HYPERLINK("https://vnm.spiral.com.vn//uploaded/20210513/c6facebe-f5aa-41f1-99ea-6955a529b074.JPEG","09:00:32")</f>
      </c>
      <c r="U2500" s="20">
        <f>HYPERLINK("https://vnm.spiral.com.vn//uploaded/20210513/967a5714-b955-4b21-8944-8efbd641fe7f.JPEG","09:55:29")</f>
      </c>
      <c r="V2500" s="18">
        <v>0.03815972222222222</v>
      </c>
      <c r="W2500" s="15" t="s">
        <v>12782</v>
      </c>
      <c r="X2500" s="15" t="s">
        <v>12783</v>
      </c>
      <c r="Y2500" s="15" t="s">
        <v>35</v>
      </c>
      <c r="Z2500" s="19">
        <v>0</v>
      </c>
      <c r="AA2500" s="15">
        <v>0</v>
      </c>
      <c r="AB2500" s="15" t="s">
        <v>35</v>
      </c>
    </row>
    <row r="2501">
      <c r="A2501" s="15">
        <v>2497</v>
      </c>
      <c r="B2501" s="15" t="s">
        <v>87</v>
      </c>
      <c r="C2501" s="15" t="s">
        <v>88</v>
      </c>
      <c r="D2501" s="15" t="s">
        <v>35</v>
      </c>
      <c r="E2501" s="15" t="s">
        <v>35</v>
      </c>
      <c r="F2501" s="15" t="s">
        <v>35</v>
      </c>
      <c r="G2501" s="15" t="s">
        <v>74</v>
      </c>
      <c r="H2501" s="15" t="s">
        <v>12784</v>
      </c>
      <c r="I2501" s="15" t="s">
        <v>12785</v>
      </c>
      <c r="J2501" s="15" t="s">
        <v>12786</v>
      </c>
      <c r="K2501" s="15" t="s">
        <v>888</v>
      </c>
      <c r="L2501" s="15" t="s">
        <v>889</v>
      </c>
      <c r="M2501" s="15" t="s">
        <v>924</v>
      </c>
      <c r="N2501" s="15" t="s">
        <v>925</v>
      </c>
      <c r="O2501" s="15" t="s">
        <v>82</v>
      </c>
      <c r="P2501" s="15" t="s">
        <v>926</v>
      </c>
      <c r="Q2501" s="15" t="s">
        <v>927</v>
      </c>
      <c r="R2501" s="16">
        <v>44329</v>
      </c>
      <c r="S2501" s="17" t="s">
        <v>70</v>
      </c>
      <c r="T2501" s="20">
        <f>HYPERLINK("https://vnm.spiral.com.vn//uploaded/20210513/2ABF25BC-9C62-434F-9010-07DBF89E2C59.jpg","09:39:07")</f>
      </c>
      <c r="U2501" s="20">
        <f>HYPERLINK("https://vnm.spiral.com.vn//uploaded/20210513/66AFB66B-9A3F-4DED-801A-2DA51A3E5890.jpg","09:55:11")</f>
      </c>
      <c r="V2501" s="18">
        <v>0.011157407407407408</v>
      </c>
      <c r="W2501" s="15" t="s">
        <v>12787</v>
      </c>
      <c r="X2501" s="15" t="s">
        <v>12788</v>
      </c>
      <c r="Y2501" s="15" t="s">
        <v>35</v>
      </c>
      <c r="Z2501" s="19">
        <v>0</v>
      </c>
      <c r="AA2501" s="15">
        <v>0</v>
      </c>
      <c r="AB2501" s="15" t="s">
        <v>35</v>
      </c>
    </row>
    <row r="2502">
      <c r="A2502" s="15">
        <v>2498</v>
      </c>
      <c r="B2502" s="15" t="s">
        <v>87</v>
      </c>
      <c r="C2502" s="15" t="s">
        <v>88</v>
      </c>
      <c r="D2502" s="15" t="s">
        <v>357</v>
      </c>
      <c r="E2502" s="15" t="s">
        <v>90</v>
      </c>
      <c r="F2502" s="15" t="s">
        <v>35</v>
      </c>
      <c r="G2502" s="15" t="s">
        <v>74</v>
      </c>
      <c r="H2502" s="15" t="s">
        <v>12789</v>
      </c>
      <c r="I2502" s="15" t="s">
        <v>12790</v>
      </c>
      <c r="J2502" s="15" t="s">
        <v>12791</v>
      </c>
      <c r="K2502" s="15" t="s">
        <v>94</v>
      </c>
      <c r="L2502" s="15" t="s">
        <v>95</v>
      </c>
      <c r="M2502" s="15" t="s">
        <v>1554</v>
      </c>
      <c r="N2502" s="15" t="s">
        <v>1555</v>
      </c>
      <c r="O2502" s="15" t="s">
        <v>82</v>
      </c>
      <c r="P2502" s="15" t="s">
        <v>4710</v>
      </c>
      <c r="Q2502" s="15" t="s">
        <v>4711</v>
      </c>
      <c r="R2502" s="16">
        <v>44329</v>
      </c>
      <c r="S2502" s="17" t="s">
        <v>70</v>
      </c>
      <c r="T2502" s="20">
        <f>HYPERLINK("https://vnm.spiral.com.vn//uploaded/20210513/8b4f6eac-8549-4b24-9ca6-026131a3e405.jpg","08:09:25")</f>
      </c>
      <c r="U2502" s="20">
        <f>HYPERLINK("https://vnm.spiral.com.vn//uploaded/20210513/5d64e5a5-d37b-4c18-8b1c-6420295b3848.jpg","09:55:09")</f>
      </c>
      <c r="V2502" s="18">
        <v>0.07342592592592592</v>
      </c>
      <c r="W2502" s="15" t="s">
        <v>12792</v>
      </c>
      <c r="X2502" s="15" t="s">
        <v>12793</v>
      </c>
      <c r="Y2502" s="15" t="s">
        <v>35</v>
      </c>
      <c r="Z2502" s="19">
        <v>0</v>
      </c>
      <c r="AA2502" s="15">
        <v>0</v>
      </c>
      <c r="AB2502" s="15" t="s">
        <v>35</v>
      </c>
    </row>
    <row r="2503">
      <c r="A2503" s="15">
        <v>2499</v>
      </c>
      <c r="B2503" s="15" t="s">
        <v>87</v>
      </c>
      <c r="C2503" s="15" t="s">
        <v>88</v>
      </c>
      <c r="D2503" s="15" t="s">
        <v>35</v>
      </c>
      <c r="E2503" s="15" t="s">
        <v>35</v>
      </c>
      <c r="F2503" s="15" t="s">
        <v>2667</v>
      </c>
      <c r="G2503" s="15" t="s">
        <v>36</v>
      </c>
      <c r="H2503" s="15" t="s">
        <v>12794</v>
      </c>
      <c r="I2503" s="15" t="s">
        <v>12795</v>
      </c>
      <c r="J2503" s="15" t="s">
        <v>12796</v>
      </c>
      <c r="K2503" s="15" t="s">
        <v>40</v>
      </c>
      <c r="L2503" s="15" t="s">
        <v>41</v>
      </c>
      <c r="M2503" s="15" t="s">
        <v>1195</v>
      </c>
      <c r="N2503" s="15" t="s">
        <v>1196</v>
      </c>
      <c r="O2503" s="15" t="s">
        <v>44</v>
      </c>
      <c r="P2503" s="15" t="s">
        <v>12797</v>
      </c>
      <c r="Q2503" s="15" t="s">
        <v>12798</v>
      </c>
      <c r="R2503" s="16">
        <v>44329</v>
      </c>
      <c r="S2503" s="17" t="s">
        <v>12799</v>
      </c>
      <c r="T2503" s="20">
        <f>HYPERLINK("https://vnm.spiral.com.vn//uploaded/20210513/28eeae98-ebe8-4e9e-ba8f-ae01522f74ff.JPEG","09:54:56")</f>
      </c>
      <c r="U2503" s="18"/>
      <c r="V2503" s="18" t="s">
        <v>35</v>
      </c>
      <c r="W2503" s="15" t="s">
        <v>12800</v>
      </c>
      <c r="X2503" s="15" t="s">
        <v>35</v>
      </c>
      <c r="Y2503" s="15" t="s">
        <v>35</v>
      </c>
      <c r="Z2503" s="19">
        <v>0</v>
      </c>
      <c r="AA2503" s="15">
        <v>0</v>
      </c>
      <c r="AB2503" s="15" t="s">
        <v>35</v>
      </c>
    </row>
    <row r="2504">
      <c r="A2504" s="15">
        <v>2500</v>
      </c>
      <c r="B2504" s="15" t="s">
        <v>87</v>
      </c>
      <c r="C2504" s="15" t="s">
        <v>88</v>
      </c>
      <c r="D2504" s="15" t="s">
        <v>35</v>
      </c>
      <c r="E2504" s="15" t="s">
        <v>35</v>
      </c>
      <c r="F2504" s="15" t="s">
        <v>35</v>
      </c>
      <c r="G2504" s="15" t="s">
        <v>74</v>
      </c>
      <c r="H2504" s="15" t="s">
        <v>12801</v>
      </c>
      <c r="I2504" s="15" t="s">
        <v>12802</v>
      </c>
      <c r="J2504" s="15" t="s">
        <v>12803</v>
      </c>
      <c r="K2504" s="15" t="s">
        <v>888</v>
      </c>
      <c r="L2504" s="15" t="s">
        <v>889</v>
      </c>
      <c r="M2504" s="15" t="s">
        <v>924</v>
      </c>
      <c r="N2504" s="15" t="s">
        <v>925</v>
      </c>
      <c r="O2504" s="15" t="s">
        <v>82</v>
      </c>
      <c r="P2504" s="15" t="s">
        <v>1893</v>
      </c>
      <c r="Q2504" s="15" t="s">
        <v>1894</v>
      </c>
      <c r="R2504" s="16">
        <v>44329</v>
      </c>
      <c r="S2504" s="17" t="s">
        <v>70</v>
      </c>
      <c r="T2504" s="20">
        <f>HYPERLINK("https://vnm.spiral.com.vn//uploaded/20210513/E014FFF8-3E4D-4FF4-9C42-052424969A6A.jpg","09:17:06")</f>
      </c>
      <c r="U2504" s="20">
        <f>HYPERLINK("https://vnm.spiral.com.vn//uploaded/20210513/0DB32403-F510-4D27-A8A0-86E2826E9A46.jpg","09:54:39")</f>
      </c>
      <c r="V2504" s="18">
        <v>0.02607638888888889</v>
      </c>
      <c r="W2504" s="15" t="s">
        <v>12804</v>
      </c>
      <c r="X2504" s="15" t="s">
        <v>12805</v>
      </c>
      <c r="Y2504" s="15" t="s">
        <v>35</v>
      </c>
      <c r="Z2504" s="19">
        <v>0</v>
      </c>
      <c r="AA2504" s="15">
        <v>0</v>
      </c>
      <c r="AB2504" s="15" t="s">
        <v>35</v>
      </c>
    </row>
    <row r="2505">
      <c r="A2505" s="15">
        <v>2501</v>
      </c>
      <c r="B2505" s="15" t="s">
        <v>87</v>
      </c>
      <c r="C2505" s="15" t="s">
        <v>88</v>
      </c>
      <c r="D2505" s="15" t="s">
        <v>35</v>
      </c>
      <c r="E2505" s="15" t="s">
        <v>35</v>
      </c>
      <c r="F2505" s="15" t="s">
        <v>35</v>
      </c>
      <c r="G2505" s="15" t="s">
        <v>74</v>
      </c>
      <c r="H2505" s="15" t="s">
        <v>12092</v>
      </c>
      <c r="I2505" s="15" t="s">
        <v>12093</v>
      </c>
      <c r="J2505" s="15" t="s">
        <v>12094</v>
      </c>
      <c r="K2505" s="15" t="s">
        <v>190</v>
      </c>
      <c r="L2505" s="15" t="s">
        <v>191</v>
      </c>
      <c r="M2505" s="15" t="s">
        <v>888</v>
      </c>
      <c r="N2505" s="15" t="s">
        <v>889</v>
      </c>
      <c r="O2505" s="15" t="s">
        <v>98</v>
      </c>
      <c r="P2505" s="15" t="s">
        <v>890</v>
      </c>
      <c r="Q2505" s="15" t="s">
        <v>891</v>
      </c>
      <c r="R2505" s="16">
        <v>44329</v>
      </c>
      <c r="S2505" s="17" t="s">
        <v>35</v>
      </c>
      <c r="T2505" s="20">
        <f>HYPERLINK("https://vnm.spiral.com.vn//uploaded/20210513/A4B91E38-CAA3-40F6-BC5F-AED7661202FF.jpg","09:26:12")</f>
      </c>
      <c r="U2505" s="20">
        <f>HYPERLINK("https://vnm.spiral.com.vn//uploaded/20210513/551CA20F-9C26-4EEE-B396-A1DEEF02D9D1.jpg","09:54:33")</f>
      </c>
      <c r="V2505" s="18">
        <v>0.0196875</v>
      </c>
      <c r="W2505" s="15" t="s">
        <v>12806</v>
      </c>
      <c r="X2505" s="15" t="s">
        <v>12807</v>
      </c>
      <c r="Y2505" s="15" t="s">
        <v>35</v>
      </c>
      <c r="Z2505" s="19">
        <v>0</v>
      </c>
      <c r="AA2505" s="15">
        <v>0</v>
      </c>
      <c r="AB2505" s="15" t="s">
        <v>35</v>
      </c>
    </row>
    <row r="2506">
      <c r="A2506" s="15">
        <v>2502</v>
      </c>
      <c r="B2506" s="15" t="s">
        <v>87</v>
      </c>
      <c r="C2506" s="15" t="s">
        <v>88</v>
      </c>
      <c r="D2506" s="15" t="s">
        <v>432</v>
      </c>
      <c r="E2506" s="15" t="s">
        <v>116</v>
      </c>
      <c r="F2506" s="15" t="s">
        <v>35</v>
      </c>
      <c r="G2506" s="15" t="s">
        <v>74</v>
      </c>
      <c r="H2506" s="15" t="s">
        <v>12808</v>
      </c>
      <c r="I2506" s="15" t="s">
        <v>12809</v>
      </c>
      <c r="J2506" s="15" t="s">
        <v>12810</v>
      </c>
      <c r="K2506" s="15" t="s">
        <v>625</v>
      </c>
      <c r="L2506" s="15" t="s">
        <v>626</v>
      </c>
      <c r="M2506" s="15" t="s">
        <v>627</v>
      </c>
      <c r="N2506" s="15" t="s">
        <v>628</v>
      </c>
      <c r="O2506" s="15" t="s">
        <v>82</v>
      </c>
      <c r="P2506" s="15" t="s">
        <v>1804</v>
      </c>
      <c r="Q2506" s="15" t="s">
        <v>1805</v>
      </c>
      <c r="R2506" s="16">
        <v>44329</v>
      </c>
      <c r="S2506" s="17" t="s">
        <v>70</v>
      </c>
      <c r="T2506" s="20">
        <f>HYPERLINK("https://vnm.spiral.com.vn//uploaded/20210513/782559c9-29e0-48a4-b1ae-53811645ba50.JPEG","09:30:18")</f>
      </c>
      <c r="U2506" s="20">
        <f>HYPERLINK("https://vnm.spiral.com.vn//uploaded/20210513/d14d003a-b87b-45a6-a7ea-1eb24e88d4bb.JPEG","09:54:21")</f>
      </c>
      <c r="V2506" s="18">
        <v>0.01670138888888889</v>
      </c>
      <c r="W2506" s="15" t="s">
        <v>12811</v>
      </c>
      <c r="X2506" s="15" t="s">
        <v>12812</v>
      </c>
      <c r="Y2506" s="15" t="s">
        <v>35</v>
      </c>
      <c r="Z2506" s="19">
        <v>0</v>
      </c>
      <c r="AA2506" s="15">
        <v>0</v>
      </c>
      <c r="AB2506" s="15" t="s">
        <v>35</v>
      </c>
    </row>
    <row r="2507">
      <c r="A2507" s="15">
        <v>2503</v>
      </c>
      <c r="B2507" s="15" t="s">
        <v>49</v>
      </c>
      <c r="C2507" s="15" t="s">
        <v>162</v>
      </c>
      <c r="D2507" s="15" t="s">
        <v>135</v>
      </c>
      <c r="E2507" s="15" t="s">
        <v>116</v>
      </c>
      <c r="F2507" s="15" t="s">
        <v>35</v>
      </c>
      <c r="G2507" s="15" t="s">
        <v>74</v>
      </c>
      <c r="H2507" s="15" t="s">
        <v>12813</v>
      </c>
      <c r="I2507" s="15" t="s">
        <v>12814</v>
      </c>
      <c r="J2507" s="15" t="s">
        <v>12815</v>
      </c>
      <c r="K2507" s="15" t="s">
        <v>166</v>
      </c>
      <c r="L2507" s="15" t="s">
        <v>167</v>
      </c>
      <c r="M2507" s="15" t="s">
        <v>168</v>
      </c>
      <c r="N2507" s="15" t="s">
        <v>169</v>
      </c>
      <c r="O2507" s="15" t="s">
        <v>82</v>
      </c>
      <c r="P2507" s="15" t="s">
        <v>4399</v>
      </c>
      <c r="Q2507" s="15" t="s">
        <v>4400</v>
      </c>
      <c r="R2507" s="16">
        <v>44329</v>
      </c>
      <c r="S2507" s="17" t="s">
        <v>70</v>
      </c>
      <c r="T2507" s="20">
        <f>HYPERLINK("https://vnm.spiral.com.vn//uploaded/20210513/5E2C7EDF-1EE5-43A1-AA21-CAF182AC60E2.jpg","09:32:40")</f>
      </c>
      <c r="U2507" s="20">
        <f>HYPERLINK("https://vnm.spiral.com.vn//uploaded/20210513/DF9A75E9-F32A-4080-8E17-CADC34B0C364.jpg","09:54:14")</f>
      </c>
      <c r="V2507" s="18">
        <v>0.014976851851851852</v>
      </c>
      <c r="W2507" s="15" t="s">
        <v>12816</v>
      </c>
      <c r="X2507" s="15" t="s">
        <v>12817</v>
      </c>
      <c r="Y2507" s="15" t="s">
        <v>35</v>
      </c>
      <c r="Z2507" s="19">
        <v>0</v>
      </c>
      <c r="AA2507" s="15">
        <v>0</v>
      </c>
      <c r="AB2507" s="15" t="s">
        <v>35</v>
      </c>
    </row>
    <row r="2508">
      <c r="A2508" s="15">
        <v>2504</v>
      </c>
      <c r="B2508" s="15" t="s">
        <v>61</v>
      </c>
      <c r="C2508" s="15" t="s">
        <v>1106</v>
      </c>
      <c r="D2508" s="15" t="s">
        <v>35</v>
      </c>
      <c r="E2508" s="15" t="s">
        <v>35</v>
      </c>
      <c r="F2508" s="15" t="s">
        <v>35</v>
      </c>
      <c r="G2508" s="15" t="s">
        <v>36</v>
      </c>
      <c r="H2508" s="15" t="s">
        <v>12818</v>
      </c>
      <c r="I2508" s="15" t="s">
        <v>12819</v>
      </c>
      <c r="J2508" s="15" t="s">
        <v>12820</v>
      </c>
      <c r="K2508" s="15" t="s">
        <v>40</v>
      </c>
      <c r="L2508" s="15" t="s">
        <v>41</v>
      </c>
      <c r="M2508" s="15" t="s">
        <v>66</v>
      </c>
      <c r="N2508" s="15" t="s">
        <v>67</v>
      </c>
      <c r="O2508" s="15" t="s">
        <v>44</v>
      </c>
      <c r="P2508" s="15" t="s">
        <v>12821</v>
      </c>
      <c r="Q2508" s="15" t="s">
        <v>12822</v>
      </c>
      <c r="R2508" s="16">
        <v>44329</v>
      </c>
      <c r="S2508" s="17" t="s">
        <v>8031</v>
      </c>
      <c r="T2508" s="20">
        <f>HYPERLINK("https://vnm.spiral.com.vn//uploaded/20210513/3b1d6ee2-1cd6-4656-9d5f-7d2c96bbdd33.JPEG","09:54:12")</f>
      </c>
      <c r="U2508" s="18"/>
      <c r="V2508" s="18" t="s">
        <v>35</v>
      </c>
      <c r="W2508" s="15" t="s">
        <v>12823</v>
      </c>
      <c r="X2508" s="15" t="s">
        <v>35</v>
      </c>
      <c r="Y2508" s="15" t="s">
        <v>35</v>
      </c>
      <c r="Z2508" s="19">
        <v>0</v>
      </c>
      <c r="AA2508" s="15">
        <v>0</v>
      </c>
      <c r="AB2508" s="15" t="s">
        <v>35</v>
      </c>
    </row>
    <row r="2509">
      <c r="A2509" s="15">
        <v>2505</v>
      </c>
      <c r="B2509" s="15" t="s">
        <v>343</v>
      </c>
      <c r="C2509" s="15" t="s">
        <v>344</v>
      </c>
      <c r="D2509" s="15" t="s">
        <v>35</v>
      </c>
      <c r="E2509" s="15" t="s">
        <v>35</v>
      </c>
      <c r="F2509" s="15" t="s">
        <v>35</v>
      </c>
      <c r="G2509" s="15" t="s">
        <v>74</v>
      </c>
      <c r="H2509" s="15" t="s">
        <v>12824</v>
      </c>
      <c r="I2509" s="15" t="s">
        <v>12825</v>
      </c>
      <c r="J2509" s="15" t="s">
        <v>12826</v>
      </c>
      <c r="K2509" s="15" t="s">
        <v>584</v>
      </c>
      <c r="L2509" s="15" t="s">
        <v>585</v>
      </c>
      <c r="M2509" s="15" t="s">
        <v>827</v>
      </c>
      <c r="N2509" s="15" t="s">
        <v>828</v>
      </c>
      <c r="O2509" s="15" t="s">
        <v>82</v>
      </c>
      <c r="P2509" s="15" t="s">
        <v>2484</v>
      </c>
      <c r="Q2509" s="15" t="s">
        <v>2485</v>
      </c>
      <c r="R2509" s="16">
        <v>44329</v>
      </c>
      <c r="S2509" s="17" t="s">
        <v>70</v>
      </c>
      <c r="T2509" s="20">
        <f>HYPERLINK("https://vnm.spiral.com.vn//uploaded/20210513/201C306C-E909-4FC7-9008-7312A6C6A0D1.jpg","09:25:40")</f>
      </c>
      <c r="U2509" s="20">
        <f>HYPERLINK("https://vnm.spiral.com.vn//uploaded/20210513/BF054FCD-E54F-49BD-BABB-C71A566162E3.jpg","09:53:42")</f>
      </c>
      <c r="V2509" s="18">
        <v>0.019467592592592592</v>
      </c>
      <c r="W2509" s="15" t="s">
        <v>12827</v>
      </c>
      <c r="X2509" s="15" t="s">
        <v>12828</v>
      </c>
      <c r="Y2509" s="15" t="s">
        <v>35</v>
      </c>
      <c r="Z2509" s="19">
        <v>0</v>
      </c>
      <c r="AA2509" s="15">
        <v>0</v>
      </c>
      <c r="AB2509" s="15" t="s">
        <v>35</v>
      </c>
    </row>
    <row r="2510">
      <c r="A2510" s="15">
        <v>2506</v>
      </c>
      <c r="B2510" s="15" t="s">
        <v>343</v>
      </c>
      <c r="C2510" s="15" t="s">
        <v>344</v>
      </c>
      <c r="D2510" s="15" t="s">
        <v>432</v>
      </c>
      <c r="E2510" s="15" t="s">
        <v>116</v>
      </c>
      <c r="F2510" s="15" t="s">
        <v>35</v>
      </c>
      <c r="G2510" s="15" t="s">
        <v>74</v>
      </c>
      <c r="H2510" s="15" t="s">
        <v>12829</v>
      </c>
      <c r="I2510" s="15" t="s">
        <v>12830</v>
      </c>
      <c r="J2510" s="15" t="s">
        <v>12831</v>
      </c>
      <c r="K2510" s="15" t="s">
        <v>1168</v>
      </c>
      <c r="L2510" s="15" t="s">
        <v>1169</v>
      </c>
      <c r="M2510" s="15" t="s">
        <v>1170</v>
      </c>
      <c r="N2510" s="15" t="s">
        <v>1171</v>
      </c>
      <c r="O2510" s="15" t="s">
        <v>82</v>
      </c>
      <c r="P2510" s="15" t="s">
        <v>1172</v>
      </c>
      <c r="Q2510" s="15" t="s">
        <v>1173</v>
      </c>
      <c r="R2510" s="16">
        <v>44329</v>
      </c>
      <c r="S2510" s="17" t="s">
        <v>70</v>
      </c>
      <c r="T2510" s="20">
        <f>HYPERLINK("https://vnm.spiral.com.vn//uploaded/20210513/20ae0647-57cc-483f-b54c-3845415b15e1.JPEG","08:47:35")</f>
      </c>
      <c r="U2510" s="20">
        <f>HYPERLINK("https://vnm.spiral.com.vn//uploaded/20210513/1ea641f6-23cf-4e07-a134-8b1ae2bdf8b2.JPEG","09:53:35")</f>
      </c>
      <c r="V2510" s="18">
        <v>0.04583333333333333</v>
      </c>
      <c r="W2510" s="15" t="s">
        <v>12832</v>
      </c>
      <c r="X2510" s="15" t="s">
        <v>12833</v>
      </c>
      <c r="Y2510" s="15" t="s">
        <v>35</v>
      </c>
      <c r="Z2510" s="19">
        <v>0</v>
      </c>
      <c r="AA2510" s="15">
        <v>0</v>
      </c>
      <c r="AB2510" s="15" t="s">
        <v>35</v>
      </c>
    </row>
    <row r="2511">
      <c r="A2511" s="15">
        <v>2507</v>
      </c>
      <c r="B2511" s="15" t="s">
        <v>87</v>
      </c>
      <c r="C2511" s="15" t="s">
        <v>88</v>
      </c>
      <c r="D2511" s="15" t="s">
        <v>35</v>
      </c>
      <c r="E2511" s="15" t="s">
        <v>35</v>
      </c>
      <c r="F2511" s="15" t="s">
        <v>35</v>
      </c>
      <c r="G2511" s="15" t="s">
        <v>74</v>
      </c>
      <c r="H2511" s="15" t="s">
        <v>12834</v>
      </c>
      <c r="I2511" s="15" t="s">
        <v>12835</v>
      </c>
      <c r="J2511" s="15" t="s">
        <v>12836</v>
      </c>
      <c r="K2511" s="15" t="s">
        <v>888</v>
      </c>
      <c r="L2511" s="15" t="s">
        <v>889</v>
      </c>
      <c r="M2511" s="15" t="s">
        <v>924</v>
      </c>
      <c r="N2511" s="15" t="s">
        <v>925</v>
      </c>
      <c r="O2511" s="15" t="s">
        <v>82</v>
      </c>
      <c r="P2511" s="15" t="s">
        <v>5478</v>
      </c>
      <c r="Q2511" s="15" t="s">
        <v>5479</v>
      </c>
      <c r="R2511" s="16">
        <v>44329</v>
      </c>
      <c r="S2511" s="17" t="s">
        <v>70</v>
      </c>
      <c r="T2511" s="20">
        <f>HYPERLINK("https://vnm.spiral.com.vn//uploaded/20210513/beaeb064-3d60-4d54-b836-e227f932fc7a.JPEG","09:36:20")</f>
      </c>
      <c r="U2511" s="20">
        <f>HYPERLINK("https://vnm.spiral.com.vn//uploaded/20210513/bc56b35b-7318-40f9-a18c-ae6ee357dd3e.JPEG","09:53:06")</f>
      </c>
      <c r="V2511" s="18">
        <v>0.011643518518518518</v>
      </c>
      <c r="W2511" s="15" t="s">
        <v>12837</v>
      </c>
      <c r="X2511" s="15" t="s">
        <v>12838</v>
      </c>
      <c r="Y2511" s="15" t="s">
        <v>35</v>
      </c>
      <c r="Z2511" s="19">
        <v>0</v>
      </c>
      <c r="AA2511" s="15">
        <v>0</v>
      </c>
      <c r="AB2511" s="15" t="s">
        <v>35</v>
      </c>
    </row>
    <row r="2512">
      <c r="A2512" s="15">
        <v>2508</v>
      </c>
      <c r="B2512" s="15" t="s">
        <v>87</v>
      </c>
      <c r="C2512" s="15" t="s">
        <v>88</v>
      </c>
      <c r="D2512" s="15" t="s">
        <v>35</v>
      </c>
      <c r="E2512" s="15" t="s">
        <v>35</v>
      </c>
      <c r="F2512" s="15" t="s">
        <v>35</v>
      </c>
      <c r="G2512" s="15" t="s">
        <v>74</v>
      </c>
      <c r="H2512" s="15" t="s">
        <v>12839</v>
      </c>
      <c r="I2512" s="15" t="s">
        <v>12840</v>
      </c>
      <c r="J2512" s="15" t="s">
        <v>12841</v>
      </c>
      <c r="K2512" s="15" t="s">
        <v>888</v>
      </c>
      <c r="L2512" s="15" t="s">
        <v>889</v>
      </c>
      <c r="M2512" s="15" t="s">
        <v>924</v>
      </c>
      <c r="N2512" s="15" t="s">
        <v>925</v>
      </c>
      <c r="O2512" s="15" t="s">
        <v>82</v>
      </c>
      <c r="P2512" s="15" t="s">
        <v>1906</v>
      </c>
      <c r="Q2512" s="15" t="s">
        <v>1907</v>
      </c>
      <c r="R2512" s="16">
        <v>44329</v>
      </c>
      <c r="S2512" s="17" t="s">
        <v>70</v>
      </c>
      <c r="T2512" s="20">
        <f>HYPERLINK("https://vnm.spiral.com.vn//uploaded/20210513/0020dfcc-8807-4126-ae81-2b4a7d546a12.JPEG","09:31:18")</f>
      </c>
      <c r="U2512" s="20">
        <f>HYPERLINK("https://vnm.spiral.com.vn//uploaded/20210513/3f18886f-fe30-4c01-bca0-01685229bf1e.JPEG","09:52:35")</f>
      </c>
      <c r="V2512" s="18">
        <v>0.014780092592592593</v>
      </c>
      <c r="W2512" s="15" t="s">
        <v>12842</v>
      </c>
      <c r="X2512" s="15" t="s">
        <v>12843</v>
      </c>
      <c r="Y2512" s="15" t="s">
        <v>35</v>
      </c>
      <c r="Z2512" s="19">
        <v>0</v>
      </c>
      <c r="AA2512" s="15">
        <v>0</v>
      </c>
      <c r="AB2512" s="15" t="s">
        <v>35</v>
      </c>
    </row>
    <row r="2513">
      <c r="A2513" s="15">
        <v>2509</v>
      </c>
      <c r="B2513" s="15" t="s">
        <v>343</v>
      </c>
      <c r="C2513" s="15" t="s">
        <v>344</v>
      </c>
      <c r="D2513" s="15" t="s">
        <v>1644</v>
      </c>
      <c r="E2513" s="15" t="s">
        <v>35</v>
      </c>
      <c r="F2513" s="15" t="s">
        <v>35</v>
      </c>
      <c r="G2513" s="15" t="s">
        <v>74</v>
      </c>
      <c r="H2513" s="15" t="s">
        <v>12844</v>
      </c>
      <c r="I2513" s="15" t="s">
        <v>12845</v>
      </c>
      <c r="J2513" s="15" t="s">
        <v>12272</v>
      </c>
      <c r="K2513" s="15" t="s">
        <v>584</v>
      </c>
      <c r="L2513" s="15" t="s">
        <v>585</v>
      </c>
      <c r="M2513" s="15" t="s">
        <v>827</v>
      </c>
      <c r="N2513" s="15" t="s">
        <v>828</v>
      </c>
      <c r="O2513" s="15" t="s">
        <v>82</v>
      </c>
      <c r="P2513" s="15" t="s">
        <v>2471</v>
      </c>
      <c r="Q2513" s="15" t="s">
        <v>2472</v>
      </c>
      <c r="R2513" s="16">
        <v>44329</v>
      </c>
      <c r="S2513" s="17" t="s">
        <v>70</v>
      </c>
      <c r="T2513" s="20">
        <f>HYPERLINK("https://vnm.spiral.com.vn//uploaded/20210513/D8F45B93-495B-49D1-98BF-165F32B9EC08.jpg","09:35:08")</f>
      </c>
      <c r="U2513" s="20">
        <f>HYPERLINK("https://vnm.spiral.com.vn//uploaded/20210513/B317A307-A738-429F-9697-FDC08C418EFE.jpg","09:51:57")</f>
      </c>
      <c r="V2513" s="18">
        <v>0.01167824074074074</v>
      </c>
      <c r="W2513" s="15" t="s">
        <v>12846</v>
      </c>
      <c r="X2513" s="15" t="s">
        <v>12847</v>
      </c>
      <c r="Y2513" s="15" t="s">
        <v>35</v>
      </c>
      <c r="Z2513" s="19">
        <v>0</v>
      </c>
      <c r="AA2513" s="15">
        <v>0</v>
      </c>
      <c r="AB2513" s="15" t="s">
        <v>35</v>
      </c>
    </row>
    <row r="2514">
      <c r="A2514" s="15">
        <v>2510</v>
      </c>
      <c r="B2514" s="15" t="s">
        <v>87</v>
      </c>
      <c r="C2514" s="15" t="s">
        <v>88</v>
      </c>
      <c r="D2514" s="15" t="s">
        <v>135</v>
      </c>
      <c r="E2514" s="15" t="s">
        <v>116</v>
      </c>
      <c r="F2514" s="15" t="s">
        <v>35</v>
      </c>
      <c r="G2514" s="15" t="s">
        <v>74</v>
      </c>
      <c r="H2514" s="15" t="s">
        <v>12848</v>
      </c>
      <c r="I2514" s="15" t="s">
        <v>12849</v>
      </c>
      <c r="J2514" s="15" t="s">
        <v>12850</v>
      </c>
      <c r="K2514" s="15" t="s">
        <v>139</v>
      </c>
      <c r="L2514" s="15" t="s">
        <v>140</v>
      </c>
      <c r="M2514" s="15" t="s">
        <v>530</v>
      </c>
      <c r="N2514" s="15" t="s">
        <v>531</v>
      </c>
      <c r="O2514" s="15" t="s">
        <v>82</v>
      </c>
      <c r="P2514" s="15" t="s">
        <v>2108</v>
      </c>
      <c r="Q2514" s="15" t="s">
        <v>2109</v>
      </c>
      <c r="R2514" s="16">
        <v>44329</v>
      </c>
      <c r="S2514" s="17" t="s">
        <v>70</v>
      </c>
      <c r="T2514" s="20">
        <f>HYPERLINK("https://vnm.spiral.com.vn//uploaded/20210513/d3f7782f-ba76-4ca7-9372-f8da52452f5c.JPEG","09:07:38")</f>
      </c>
      <c r="U2514" s="20">
        <f>HYPERLINK("https://vnm.spiral.com.vn//uploaded/20210513/327cc067-93cb-4b1b-b4dd-2a5b21f0dfe0.JPEG","09:50:56")</f>
      </c>
      <c r="V2514" s="18">
        <v>0.030069444444444444</v>
      </c>
      <c r="W2514" s="15" t="s">
        <v>12851</v>
      </c>
      <c r="X2514" s="15" t="s">
        <v>12852</v>
      </c>
      <c r="Y2514" s="15" t="s">
        <v>35</v>
      </c>
      <c r="Z2514" s="19">
        <v>0</v>
      </c>
      <c r="AA2514" s="15">
        <v>0</v>
      </c>
      <c r="AB2514" s="15" t="s">
        <v>35</v>
      </c>
    </row>
    <row r="2515">
      <c r="A2515" s="15">
        <v>2511</v>
      </c>
      <c r="B2515" s="15" t="s">
        <v>343</v>
      </c>
      <c r="C2515" s="15" t="s">
        <v>344</v>
      </c>
      <c r="D2515" s="15" t="s">
        <v>432</v>
      </c>
      <c r="E2515" s="15" t="s">
        <v>116</v>
      </c>
      <c r="F2515" s="15" t="s">
        <v>35</v>
      </c>
      <c r="G2515" s="15" t="s">
        <v>74</v>
      </c>
      <c r="H2515" s="15" t="s">
        <v>12853</v>
      </c>
      <c r="I2515" s="15" t="s">
        <v>12854</v>
      </c>
      <c r="J2515" s="15" t="s">
        <v>12855</v>
      </c>
      <c r="K2515" s="15" t="s">
        <v>1168</v>
      </c>
      <c r="L2515" s="15" t="s">
        <v>1169</v>
      </c>
      <c r="M2515" s="15" t="s">
        <v>1170</v>
      </c>
      <c r="N2515" s="15" t="s">
        <v>1171</v>
      </c>
      <c r="O2515" s="15" t="s">
        <v>82</v>
      </c>
      <c r="P2515" s="15" t="s">
        <v>11579</v>
      </c>
      <c r="Q2515" s="15" t="s">
        <v>11580</v>
      </c>
      <c r="R2515" s="16">
        <v>44329</v>
      </c>
      <c r="S2515" s="17" t="s">
        <v>70</v>
      </c>
      <c r="T2515" s="20">
        <f>HYPERLINK("https://vnm.spiral.com.vn//uploaded/20210513/b53b755b-9df3-4b05-9892-9d735a770df8.JPEG","09:21:54")</f>
      </c>
      <c r="U2515" s="20">
        <f>HYPERLINK("https://vnm.spiral.com.vn//uploaded/20210513/c16128f5-d373-4c15-8429-c39e6d228093.JPEG","09:50:33")</f>
      </c>
      <c r="V2515" s="18">
        <v>0.019895833333333335</v>
      </c>
      <c r="W2515" s="15" t="s">
        <v>12856</v>
      </c>
      <c r="X2515" s="15" t="s">
        <v>12857</v>
      </c>
      <c r="Y2515" s="15" t="s">
        <v>35</v>
      </c>
      <c r="Z2515" s="19">
        <v>0</v>
      </c>
      <c r="AA2515" s="15">
        <v>0</v>
      </c>
      <c r="AB2515" s="15" t="s">
        <v>35</v>
      </c>
    </row>
    <row r="2516">
      <c r="A2516" s="15">
        <v>2512</v>
      </c>
      <c r="B2516" s="15" t="s">
        <v>343</v>
      </c>
      <c r="C2516" s="15" t="s">
        <v>344</v>
      </c>
      <c r="D2516" s="15" t="s">
        <v>2601</v>
      </c>
      <c r="E2516" s="15" t="s">
        <v>35</v>
      </c>
      <c r="F2516" s="15" t="s">
        <v>35</v>
      </c>
      <c r="G2516" s="15" t="s">
        <v>74</v>
      </c>
      <c r="H2516" s="15" t="s">
        <v>12858</v>
      </c>
      <c r="I2516" s="15" t="s">
        <v>12859</v>
      </c>
      <c r="J2516" s="15" t="s">
        <v>12860</v>
      </c>
      <c r="K2516" s="15" t="s">
        <v>584</v>
      </c>
      <c r="L2516" s="15" t="s">
        <v>585</v>
      </c>
      <c r="M2516" s="15" t="s">
        <v>586</v>
      </c>
      <c r="N2516" s="15" t="s">
        <v>587</v>
      </c>
      <c r="O2516" s="15" t="s">
        <v>82</v>
      </c>
      <c r="P2516" s="15" t="s">
        <v>1232</v>
      </c>
      <c r="Q2516" s="15" t="s">
        <v>1233</v>
      </c>
      <c r="R2516" s="16">
        <v>44329</v>
      </c>
      <c r="S2516" s="17" t="s">
        <v>70</v>
      </c>
      <c r="T2516" s="20">
        <f>HYPERLINK("https://vnm.spiral.com.vn//uploaded/20210513/ee927261-e5ab-4394-ae94-e4c4e4320675.JPEG","09:25:17")</f>
      </c>
      <c r="U2516" s="20">
        <f>HYPERLINK("https://vnm.spiral.com.vn//uploaded/20210513/60300c5b-73a3-4eee-8e32-20fa45fb1a63.JPEG","09:50:22")</f>
      </c>
      <c r="V2516" s="18">
        <v>0.017418981481481483</v>
      </c>
      <c r="W2516" s="15" t="s">
        <v>12861</v>
      </c>
      <c r="X2516" s="15" t="s">
        <v>12862</v>
      </c>
      <c r="Y2516" s="15" t="s">
        <v>35</v>
      </c>
      <c r="Z2516" s="19">
        <v>0</v>
      </c>
      <c r="AA2516" s="15">
        <v>0</v>
      </c>
      <c r="AB2516" s="15" t="s">
        <v>35</v>
      </c>
    </row>
    <row r="2517">
      <c r="A2517" s="15">
        <v>2513</v>
      </c>
      <c r="B2517" s="15" t="s">
        <v>33</v>
      </c>
      <c r="C2517" s="15" t="s">
        <v>2883</v>
      </c>
      <c r="D2517" s="15" t="s">
        <v>35</v>
      </c>
      <c r="E2517" s="15" t="s">
        <v>35</v>
      </c>
      <c r="F2517" s="15" t="s">
        <v>35</v>
      </c>
      <c r="G2517" s="15" t="s">
        <v>74</v>
      </c>
      <c r="H2517" s="15" t="s">
        <v>12863</v>
      </c>
      <c r="I2517" s="15" t="s">
        <v>12864</v>
      </c>
      <c r="J2517" s="15" t="s">
        <v>12865</v>
      </c>
      <c r="K2517" s="15" t="s">
        <v>540</v>
      </c>
      <c r="L2517" s="15" t="s">
        <v>541</v>
      </c>
      <c r="M2517" s="15" t="s">
        <v>2887</v>
      </c>
      <c r="N2517" s="15" t="s">
        <v>2888</v>
      </c>
      <c r="O2517" s="15" t="s">
        <v>98</v>
      </c>
      <c r="P2517" s="15" t="s">
        <v>2889</v>
      </c>
      <c r="Q2517" s="15" t="s">
        <v>2890</v>
      </c>
      <c r="R2517" s="16">
        <v>44329</v>
      </c>
      <c r="S2517" s="17" t="s">
        <v>35</v>
      </c>
      <c r="T2517" s="20">
        <f>HYPERLINK("https://vnm.spiral.com.vn//uploaded/20210513/C271AA8E-7414-4D12-B4E2-33E6DCEE504B.jpg","07:10:25")</f>
      </c>
      <c r="U2517" s="20">
        <f>HYPERLINK("https://vnm.spiral.com.vn//uploaded/20210513/070A6D0B-A416-4950-AEE6-6FE216B3F4D8.jpg","09:50:16")</f>
      </c>
      <c r="V2517" s="18">
        <v>0.11100694444444445</v>
      </c>
      <c r="W2517" s="15" t="s">
        <v>12866</v>
      </c>
      <c r="X2517" s="15" t="s">
        <v>12867</v>
      </c>
      <c r="Y2517" s="15" t="s">
        <v>35</v>
      </c>
      <c r="Z2517" s="19">
        <v>0</v>
      </c>
      <c r="AA2517" s="15">
        <v>0</v>
      </c>
      <c r="AB2517" s="15" t="s">
        <v>35</v>
      </c>
    </row>
    <row r="2518">
      <c r="A2518" s="15">
        <v>2514</v>
      </c>
      <c r="B2518" s="15" t="s">
        <v>343</v>
      </c>
      <c r="C2518" s="15" t="s">
        <v>344</v>
      </c>
      <c r="D2518" s="15" t="s">
        <v>2601</v>
      </c>
      <c r="E2518" s="15" t="s">
        <v>35</v>
      </c>
      <c r="F2518" s="15" t="s">
        <v>35</v>
      </c>
      <c r="G2518" s="15" t="s">
        <v>74</v>
      </c>
      <c r="H2518" s="15" t="s">
        <v>12868</v>
      </c>
      <c r="I2518" s="15" t="s">
        <v>12869</v>
      </c>
      <c r="J2518" s="15" t="s">
        <v>12870</v>
      </c>
      <c r="K2518" s="15" t="s">
        <v>584</v>
      </c>
      <c r="L2518" s="15" t="s">
        <v>585</v>
      </c>
      <c r="M2518" s="15" t="s">
        <v>586</v>
      </c>
      <c r="N2518" s="15" t="s">
        <v>587</v>
      </c>
      <c r="O2518" s="15" t="s">
        <v>82</v>
      </c>
      <c r="P2518" s="15" t="s">
        <v>2312</v>
      </c>
      <c r="Q2518" s="15" t="s">
        <v>2313</v>
      </c>
      <c r="R2518" s="16">
        <v>44329</v>
      </c>
      <c r="S2518" s="17" t="s">
        <v>70</v>
      </c>
      <c r="T2518" s="20">
        <f>HYPERLINK("https://vnm.spiral.com.vn//uploaded/20210513/2814fed1-988a-44af-ada9-6e668e7dc8f2.JPEG","09:34:41")</f>
      </c>
      <c r="U2518" s="20">
        <f>HYPERLINK("https://vnm.spiral.com.vn//uploaded/20210513/4e34c1f7-4345-4f2b-8d64-eb3a6a962913.JPEG","09:50:11")</f>
      </c>
      <c r="V2518" s="18">
        <v>0.010763888888888889</v>
      </c>
      <c r="W2518" s="15" t="s">
        <v>12871</v>
      </c>
      <c r="X2518" s="15" t="s">
        <v>12872</v>
      </c>
      <c r="Y2518" s="15" t="s">
        <v>35</v>
      </c>
      <c r="Z2518" s="19">
        <v>0</v>
      </c>
      <c r="AA2518" s="15">
        <v>0</v>
      </c>
      <c r="AB2518" s="15" t="s">
        <v>35</v>
      </c>
    </row>
    <row r="2519">
      <c r="A2519" s="15">
        <v>2515</v>
      </c>
      <c r="B2519" s="15" t="s">
        <v>61</v>
      </c>
      <c r="C2519" s="15" t="s">
        <v>320</v>
      </c>
      <c r="D2519" s="15" t="s">
        <v>135</v>
      </c>
      <c r="E2519" s="15" t="s">
        <v>116</v>
      </c>
      <c r="F2519" s="15" t="s">
        <v>35</v>
      </c>
      <c r="G2519" s="15" t="s">
        <v>74</v>
      </c>
      <c r="H2519" s="15" t="s">
        <v>12873</v>
      </c>
      <c r="I2519" s="15" t="s">
        <v>12874</v>
      </c>
      <c r="J2519" s="15" t="s">
        <v>12875</v>
      </c>
      <c r="K2519" s="15" t="s">
        <v>154</v>
      </c>
      <c r="L2519" s="15" t="s">
        <v>155</v>
      </c>
      <c r="M2519" s="15" t="s">
        <v>2458</v>
      </c>
      <c r="N2519" s="15" t="s">
        <v>2459</v>
      </c>
      <c r="O2519" s="15" t="s">
        <v>82</v>
      </c>
      <c r="P2519" s="15" t="s">
        <v>4003</v>
      </c>
      <c r="Q2519" s="15" t="s">
        <v>4004</v>
      </c>
      <c r="R2519" s="16">
        <v>44329</v>
      </c>
      <c r="S2519" s="17" t="s">
        <v>70</v>
      </c>
      <c r="T2519" s="20">
        <f>HYPERLINK("https://vnm.spiral.com.vn//uploaded/20210513/757375fc-5f95-4575-848f-d8cf0e76b9da.JPEG","07:33:52")</f>
      </c>
      <c r="U2519" s="20">
        <f>HYPERLINK("https://vnm.spiral.com.vn//uploaded/20210513/c6c212b2-e7a0-48ab-a77b-f5dfcb17f833.JPEG","09:50:10")</f>
      </c>
      <c r="V2519" s="18">
        <v>0.09465277777777778</v>
      </c>
      <c r="W2519" s="15" t="s">
        <v>12876</v>
      </c>
      <c r="X2519" s="15" t="s">
        <v>12877</v>
      </c>
      <c r="Y2519" s="15" t="s">
        <v>35</v>
      </c>
      <c r="Z2519" s="19">
        <v>0</v>
      </c>
      <c r="AA2519" s="15">
        <v>0</v>
      </c>
      <c r="AB2519" s="15" t="s">
        <v>35</v>
      </c>
    </row>
    <row r="2520">
      <c r="A2520" s="15">
        <v>2516</v>
      </c>
      <c r="B2520" s="15" t="s">
        <v>87</v>
      </c>
      <c r="C2520" s="15" t="s">
        <v>88</v>
      </c>
      <c r="D2520" s="15" t="s">
        <v>135</v>
      </c>
      <c r="E2520" s="15" t="s">
        <v>116</v>
      </c>
      <c r="F2520" s="15" t="s">
        <v>35</v>
      </c>
      <c r="G2520" s="15" t="s">
        <v>74</v>
      </c>
      <c r="H2520" s="15" t="s">
        <v>12878</v>
      </c>
      <c r="I2520" s="15" t="s">
        <v>12879</v>
      </c>
      <c r="J2520" s="15" t="s">
        <v>12880</v>
      </c>
      <c r="K2520" s="15" t="s">
        <v>94</v>
      </c>
      <c r="L2520" s="15" t="s">
        <v>95</v>
      </c>
      <c r="M2520" s="15" t="s">
        <v>139</v>
      </c>
      <c r="N2520" s="15" t="s">
        <v>140</v>
      </c>
      <c r="O2520" s="15" t="s">
        <v>98</v>
      </c>
      <c r="P2520" s="15" t="s">
        <v>530</v>
      </c>
      <c r="Q2520" s="15" t="s">
        <v>531</v>
      </c>
      <c r="R2520" s="16">
        <v>44329</v>
      </c>
      <c r="S2520" s="17" t="s">
        <v>70</v>
      </c>
      <c r="T2520" s="20">
        <f>HYPERLINK("https://vnm.spiral.com.vn//uploaded/20210513/CE12D9F5-E69A-4C99-B463-EF3DA21D90EF.jpg","09:16:21")</f>
      </c>
      <c r="U2520" s="20">
        <f>HYPERLINK("https://vnm.spiral.com.vn//uploaded/20210513/5F531437-7735-4F31-BFD9-57749CB3BCD2.jpg","09:50:07")</f>
      </c>
      <c r="V2520" s="18">
        <v>0.023449074074074074</v>
      </c>
      <c r="W2520" s="15" t="s">
        <v>12881</v>
      </c>
      <c r="X2520" s="15" t="s">
        <v>12882</v>
      </c>
      <c r="Y2520" s="15" t="s">
        <v>35</v>
      </c>
      <c r="Z2520" s="19">
        <v>0</v>
      </c>
      <c r="AA2520" s="15">
        <v>0</v>
      </c>
      <c r="AB2520" s="15" t="s">
        <v>35</v>
      </c>
    </row>
    <row r="2521">
      <c r="A2521" s="15">
        <v>2517</v>
      </c>
      <c r="B2521" s="15" t="s">
        <v>87</v>
      </c>
      <c r="C2521" s="15" t="s">
        <v>88</v>
      </c>
      <c r="D2521" s="15" t="s">
        <v>89</v>
      </c>
      <c r="E2521" s="15" t="s">
        <v>90</v>
      </c>
      <c r="F2521" s="15" t="s">
        <v>35</v>
      </c>
      <c r="G2521" s="15" t="s">
        <v>74</v>
      </c>
      <c r="H2521" s="15" t="s">
        <v>3132</v>
      </c>
      <c r="I2521" s="15" t="s">
        <v>3133</v>
      </c>
      <c r="J2521" s="15" t="s">
        <v>3134</v>
      </c>
      <c r="K2521" s="15" t="s">
        <v>94</v>
      </c>
      <c r="L2521" s="15" t="s">
        <v>95</v>
      </c>
      <c r="M2521" s="15" t="s">
        <v>96</v>
      </c>
      <c r="N2521" s="15" t="s">
        <v>97</v>
      </c>
      <c r="O2521" s="15" t="s">
        <v>98</v>
      </c>
      <c r="P2521" s="15" t="s">
        <v>1831</v>
      </c>
      <c r="Q2521" s="15" t="s">
        <v>1832</v>
      </c>
      <c r="R2521" s="16">
        <v>44329</v>
      </c>
      <c r="S2521" s="17" t="s">
        <v>70</v>
      </c>
      <c r="T2521" s="20">
        <f>HYPERLINK("https://vnm.spiral.com.vn//uploaded/20210513/d523ce26-f457-4b42-96af-94989672843b.JPEG","07:55:38")</f>
      </c>
      <c r="U2521" s="20">
        <f>HYPERLINK("https://vnm.spiral.com.vn//uploaded/20210513/cd37abd5-cf6d-455d-83f3-8685f208c11f.JPEG","09:49:50")</f>
      </c>
      <c r="V2521" s="18">
        <v>0.07930555555555556</v>
      </c>
      <c r="W2521" s="15" t="s">
        <v>12883</v>
      </c>
      <c r="X2521" s="15" t="s">
        <v>12884</v>
      </c>
      <c r="Y2521" s="15" t="s">
        <v>35</v>
      </c>
      <c r="Z2521" s="19">
        <v>0</v>
      </c>
      <c r="AA2521" s="15">
        <v>0</v>
      </c>
      <c r="AB2521" s="15" t="s">
        <v>35</v>
      </c>
    </row>
    <row r="2522">
      <c r="A2522" s="15">
        <v>2518</v>
      </c>
      <c r="B2522" s="15" t="s">
        <v>87</v>
      </c>
      <c r="C2522" s="15" t="s">
        <v>88</v>
      </c>
      <c r="D2522" s="15" t="s">
        <v>610</v>
      </c>
      <c r="E2522" s="15" t="s">
        <v>90</v>
      </c>
      <c r="F2522" s="15" t="s">
        <v>35</v>
      </c>
      <c r="G2522" s="15" t="s">
        <v>74</v>
      </c>
      <c r="H2522" s="15" t="s">
        <v>12885</v>
      </c>
      <c r="I2522" s="15" t="s">
        <v>12886</v>
      </c>
      <c r="J2522" s="15" t="s">
        <v>12887</v>
      </c>
      <c r="K2522" s="15" t="s">
        <v>94</v>
      </c>
      <c r="L2522" s="15" t="s">
        <v>95</v>
      </c>
      <c r="M2522" s="15" t="s">
        <v>614</v>
      </c>
      <c r="N2522" s="15" t="s">
        <v>615</v>
      </c>
      <c r="O2522" s="15" t="s">
        <v>98</v>
      </c>
      <c r="P2522" s="15" t="s">
        <v>616</v>
      </c>
      <c r="Q2522" s="15" t="s">
        <v>617</v>
      </c>
      <c r="R2522" s="16">
        <v>44329</v>
      </c>
      <c r="S2522" s="17" t="s">
        <v>70</v>
      </c>
      <c r="T2522" s="20">
        <f>HYPERLINK("https://vnm.spiral.com.vn//uploaded/20210513/66D5D973-4C0B-47CD-9C8B-9B5874AC2150.jpg","09:33:19")</f>
      </c>
      <c r="U2522" s="20">
        <f>HYPERLINK("https://vnm.spiral.com.vn//uploaded/20210513/0E73E12C-31DF-4A03-9D10-FCE647DBD9C7.jpg","09:49:45")</f>
      </c>
      <c r="V2522" s="18">
        <v>0.011412037037037037</v>
      </c>
      <c r="W2522" s="15" t="s">
        <v>12888</v>
      </c>
      <c r="X2522" s="15" t="s">
        <v>12889</v>
      </c>
      <c r="Y2522" s="15" t="s">
        <v>35</v>
      </c>
      <c r="Z2522" s="19">
        <v>0</v>
      </c>
      <c r="AA2522" s="15">
        <v>0</v>
      </c>
      <c r="AB2522" s="15" t="s">
        <v>35</v>
      </c>
    </row>
    <row r="2523">
      <c r="A2523" s="15">
        <v>2519</v>
      </c>
      <c r="B2523" s="15" t="s">
        <v>87</v>
      </c>
      <c r="C2523" s="15" t="s">
        <v>88</v>
      </c>
      <c r="D2523" s="15" t="s">
        <v>74</v>
      </c>
      <c r="E2523" s="15" t="s">
        <v>90</v>
      </c>
      <c r="F2523" s="15" t="s">
        <v>35</v>
      </c>
      <c r="G2523" s="15" t="s">
        <v>74</v>
      </c>
      <c r="H2523" s="15" t="s">
        <v>12890</v>
      </c>
      <c r="I2523" s="15" t="s">
        <v>12891</v>
      </c>
      <c r="J2523" s="15" t="s">
        <v>12892</v>
      </c>
      <c r="K2523" s="15" t="s">
        <v>190</v>
      </c>
      <c r="L2523" s="15" t="s">
        <v>191</v>
      </c>
      <c r="M2523" s="15" t="s">
        <v>1031</v>
      </c>
      <c r="N2523" s="15" t="s">
        <v>1032</v>
      </c>
      <c r="O2523" s="15" t="s">
        <v>82</v>
      </c>
      <c r="P2523" s="15" t="s">
        <v>1033</v>
      </c>
      <c r="Q2523" s="15" t="s">
        <v>1034</v>
      </c>
      <c r="R2523" s="16">
        <v>44329</v>
      </c>
      <c r="S2523" s="17" t="s">
        <v>70</v>
      </c>
      <c r="T2523" s="20">
        <f>HYPERLINK("https://vnm.spiral.com.vn//uploaded/20210513/d2760a68-6e46-4712-8e63-c19153dfd9a8.JPEG","08:02:11")</f>
      </c>
      <c r="U2523" s="20">
        <f>HYPERLINK("https://vnm.spiral.com.vn//uploaded/20210513/6ba15fd4-270c-4aee-ab35-11d326c8af55.JPEG","09:48:02")</f>
      </c>
      <c r="V2523" s="18">
        <v>0.07350694444444444</v>
      </c>
      <c r="W2523" s="15" t="s">
        <v>12893</v>
      </c>
      <c r="X2523" s="15" t="s">
        <v>12894</v>
      </c>
      <c r="Y2523" s="15" t="s">
        <v>35</v>
      </c>
      <c r="Z2523" s="19">
        <v>0</v>
      </c>
      <c r="AA2523" s="15">
        <v>0</v>
      </c>
      <c r="AB2523" s="15" t="s">
        <v>35</v>
      </c>
    </row>
    <row r="2524">
      <c r="A2524" s="15">
        <v>2520</v>
      </c>
      <c r="B2524" s="15" t="s">
        <v>87</v>
      </c>
      <c r="C2524" s="15" t="s">
        <v>88</v>
      </c>
      <c r="D2524" s="15" t="s">
        <v>135</v>
      </c>
      <c r="E2524" s="15" t="s">
        <v>116</v>
      </c>
      <c r="F2524" s="15" t="s">
        <v>35</v>
      </c>
      <c r="G2524" s="15" t="s">
        <v>74</v>
      </c>
      <c r="H2524" s="15" t="s">
        <v>12895</v>
      </c>
      <c r="I2524" s="15" t="s">
        <v>12896</v>
      </c>
      <c r="J2524" s="15" t="s">
        <v>12897</v>
      </c>
      <c r="K2524" s="15" t="s">
        <v>390</v>
      </c>
      <c r="L2524" s="15" t="s">
        <v>391</v>
      </c>
      <c r="M2524" s="15" t="s">
        <v>392</v>
      </c>
      <c r="N2524" s="15" t="s">
        <v>393</v>
      </c>
      <c r="O2524" s="15" t="s">
        <v>82</v>
      </c>
      <c r="P2524" s="15" t="s">
        <v>1415</v>
      </c>
      <c r="Q2524" s="15" t="s">
        <v>1416</v>
      </c>
      <c r="R2524" s="16">
        <v>44329</v>
      </c>
      <c r="S2524" s="17" t="s">
        <v>70</v>
      </c>
      <c r="T2524" s="20">
        <f>HYPERLINK("https://vnm.spiral.com.vn//uploaded/20210513/49c6dd49-b121-4392-8439-cd5198a2a068.jpg","09:23:35")</f>
      </c>
      <c r="U2524" s="20">
        <f>HYPERLINK("https://vnm.spiral.com.vn//uploaded/20210513/23a94868-08b6-4300-9b8d-c0fb4bd9d8f7.jpg","09:47:27")</f>
      </c>
      <c r="V2524" s="18">
        <v>0.016574074074074074</v>
      </c>
      <c r="W2524" s="15" t="s">
        <v>12898</v>
      </c>
      <c r="X2524" s="15" t="s">
        <v>12899</v>
      </c>
      <c r="Y2524" s="15" t="s">
        <v>35</v>
      </c>
      <c r="Z2524" s="19">
        <v>0</v>
      </c>
      <c r="AA2524" s="15">
        <v>0</v>
      </c>
      <c r="AB2524" s="15" t="s">
        <v>35</v>
      </c>
    </row>
    <row r="2525">
      <c r="A2525" s="15">
        <v>2521</v>
      </c>
      <c r="B2525" s="15" t="s">
        <v>87</v>
      </c>
      <c r="C2525" s="15" t="s">
        <v>88</v>
      </c>
      <c r="D2525" s="15" t="s">
        <v>357</v>
      </c>
      <c r="E2525" s="15" t="s">
        <v>90</v>
      </c>
      <c r="F2525" s="15" t="s">
        <v>35</v>
      </c>
      <c r="G2525" s="15" t="s">
        <v>74</v>
      </c>
      <c r="H2525" s="15" t="s">
        <v>12900</v>
      </c>
      <c r="I2525" s="15" t="s">
        <v>12901</v>
      </c>
      <c r="J2525" s="15" t="s">
        <v>12902</v>
      </c>
      <c r="K2525" s="15" t="s">
        <v>1570</v>
      </c>
      <c r="L2525" s="15" t="s">
        <v>1571</v>
      </c>
      <c r="M2525" s="15" t="s">
        <v>2024</v>
      </c>
      <c r="N2525" s="15" t="s">
        <v>2025</v>
      </c>
      <c r="O2525" s="15" t="s">
        <v>82</v>
      </c>
      <c r="P2525" s="15" t="s">
        <v>2521</v>
      </c>
      <c r="Q2525" s="15" t="s">
        <v>2522</v>
      </c>
      <c r="R2525" s="16">
        <v>44329</v>
      </c>
      <c r="S2525" s="17" t="s">
        <v>70</v>
      </c>
      <c r="T2525" s="20">
        <f>HYPERLINK("https://vnm.spiral.com.vn//uploaded/20210513/3148d056-63be-40ce-b16b-66e672610f85.JPEG","09:24:12")</f>
      </c>
      <c r="U2525" s="20">
        <f>HYPERLINK("https://vnm.spiral.com.vn//uploaded/20210513/38acca9f-5573-45d0-87b0-7ace5a992656.JPEG","09:46:59")</f>
      </c>
      <c r="V2525" s="18">
        <v>0.015821759259259258</v>
      </c>
      <c r="W2525" s="15" t="s">
        <v>12903</v>
      </c>
      <c r="X2525" s="15" t="s">
        <v>12904</v>
      </c>
      <c r="Y2525" s="15" t="s">
        <v>35</v>
      </c>
      <c r="Z2525" s="19">
        <v>0</v>
      </c>
      <c r="AA2525" s="15">
        <v>0</v>
      </c>
      <c r="AB2525" s="15" t="s">
        <v>35</v>
      </c>
    </row>
    <row r="2526">
      <c r="A2526" s="15">
        <v>2522</v>
      </c>
      <c r="B2526" s="15" t="s">
        <v>87</v>
      </c>
      <c r="C2526" s="15" t="s">
        <v>88</v>
      </c>
      <c r="D2526" s="15" t="s">
        <v>610</v>
      </c>
      <c r="E2526" s="15" t="s">
        <v>90</v>
      </c>
      <c r="F2526" s="15" t="s">
        <v>35</v>
      </c>
      <c r="G2526" s="15" t="s">
        <v>74</v>
      </c>
      <c r="H2526" s="15" t="s">
        <v>12905</v>
      </c>
      <c r="I2526" s="15" t="s">
        <v>12906</v>
      </c>
      <c r="J2526" s="15" t="s">
        <v>12907</v>
      </c>
      <c r="K2526" s="15" t="s">
        <v>94</v>
      </c>
      <c r="L2526" s="15" t="s">
        <v>95</v>
      </c>
      <c r="M2526" s="15" t="s">
        <v>614</v>
      </c>
      <c r="N2526" s="15" t="s">
        <v>615</v>
      </c>
      <c r="O2526" s="15" t="s">
        <v>82</v>
      </c>
      <c r="P2526" s="15" t="s">
        <v>2583</v>
      </c>
      <c r="Q2526" s="15" t="s">
        <v>2584</v>
      </c>
      <c r="R2526" s="16">
        <v>44329</v>
      </c>
      <c r="S2526" s="17" t="s">
        <v>70</v>
      </c>
      <c r="T2526" s="20">
        <f>HYPERLINK("https://vnm.spiral.com.vn//uploaded/20210513/2351a20d-fc3e-4633-ad6f-b5a2d147114c.JPEG","08:54:56")</f>
      </c>
      <c r="U2526" s="20">
        <f>HYPERLINK("https://vnm.spiral.com.vn//uploaded/20210513/99ad87a4-f628-4c1b-ae33-379527f0c4b2.JPEG","09:46:43")</f>
      </c>
      <c r="V2526" s="18">
        <v>0.03596064814814815</v>
      </c>
      <c r="W2526" s="15" t="s">
        <v>12908</v>
      </c>
      <c r="X2526" s="15" t="s">
        <v>12909</v>
      </c>
      <c r="Y2526" s="15" t="s">
        <v>35</v>
      </c>
      <c r="Z2526" s="19">
        <v>0</v>
      </c>
      <c r="AA2526" s="15">
        <v>0</v>
      </c>
      <c r="AB2526" s="15" t="s">
        <v>35</v>
      </c>
    </row>
    <row r="2527">
      <c r="A2527" s="15">
        <v>2523</v>
      </c>
      <c r="B2527" s="15" t="s">
        <v>87</v>
      </c>
      <c r="C2527" s="15" t="s">
        <v>88</v>
      </c>
      <c r="D2527" s="15" t="s">
        <v>432</v>
      </c>
      <c r="E2527" s="15" t="s">
        <v>116</v>
      </c>
      <c r="F2527" s="15" t="s">
        <v>35</v>
      </c>
      <c r="G2527" s="15" t="s">
        <v>74</v>
      </c>
      <c r="H2527" s="15" t="s">
        <v>12910</v>
      </c>
      <c r="I2527" s="15" t="s">
        <v>12911</v>
      </c>
      <c r="J2527" s="15" t="s">
        <v>12912</v>
      </c>
      <c r="K2527" s="15" t="s">
        <v>625</v>
      </c>
      <c r="L2527" s="15" t="s">
        <v>626</v>
      </c>
      <c r="M2527" s="15" t="s">
        <v>1022</v>
      </c>
      <c r="N2527" s="15" t="s">
        <v>1023</v>
      </c>
      <c r="O2527" s="15" t="s">
        <v>82</v>
      </c>
      <c r="P2527" s="15" t="s">
        <v>2241</v>
      </c>
      <c r="Q2527" s="15" t="s">
        <v>2242</v>
      </c>
      <c r="R2527" s="16">
        <v>44329</v>
      </c>
      <c r="S2527" s="17" t="s">
        <v>70</v>
      </c>
      <c r="T2527" s="20">
        <f>HYPERLINK("https://vnm.spiral.com.vn//uploaded/20210513/35EE3EBD-FFD9-4D4E-B599-D69467EFFA3F.jpg","09:12:32")</f>
      </c>
      <c r="U2527" s="20">
        <f>HYPERLINK("https://vnm.spiral.com.vn//uploaded/20210513/4F7DEE3E-1EB8-4571-A4D2-46603C631648.jpg","09:46:32")</f>
      </c>
      <c r="V2527" s="18">
        <v>0.02361111111111111</v>
      </c>
      <c r="W2527" s="15" t="s">
        <v>12913</v>
      </c>
      <c r="X2527" s="15" t="s">
        <v>12914</v>
      </c>
      <c r="Y2527" s="15" t="s">
        <v>35</v>
      </c>
      <c r="Z2527" s="19">
        <v>0</v>
      </c>
      <c r="AA2527" s="15">
        <v>0</v>
      </c>
      <c r="AB2527" s="15" t="s">
        <v>35</v>
      </c>
    </row>
    <row r="2528">
      <c r="A2528" s="15">
        <v>2524</v>
      </c>
      <c r="B2528" s="15" t="s">
        <v>87</v>
      </c>
      <c r="C2528" s="15" t="s">
        <v>88</v>
      </c>
      <c r="D2528" s="15" t="s">
        <v>89</v>
      </c>
      <c r="E2528" s="15" t="s">
        <v>90</v>
      </c>
      <c r="F2528" s="15" t="s">
        <v>35</v>
      </c>
      <c r="G2528" s="15" t="s">
        <v>74</v>
      </c>
      <c r="H2528" s="15" t="s">
        <v>2366</v>
      </c>
      <c r="I2528" s="15" t="s">
        <v>2367</v>
      </c>
      <c r="J2528" s="15" t="s">
        <v>2368</v>
      </c>
      <c r="K2528" s="15" t="s">
        <v>94</v>
      </c>
      <c r="L2528" s="15" t="s">
        <v>95</v>
      </c>
      <c r="M2528" s="15" t="s">
        <v>96</v>
      </c>
      <c r="N2528" s="15" t="s">
        <v>97</v>
      </c>
      <c r="O2528" s="15" t="s">
        <v>98</v>
      </c>
      <c r="P2528" s="15" t="s">
        <v>1279</v>
      </c>
      <c r="Q2528" s="15" t="s">
        <v>1280</v>
      </c>
      <c r="R2528" s="16">
        <v>44329</v>
      </c>
      <c r="S2528" s="17" t="s">
        <v>70</v>
      </c>
      <c r="T2528" s="20">
        <f>HYPERLINK("https://vnm.spiral.com.vn//uploaded/20210513/c07364e5-878a-4914-97c9-4f54493309a7.JPEG","08:18:45")</f>
      </c>
      <c r="U2528" s="20">
        <f>HYPERLINK("https://vnm.spiral.com.vn//uploaded/20210513/f3843f2a-c684-4ccf-bf1a-65fb91f94655.JPEG","09:46:09")</f>
      </c>
      <c r="V2528" s="18">
        <v>0.06069444444444445</v>
      </c>
      <c r="W2528" s="15" t="s">
        <v>12915</v>
      </c>
      <c r="X2528" s="15" t="s">
        <v>12916</v>
      </c>
      <c r="Y2528" s="15" t="s">
        <v>35</v>
      </c>
      <c r="Z2528" s="19">
        <v>0</v>
      </c>
      <c r="AA2528" s="15">
        <v>0</v>
      </c>
      <c r="AB2528" s="15" t="s">
        <v>35</v>
      </c>
    </row>
    <row r="2529">
      <c r="A2529" s="15">
        <v>2525</v>
      </c>
      <c r="B2529" s="15" t="s">
        <v>87</v>
      </c>
      <c r="C2529" s="15" t="s">
        <v>88</v>
      </c>
      <c r="D2529" s="15" t="s">
        <v>135</v>
      </c>
      <c r="E2529" s="15" t="s">
        <v>116</v>
      </c>
      <c r="F2529" s="15" t="s">
        <v>35</v>
      </c>
      <c r="G2529" s="15" t="s">
        <v>74</v>
      </c>
      <c r="H2529" s="15" t="s">
        <v>12917</v>
      </c>
      <c r="I2529" s="15" t="s">
        <v>12918</v>
      </c>
      <c r="J2529" s="15" t="s">
        <v>12919</v>
      </c>
      <c r="K2529" s="15" t="s">
        <v>94</v>
      </c>
      <c r="L2529" s="15" t="s">
        <v>95</v>
      </c>
      <c r="M2529" s="15" t="s">
        <v>390</v>
      </c>
      <c r="N2529" s="15" t="s">
        <v>391</v>
      </c>
      <c r="O2529" s="15" t="s">
        <v>98</v>
      </c>
      <c r="P2529" s="15" t="s">
        <v>392</v>
      </c>
      <c r="Q2529" s="15" t="s">
        <v>393</v>
      </c>
      <c r="R2529" s="16">
        <v>44329</v>
      </c>
      <c r="S2529" s="17" t="s">
        <v>35</v>
      </c>
      <c r="T2529" s="20">
        <f>HYPERLINK("https://vnm.spiral.com.vn//uploaded/20210513/0f9ced27-5417-40e9-8a4a-8a530b7cffdb.jpg","09:25:41")</f>
      </c>
      <c r="U2529" s="20">
        <f>HYPERLINK("https://vnm.spiral.com.vn//uploaded/20210513/69193793-a632-4213-84b1-41754f4913dd.jpg","09:45:51")</f>
      </c>
      <c r="V2529" s="18">
        <v>0.014004629629629629</v>
      </c>
      <c r="W2529" s="15" t="s">
        <v>12920</v>
      </c>
      <c r="X2529" s="15" t="s">
        <v>12921</v>
      </c>
      <c r="Y2529" s="15" t="s">
        <v>35</v>
      </c>
      <c r="Z2529" s="19">
        <v>0</v>
      </c>
      <c r="AA2529" s="15">
        <v>0</v>
      </c>
      <c r="AB2529" s="15" t="s">
        <v>35</v>
      </c>
    </row>
    <row r="2530">
      <c r="A2530" s="15">
        <v>2526</v>
      </c>
      <c r="B2530" s="15" t="s">
        <v>87</v>
      </c>
      <c r="C2530" s="15" t="s">
        <v>88</v>
      </c>
      <c r="D2530" s="15" t="s">
        <v>35</v>
      </c>
      <c r="E2530" s="15" t="s">
        <v>35</v>
      </c>
      <c r="F2530" s="15" t="s">
        <v>35</v>
      </c>
      <c r="G2530" s="15" t="s">
        <v>74</v>
      </c>
      <c r="H2530" s="15" t="s">
        <v>12922</v>
      </c>
      <c r="I2530" s="15" t="s">
        <v>12923</v>
      </c>
      <c r="J2530" s="15" t="s">
        <v>12924</v>
      </c>
      <c r="K2530" s="15" t="s">
        <v>888</v>
      </c>
      <c r="L2530" s="15" t="s">
        <v>889</v>
      </c>
      <c r="M2530" s="15" t="s">
        <v>1666</v>
      </c>
      <c r="N2530" s="15" t="s">
        <v>1667</v>
      </c>
      <c r="O2530" s="15" t="s">
        <v>82</v>
      </c>
      <c r="P2530" s="15" t="s">
        <v>6570</v>
      </c>
      <c r="Q2530" s="15" t="s">
        <v>6571</v>
      </c>
      <c r="R2530" s="16">
        <v>44329</v>
      </c>
      <c r="S2530" s="17" t="s">
        <v>70</v>
      </c>
      <c r="T2530" s="20">
        <f>HYPERLINK("https://vnm.spiral.com.vn//uploaded/20210513/A78B0D95-DCC7-4C1D-8D07-EA11C956D5CA.jpg","09:19:50")</f>
      </c>
      <c r="U2530" s="20">
        <f>HYPERLINK("https://vnm.spiral.com.vn//uploaded/20210513/75B37E89-DC9B-4868-BDC9-C876AE6A9F1D.jpg","09:45:49")</f>
      </c>
      <c r="V2530" s="18">
        <v>0.01804398148148148</v>
      </c>
      <c r="W2530" s="15" t="s">
        <v>12925</v>
      </c>
      <c r="X2530" s="15" t="s">
        <v>12926</v>
      </c>
      <c r="Y2530" s="15" t="s">
        <v>35</v>
      </c>
      <c r="Z2530" s="19">
        <v>0</v>
      </c>
      <c r="AA2530" s="15">
        <v>0</v>
      </c>
      <c r="AB2530" s="15" t="s">
        <v>35</v>
      </c>
    </row>
    <row r="2531">
      <c r="A2531" s="15">
        <v>2527</v>
      </c>
      <c r="B2531" s="15" t="s">
        <v>61</v>
      </c>
      <c r="C2531" s="15" t="s">
        <v>303</v>
      </c>
      <c r="D2531" s="15" t="s">
        <v>432</v>
      </c>
      <c r="E2531" s="15" t="s">
        <v>116</v>
      </c>
      <c r="F2531" s="15" t="s">
        <v>35</v>
      </c>
      <c r="G2531" s="15" t="s">
        <v>74</v>
      </c>
      <c r="H2531" s="15" t="s">
        <v>12927</v>
      </c>
      <c r="I2531" s="15" t="s">
        <v>12928</v>
      </c>
      <c r="J2531" s="15" t="s">
        <v>12929</v>
      </c>
      <c r="K2531" s="15" t="s">
        <v>309</v>
      </c>
      <c r="L2531" s="15" t="s">
        <v>310</v>
      </c>
      <c r="M2531" s="15" t="s">
        <v>311</v>
      </c>
      <c r="N2531" s="15" t="s">
        <v>312</v>
      </c>
      <c r="O2531" s="15" t="s">
        <v>82</v>
      </c>
      <c r="P2531" s="15" t="s">
        <v>7223</v>
      </c>
      <c r="Q2531" s="15" t="s">
        <v>7224</v>
      </c>
      <c r="R2531" s="16">
        <v>44329</v>
      </c>
      <c r="S2531" s="17" t="s">
        <v>70</v>
      </c>
      <c r="T2531" s="20">
        <f>HYPERLINK("https://vnm.spiral.com.vn//uploaded/20210513/04DA7EFC-B9D4-441E-9036-DC0DDCEBE30D.jpg","07:36:41")</f>
      </c>
      <c r="U2531" s="20">
        <f>HYPERLINK("https://vnm.spiral.com.vn//uploaded/20210513/11A0FC31-6D17-472B-848E-727D790F463C.jpg","09:45:11")</f>
      </c>
      <c r="V2531" s="18">
        <v>0.08923611111111111</v>
      </c>
      <c r="W2531" s="15" t="s">
        <v>12930</v>
      </c>
      <c r="X2531" s="15" t="s">
        <v>12931</v>
      </c>
      <c r="Y2531" s="15" t="s">
        <v>35</v>
      </c>
      <c r="Z2531" s="19">
        <v>0</v>
      </c>
      <c r="AA2531" s="15">
        <v>0</v>
      </c>
      <c r="AB2531" s="15" t="s">
        <v>35</v>
      </c>
    </row>
    <row r="2532">
      <c r="A2532" s="15">
        <v>2528</v>
      </c>
      <c r="B2532" s="15" t="s">
        <v>61</v>
      </c>
      <c r="C2532" s="15" t="s">
        <v>228</v>
      </c>
      <c r="D2532" s="15" t="s">
        <v>35</v>
      </c>
      <c r="E2532" s="15" t="s">
        <v>35</v>
      </c>
      <c r="F2532" s="15" t="s">
        <v>12932</v>
      </c>
      <c r="G2532" s="15" t="s">
        <v>36</v>
      </c>
      <c r="H2532" s="15" t="s">
        <v>12933</v>
      </c>
      <c r="I2532" s="15" t="s">
        <v>12934</v>
      </c>
      <c r="J2532" s="15" t="s">
        <v>12935</v>
      </c>
      <c r="K2532" s="15" t="s">
        <v>40</v>
      </c>
      <c r="L2532" s="15" t="s">
        <v>41</v>
      </c>
      <c r="M2532" s="15" t="s">
        <v>205</v>
      </c>
      <c r="N2532" s="15" t="s">
        <v>206</v>
      </c>
      <c r="O2532" s="15" t="s">
        <v>44</v>
      </c>
      <c r="P2532" s="15" t="s">
        <v>12936</v>
      </c>
      <c r="Q2532" s="15" t="s">
        <v>12937</v>
      </c>
      <c r="R2532" s="16">
        <v>44329</v>
      </c>
      <c r="S2532" s="17" t="s">
        <v>8031</v>
      </c>
      <c r="T2532" s="20">
        <f>HYPERLINK("https://vnm.spiral.com.vn//uploaded/20210513/F4B47D83-B72A-4424-A302-93FCFB4654C2.jpg","09:44:56")</f>
      </c>
      <c r="U2532" s="18"/>
      <c r="V2532" s="18" t="s">
        <v>35</v>
      </c>
      <c r="W2532" s="15" t="s">
        <v>12938</v>
      </c>
      <c r="X2532" s="15" t="s">
        <v>35</v>
      </c>
      <c r="Y2532" s="15" t="s">
        <v>35</v>
      </c>
      <c r="Z2532" s="19">
        <v>0</v>
      </c>
      <c r="AA2532" s="15">
        <v>0</v>
      </c>
      <c r="AB2532" s="15" t="s">
        <v>35</v>
      </c>
    </row>
    <row r="2533">
      <c r="A2533" s="15">
        <v>2529</v>
      </c>
      <c r="B2533" s="15" t="s">
        <v>87</v>
      </c>
      <c r="C2533" s="15" t="s">
        <v>88</v>
      </c>
      <c r="D2533" s="15" t="s">
        <v>357</v>
      </c>
      <c r="E2533" s="15" t="s">
        <v>90</v>
      </c>
      <c r="F2533" s="15" t="s">
        <v>35</v>
      </c>
      <c r="G2533" s="15" t="s">
        <v>74</v>
      </c>
      <c r="H2533" s="15" t="s">
        <v>12939</v>
      </c>
      <c r="I2533" s="15" t="s">
        <v>12940</v>
      </c>
      <c r="J2533" s="15" t="s">
        <v>12941</v>
      </c>
      <c r="K2533" s="15" t="s">
        <v>94</v>
      </c>
      <c r="L2533" s="15" t="s">
        <v>95</v>
      </c>
      <c r="M2533" s="15" t="s">
        <v>1570</v>
      </c>
      <c r="N2533" s="15" t="s">
        <v>1571</v>
      </c>
      <c r="O2533" s="15" t="s">
        <v>98</v>
      </c>
      <c r="P2533" s="15" t="s">
        <v>1572</v>
      </c>
      <c r="Q2533" s="15" t="s">
        <v>1573</v>
      </c>
      <c r="R2533" s="16">
        <v>44329</v>
      </c>
      <c r="S2533" s="17" t="s">
        <v>70</v>
      </c>
      <c r="T2533" s="20">
        <f>HYPERLINK("https://vnm.spiral.com.vn//uploaded/20210513/1f9b70e6-1d0c-44ca-833d-fcb8bed028dc.JPEG","09:10:28")</f>
      </c>
      <c r="U2533" s="20">
        <f>HYPERLINK("https://vnm.spiral.com.vn//uploaded/20210513/4e02da19-b7b2-4702-8bf5-fbc71b4d97e8.JPEG","09:44:39")</f>
      </c>
      <c r="V2533" s="18">
        <v>0.023738425925925927</v>
      </c>
      <c r="W2533" s="15" t="s">
        <v>12942</v>
      </c>
      <c r="X2533" s="15" t="s">
        <v>12943</v>
      </c>
      <c r="Y2533" s="15" t="s">
        <v>35</v>
      </c>
      <c r="Z2533" s="19">
        <v>0</v>
      </c>
      <c r="AA2533" s="15">
        <v>0</v>
      </c>
      <c r="AB2533" s="15" t="s">
        <v>35</v>
      </c>
    </row>
    <row r="2534">
      <c r="A2534" s="15">
        <v>2530</v>
      </c>
      <c r="B2534" s="15" t="s">
        <v>87</v>
      </c>
      <c r="C2534" s="15" t="s">
        <v>88</v>
      </c>
      <c r="D2534" s="15" t="s">
        <v>432</v>
      </c>
      <c r="E2534" s="15" t="s">
        <v>116</v>
      </c>
      <c r="F2534" s="15" t="s">
        <v>35</v>
      </c>
      <c r="G2534" s="15" t="s">
        <v>74</v>
      </c>
      <c r="H2534" s="15" t="s">
        <v>12944</v>
      </c>
      <c r="I2534" s="15" t="s">
        <v>12945</v>
      </c>
      <c r="J2534" s="15" t="s">
        <v>12946</v>
      </c>
      <c r="K2534" s="15" t="s">
        <v>625</v>
      </c>
      <c r="L2534" s="15" t="s">
        <v>626</v>
      </c>
      <c r="M2534" s="15" t="s">
        <v>627</v>
      </c>
      <c r="N2534" s="15" t="s">
        <v>628</v>
      </c>
      <c r="O2534" s="15" t="s">
        <v>82</v>
      </c>
      <c r="P2534" s="15" t="s">
        <v>851</v>
      </c>
      <c r="Q2534" s="15" t="s">
        <v>852</v>
      </c>
      <c r="R2534" s="16">
        <v>44329</v>
      </c>
      <c r="S2534" s="17" t="s">
        <v>70</v>
      </c>
      <c r="T2534" s="20">
        <f>HYPERLINK("https://vnm.spiral.com.vn//uploaded/20210513/7DA65FBE-13B5-4C1B-AA19-C5FC85A427C2.jpg","08:58:42")</f>
      </c>
      <c r="U2534" s="20">
        <f>HYPERLINK("https://vnm.spiral.com.vn//uploaded/20210513/DFFAA151-AF58-4416-B1F6-2E205AD14368.jpg","09:43:30")</f>
      </c>
      <c r="V2534" s="18">
        <v>0.03111111111111111</v>
      </c>
      <c r="W2534" s="15" t="s">
        <v>12947</v>
      </c>
      <c r="X2534" s="15" t="s">
        <v>12948</v>
      </c>
      <c r="Y2534" s="15" t="s">
        <v>35</v>
      </c>
      <c r="Z2534" s="19">
        <v>0</v>
      </c>
      <c r="AA2534" s="15">
        <v>0</v>
      </c>
      <c r="AB2534" s="15" t="s">
        <v>35</v>
      </c>
    </row>
    <row r="2535">
      <c r="A2535" s="15">
        <v>2531</v>
      </c>
      <c r="B2535" s="15" t="s">
        <v>87</v>
      </c>
      <c r="C2535" s="15" t="s">
        <v>88</v>
      </c>
      <c r="D2535" s="15" t="s">
        <v>115</v>
      </c>
      <c r="E2535" s="15" t="s">
        <v>116</v>
      </c>
      <c r="F2535" s="15" t="s">
        <v>35</v>
      </c>
      <c r="G2535" s="15" t="s">
        <v>74</v>
      </c>
      <c r="H2535" s="15" t="s">
        <v>12949</v>
      </c>
      <c r="I2535" s="15" t="s">
        <v>12950</v>
      </c>
      <c r="J2535" s="15" t="s">
        <v>12951</v>
      </c>
      <c r="K2535" s="15" t="s">
        <v>120</v>
      </c>
      <c r="L2535" s="15" t="s">
        <v>121</v>
      </c>
      <c r="M2535" s="15" t="s">
        <v>1073</v>
      </c>
      <c r="N2535" s="15" t="s">
        <v>1074</v>
      </c>
      <c r="O2535" s="15" t="s">
        <v>82</v>
      </c>
      <c r="P2535" s="15" t="s">
        <v>4638</v>
      </c>
      <c r="Q2535" s="15" t="s">
        <v>4639</v>
      </c>
      <c r="R2535" s="16">
        <v>44329</v>
      </c>
      <c r="S2535" s="17" t="s">
        <v>70</v>
      </c>
      <c r="T2535" s="20">
        <f>HYPERLINK("https://vnm.spiral.com.vn//uploaded/20210513/ae4710ad-a8c0-4bfd-b8b7-cc615c8d8ea4.jpg","09:05:07")</f>
      </c>
      <c r="U2535" s="20">
        <f>HYPERLINK("https://vnm.spiral.com.vn//uploaded/20210513/3a0f0cd3-6f0e-4253-b430-324bc4046cda.jpg","09:43:07")</f>
      </c>
      <c r="V2535" s="18">
        <v>0.02638888888888889</v>
      </c>
      <c r="W2535" s="15" t="s">
        <v>12952</v>
      </c>
      <c r="X2535" s="15" t="s">
        <v>12953</v>
      </c>
      <c r="Y2535" s="15" t="s">
        <v>35</v>
      </c>
      <c r="Z2535" s="19">
        <v>0</v>
      </c>
      <c r="AA2535" s="15">
        <v>0</v>
      </c>
      <c r="AB2535" s="15" t="s">
        <v>35</v>
      </c>
    </row>
    <row r="2536">
      <c r="A2536" s="15">
        <v>2532</v>
      </c>
      <c r="B2536" s="15" t="s">
        <v>87</v>
      </c>
      <c r="C2536" s="15" t="s">
        <v>88</v>
      </c>
      <c r="D2536" s="15" t="s">
        <v>35</v>
      </c>
      <c r="E2536" s="15" t="s">
        <v>35</v>
      </c>
      <c r="F2536" s="15" t="s">
        <v>35</v>
      </c>
      <c r="G2536" s="15" t="s">
        <v>74</v>
      </c>
      <c r="H2536" s="15" t="s">
        <v>12954</v>
      </c>
      <c r="I2536" s="15" t="s">
        <v>12955</v>
      </c>
      <c r="J2536" s="15" t="s">
        <v>12956</v>
      </c>
      <c r="K2536" s="15" t="s">
        <v>888</v>
      </c>
      <c r="L2536" s="15" t="s">
        <v>889</v>
      </c>
      <c r="M2536" s="15" t="s">
        <v>890</v>
      </c>
      <c r="N2536" s="15" t="s">
        <v>891</v>
      </c>
      <c r="O2536" s="15" t="s">
        <v>82</v>
      </c>
      <c r="P2536" s="15" t="s">
        <v>2094</v>
      </c>
      <c r="Q2536" s="15" t="s">
        <v>2095</v>
      </c>
      <c r="R2536" s="16">
        <v>44329</v>
      </c>
      <c r="S2536" s="17" t="s">
        <v>70</v>
      </c>
      <c r="T2536" s="20">
        <f>HYPERLINK("https://vnm.spiral.com.vn//uploaded/20210513/F38A5438-2F9E-4559-B9D3-42A2D9BF819C.jpg","09:11:02")</f>
      </c>
      <c r="U2536" s="20">
        <f>HYPERLINK("https://vnm.spiral.com.vn//uploaded/20210513/A1A1EF5C-7EA4-47F8-9C78-0F2A57E0B584.jpg","09:42:59")</f>
      </c>
      <c r="V2536" s="18">
        <v>0.0221875</v>
      </c>
      <c r="W2536" s="15" t="s">
        <v>12957</v>
      </c>
      <c r="X2536" s="15" t="s">
        <v>12958</v>
      </c>
      <c r="Y2536" s="15" t="s">
        <v>35</v>
      </c>
      <c r="Z2536" s="19">
        <v>0</v>
      </c>
      <c r="AA2536" s="15">
        <v>0</v>
      </c>
      <c r="AB2536" s="15" t="s">
        <v>35</v>
      </c>
    </row>
    <row r="2537">
      <c r="A2537" s="15">
        <v>2533</v>
      </c>
      <c r="B2537" s="15" t="s">
        <v>87</v>
      </c>
      <c r="C2537" s="15" t="s">
        <v>88</v>
      </c>
      <c r="D2537" s="15" t="s">
        <v>74</v>
      </c>
      <c r="E2537" s="15" t="s">
        <v>90</v>
      </c>
      <c r="F2537" s="15" t="s">
        <v>35</v>
      </c>
      <c r="G2537" s="15" t="s">
        <v>74</v>
      </c>
      <c r="H2537" s="15" t="s">
        <v>12959</v>
      </c>
      <c r="I2537" s="15" t="s">
        <v>12960</v>
      </c>
      <c r="J2537" s="15" t="s">
        <v>12961</v>
      </c>
      <c r="K2537" s="15" t="s">
        <v>190</v>
      </c>
      <c r="L2537" s="15" t="s">
        <v>191</v>
      </c>
      <c r="M2537" s="15" t="s">
        <v>1031</v>
      </c>
      <c r="N2537" s="15" t="s">
        <v>1032</v>
      </c>
      <c r="O2537" s="15" t="s">
        <v>82</v>
      </c>
      <c r="P2537" s="15" t="s">
        <v>2961</v>
      </c>
      <c r="Q2537" s="15" t="s">
        <v>2962</v>
      </c>
      <c r="R2537" s="16">
        <v>44329</v>
      </c>
      <c r="S2537" s="17" t="s">
        <v>70</v>
      </c>
      <c r="T2537" s="20">
        <f>HYPERLINK("https://vnm.spiral.com.vn//uploaded/20210513/7969E664-A706-4153-B611-B6137D99AD59.jpg","09:25:59")</f>
      </c>
      <c r="U2537" s="20">
        <f>HYPERLINK("https://vnm.spiral.com.vn//uploaded/20210513/4CD9CC8B-7286-42E0-918C-287FF9E28EEB.jpg","09:42:48")</f>
      </c>
      <c r="V2537" s="18">
        <v>0.01167824074074074</v>
      </c>
      <c r="W2537" s="15" t="s">
        <v>12962</v>
      </c>
      <c r="X2537" s="15" t="s">
        <v>12963</v>
      </c>
      <c r="Y2537" s="15" t="s">
        <v>35</v>
      </c>
      <c r="Z2537" s="19">
        <v>0</v>
      </c>
      <c r="AA2537" s="15">
        <v>0</v>
      </c>
      <c r="AB2537" s="15" t="s">
        <v>35</v>
      </c>
    </row>
    <row r="2538">
      <c r="A2538" s="15">
        <v>2534</v>
      </c>
      <c r="B2538" s="15" t="s">
        <v>343</v>
      </c>
      <c r="C2538" s="15" t="s">
        <v>344</v>
      </c>
      <c r="D2538" s="15" t="s">
        <v>536</v>
      </c>
      <c r="E2538" s="15" t="s">
        <v>116</v>
      </c>
      <c r="F2538" s="15" t="s">
        <v>35</v>
      </c>
      <c r="G2538" s="15" t="s">
        <v>74</v>
      </c>
      <c r="H2538" s="15" t="s">
        <v>12964</v>
      </c>
      <c r="I2538" s="15" t="s">
        <v>12965</v>
      </c>
      <c r="J2538" s="15" t="s">
        <v>12966</v>
      </c>
      <c r="K2538" s="15" t="s">
        <v>997</v>
      </c>
      <c r="L2538" s="15" t="s">
        <v>998</v>
      </c>
      <c r="M2538" s="15" t="s">
        <v>1325</v>
      </c>
      <c r="N2538" s="15" t="s">
        <v>1326</v>
      </c>
      <c r="O2538" s="15" t="s">
        <v>82</v>
      </c>
      <c r="P2538" s="15" t="s">
        <v>2576</v>
      </c>
      <c r="Q2538" s="15" t="s">
        <v>2577</v>
      </c>
      <c r="R2538" s="16">
        <v>44329</v>
      </c>
      <c r="S2538" s="17" t="s">
        <v>70</v>
      </c>
      <c r="T2538" s="20">
        <f>HYPERLINK("https://vnm.spiral.com.vn//uploaded/20210513/e781a379-01c5-4fe4-8515-27cd5a7855ec.JPEG","09:11:34")</f>
      </c>
      <c r="U2538" s="20">
        <f>HYPERLINK("https://vnm.spiral.com.vn//uploaded/20210513/1203977b-167f-414d-98e7-82f315ffeff0.JPEG","09:42:05")</f>
      </c>
      <c r="V2538" s="18">
        <v>0.02119212962962963</v>
      </c>
      <c r="W2538" s="15" t="s">
        <v>12967</v>
      </c>
      <c r="X2538" s="15" t="s">
        <v>12968</v>
      </c>
      <c r="Y2538" s="15" t="s">
        <v>35</v>
      </c>
      <c r="Z2538" s="19">
        <v>0</v>
      </c>
      <c r="AA2538" s="15">
        <v>0</v>
      </c>
      <c r="AB2538" s="15" t="s">
        <v>35</v>
      </c>
    </row>
    <row r="2539">
      <c r="A2539" s="15">
        <v>2535</v>
      </c>
      <c r="B2539" s="15" t="s">
        <v>87</v>
      </c>
      <c r="C2539" s="15" t="s">
        <v>88</v>
      </c>
      <c r="D2539" s="15" t="s">
        <v>35</v>
      </c>
      <c r="E2539" s="15" t="s">
        <v>35</v>
      </c>
      <c r="F2539" s="15" t="s">
        <v>35</v>
      </c>
      <c r="G2539" s="15" t="s">
        <v>74</v>
      </c>
      <c r="H2539" s="15" t="s">
        <v>12969</v>
      </c>
      <c r="I2539" s="15" t="s">
        <v>12970</v>
      </c>
      <c r="J2539" s="15" t="s">
        <v>12971</v>
      </c>
      <c r="K2539" s="15" t="s">
        <v>190</v>
      </c>
      <c r="L2539" s="15" t="s">
        <v>191</v>
      </c>
      <c r="M2539" s="15" t="s">
        <v>888</v>
      </c>
      <c r="N2539" s="15" t="s">
        <v>889</v>
      </c>
      <c r="O2539" s="15" t="s">
        <v>98</v>
      </c>
      <c r="P2539" s="15" t="s">
        <v>924</v>
      </c>
      <c r="Q2539" s="15" t="s">
        <v>925</v>
      </c>
      <c r="R2539" s="16">
        <v>44329</v>
      </c>
      <c r="S2539" s="17" t="s">
        <v>35</v>
      </c>
      <c r="T2539" s="20">
        <f>HYPERLINK("https://vnm.spiral.com.vn//uploaded/20210513/b1e3fcde-584f-4d53-a3fa-121b9d4e4087.JPEG","09:17:02")</f>
      </c>
      <c r="U2539" s="20">
        <f>HYPERLINK("https://vnm.spiral.com.vn//uploaded/20210513/9b2a1fe8-2776-4c40-94d5-5292752c0daf.JPEG","09:41:51")</f>
      </c>
      <c r="V2539" s="18">
        <v>0.017233796296296296</v>
      </c>
      <c r="W2539" s="15" t="s">
        <v>12972</v>
      </c>
      <c r="X2539" s="15" t="s">
        <v>12973</v>
      </c>
      <c r="Y2539" s="15" t="s">
        <v>35</v>
      </c>
      <c r="Z2539" s="19">
        <v>0</v>
      </c>
      <c r="AA2539" s="15">
        <v>0</v>
      </c>
      <c r="AB2539" s="15" t="s">
        <v>35</v>
      </c>
    </row>
    <row r="2540">
      <c r="A2540" s="15">
        <v>2536</v>
      </c>
      <c r="B2540" s="15" t="s">
        <v>33</v>
      </c>
      <c r="C2540" s="15" t="s">
        <v>34</v>
      </c>
      <c r="D2540" s="15" t="s">
        <v>35</v>
      </c>
      <c r="E2540" s="15" t="s">
        <v>35</v>
      </c>
      <c r="F2540" s="15" t="s">
        <v>35</v>
      </c>
      <c r="G2540" s="15" t="s">
        <v>36</v>
      </c>
      <c r="H2540" s="15" t="s">
        <v>12974</v>
      </c>
      <c r="I2540" s="15" t="s">
        <v>12975</v>
      </c>
      <c r="J2540" s="15" t="s">
        <v>12976</v>
      </c>
      <c r="K2540" s="15" t="s">
        <v>40</v>
      </c>
      <c r="L2540" s="15" t="s">
        <v>41</v>
      </c>
      <c r="M2540" s="15" t="s">
        <v>42</v>
      </c>
      <c r="N2540" s="15" t="s">
        <v>43</v>
      </c>
      <c r="O2540" s="15" t="s">
        <v>44</v>
      </c>
      <c r="P2540" s="15" t="s">
        <v>12977</v>
      </c>
      <c r="Q2540" s="15" t="s">
        <v>12978</v>
      </c>
      <c r="R2540" s="16">
        <v>44329</v>
      </c>
      <c r="S2540" s="17" t="s">
        <v>12979</v>
      </c>
      <c r="T2540" s="20">
        <f>HYPERLINK("https://vnm.spiral.com.vn//uploaded/20210513/289A8539-BFC7-4DEA-90BC-E1DA6E29F85C.jpg","09:41:50")</f>
      </c>
      <c r="U2540" s="18"/>
      <c r="V2540" s="18" t="s">
        <v>35</v>
      </c>
      <c r="W2540" s="15" t="s">
        <v>12980</v>
      </c>
      <c r="X2540" s="15" t="s">
        <v>35</v>
      </c>
      <c r="Y2540" s="15" t="s">
        <v>35</v>
      </c>
      <c r="Z2540" s="19">
        <v>0</v>
      </c>
      <c r="AA2540" s="15">
        <v>0</v>
      </c>
      <c r="AB2540" s="15" t="s">
        <v>35</v>
      </c>
    </row>
    <row r="2541">
      <c r="A2541" s="15">
        <v>2537</v>
      </c>
      <c r="B2541" s="15" t="s">
        <v>87</v>
      </c>
      <c r="C2541" s="15" t="s">
        <v>88</v>
      </c>
      <c r="D2541" s="15" t="s">
        <v>610</v>
      </c>
      <c r="E2541" s="15" t="s">
        <v>90</v>
      </c>
      <c r="F2541" s="15" t="s">
        <v>35</v>
      </c>
      <c r="G2541" s="15" t="s">
        <v>74</v>
      </c>
      <c r="H2541" s="15" t="s">
        <v>12981</v>
      </c>
      <c r="I2541" s="15" t="s">
        <v>12982</v>
      </c>
      <c r="J2541" s="15" t="s">
        <v>12983</v>
      </c>
      <c r="K2541" s="15" t="s">
        <v>614</v>
      </c>
      <c r="L2541" s="15" t="s">
        <v>615</v>
      </c>
      <c r="M2541" s="15" t="s">
        <v>616</v>
      </c>
      <c r="N2541" s="15" t="s">
        <v>617</v>
      </c>
      <c r="O2541" s="15" t="s">
        <v>82</v>
      </c>
      <c r="P2541" s="15" t="s">
        <v>618</v>
      </c>
      <c r="Q2541" s="15" t="s">
        <v>619</v>
      </c>
      <c r="R2541" s="16">
        <v>44329</v>
      </c>
      <c r="S2541" s="17" t="s">
        <v>70</v>
      </c>
      <c r="T2541" s="20">
        <f>HYPERLINK("https://vnm.spiral.com.vn//uploaded/20210513/1D941516-200C-475E-AE3B-187F0D3C8690.jpg","09:20:13")</f>
      </c>
      <c r="U2541" s="20">
        <f>HYPERLINK("https://vnm.spiral.com.vn//uploaded/20210513/2D2BFBF1-714D-4E58-AE32-F57EB27D62CB.jpg","09:41:23")</f>
      </c>
      <c r="V2541" s="18">
        <v>0.014699074074074074</v>
      </c>
      <c r="W2541" s="15" t="s">
        <v>12984</v>
      </c>
      <c r="X2541" s="15" t="s">
        <v>12985</v>
      </c>
      <c r="Y2541" s="15" t="s">
        <v>35</v>
      </c>
      <c r="Z2541" s="19">
        <v>0</v>
      </c>
      <c r="AA2541" s="15">
        <v>0</v>
      </c>
      <c r="AB2541" s="15" t="s">
        <v>35</v>
      </c>
    </row>
    <row r="2542">
      <c r="A2542" s="15">
        <v>2538</v>
      </c>
      <c r="B2542" s="15" t="s">
        <v>61</v>
      </c>
      <c r="C2542" s="15" t="s">
        <v>303</v>
      </c>
      <c r="D2542" s="15" t="s">
        <v>610</v>
      </c>
      <c r="E2542" s="15" t="s">
        <v>90</v>
      </c>
      <c r="F2542" s="15" t="s">
        <v>35</v>
      </c>
      <c r="G2542" s="15" t="s">
        <v>74</v>
      </c>
      <c r="H2542" s="15" t="s">
        <v>12986</v>
      </c>
      <c r="I2542" s="15" t="s">
        <v>12987</v>
      </c>
      <c r="J2542" s="15" t="s">
        <v>12988</v>
      </c>
      <c r="K2542" s="15" t="s">
        <v>152</v>
      </c>
      <c r="L2542" s="15" t="s">
        <v>153</v>
      </c>
      <c r="M2542" s="15" t="s">
        <v>309</v>
      </c>
      <c r="N2542" s="15" t="s">
        <v>310</v>
      </c>
      <c r="O2542" s="15" t="s">
        <v>98</v>
      </c>
      <c r="P2542" s="15" t="s">
        <v>311</v>
      </c>
      <c r="Q2542" s="15" t="s">
        <v>312</v>
      </c>
      <c r="R2542" s="16">
        <v>44329</v>
      </c>
      <c r="S2542" s="17" t="s">
        <v>70</v>
      </c>
      <c r="T2542" s="20">
        <f>HYPERLINK("https://vnm.spiral.com.vn//uploaded/20210513/16CE0736-6FAF-493A-8DB5-61DADC64B64D.jpg","09:31:54")</f>
      </c>
      <c r="U2542" s="20">
        <f>HYPERLINK("https://vnm.spiral.com.vn//uploaded/20210513/6ECEDA16-BA42-4F21-AA24-F8DBA683B408.jpg","09:40:53")</f>
      </c>
      <c r="V2542" s="18">
        <v>0.006238425925925926</v>
      </c>
      <c r="W2542" s="15" t="s">
        <v>12989</v>
      </c>
      <c r="X2542" s="15" t="s">
        <v>12990</v>
      </c>
      <c r="Y2542" s="15" t="s">
        <v>35</v>
      </c>
      <c r="Z2542" s="19">
        <v>0</v>
      </c>
      <c r="AA2542" s="15">
        <v>0</v>
      </c>
      <c r="AB2542" s="15" t="s">
        <v>35</v>
      </c>
    </row>
    <row r="2543">
      <c r="A2543" s="15">
        <v>2539</v>
      </c>
      <c r="B2543" s="15" t="s">
        <v>87</v>
      </c>
      <c r="C2543" s="15" t="s">
        <v>88</v>
      </c>
      <c r="D2543" s="15" t="s">
        <v>357</v>
      </c>
      <c r="E2543" s="15" t="s">
        <v>90</v>
      </c>
      <c r="F2543" s="15" t="s">
        <v>35</v>
      </c>
      <c r="G2543" s="15" t="s">
        <v>74</v>
      </c>
      <c r="H2543" s="15" t="s">
        <v>12991</v>
      </c>
      <c r="I2543" s="15" t="s">
        <v>12992</v>
      </c>
      <c r="J2543" s="15" t="s">
        <v>12993</v>
      </c>
      <c r="K2543" s="15" t="s">
        <v>1570</v>
      </c>
      <c r="L2543" s="15" t="s">
        <v>1571</v>
      </c>
      <c r="M2543" s="15" t="s">
        <v>1572</v>
      </c>
      <c r="N2543" s="15" t="s">
        <v>1573</v>
      </c>
      <c r="O2543" s="15" t="s">
        <v>82</v>
      </c>
      <c r="P2543" s="15" t="s">
        <v>1579</v>
      </c>
      <c r="Q2543" s="15" t="s">
        <v>1580</v>
      </c>
      <c r="R2543" s="16">
        <v>44329</v>
      </c>
      <c r="S2543" s="17" t="s">
        <v>70</v>
      </c>
      <c r="T2543" s="20">
        <f>HYPERLINK("https://vnm.spiral.com.vn//uploaded/20210513/906257AD-4773-4A06-BBE9-4BA228AD827F.jpg","08:53:48")</f>
      </c>
      <c r="U2543" s="20">
        <f>HYPERLINK("https://vnm.spiral.com.vn//uploaded/20210513/98F9168D-BB36-4543-AF49-E3CF689EB156.jpg","09:37:33")</f>
      </c>
      <c r="V2543" s="18">
        <v>0.030381944444444444</v>
      </c>
      <c r="W2543" s="15" t="s">
        <v>12994</v>
      </c>
      <c r="X2543" s="15" t="s">
        <v>12995</v>
      </c>
      <c r="Y2543" s="15" t="s">
        <v>35</v>
      </c>
      <c r="Z2543" s="19">
        <v>0</v>
      </c>
      <c r="AA2543" s="15">
        <v>0</v>
      </c>
      <c r="AB2543" s="15" t="s">
        <v>35</v>
      </c>
    </row>
    <row r="2544">
      <c r="A2544" s="15">
        <v>2540</v>
      </c>
      <c r="B2544" s="15" t="s">
        <v>61</v>
      </c>
      <c r="C2544" s="15" t="s">
        <v>147</v>
      </c>
      <c r="D2544" s="15" t="s">
        <v>148</v>
      </c>
      <c r="E2544" s="15" t="s">
        <v>90</v>
      </c>
      <c r="F2544" s="15" t="s">
        <v>35</v>
      </c>
      <c r="G2544" s="15" t="s">
        <v>74</v>
      </c>
      <c r="H2544" s="15" t="s">
        <v>149</v>
      </c>
      <c r="I2544" s="15" t="s">
        <v>150</v>
      </c>
      <c r="J2544" s="15" t="s">
        <v>151</v>
      </c>
      <c r="K2544" s="15" t="s">
        <v>152</v>
      </c>
      <c r="L2544" s="15" t="s">
        <v>153</v>
      </c>
      <c r="M2544" s="15" t="s">
        <v>154</v>
      </c>
      <c r="N2544" s="15" t="s">
        <v>155</v>
      </c>
      <c r="O2544" s="15" t="s">
        <v>156</v>
      </c>
      <c r="P2544" s="15" t="s">
        <v>12996</v>
      </c>
      <c r="Q2544" s="15" t="s">
        <v>12997</v>
      </c>
      <c r="R2544" s="16">
        <v>44329</v>
      </c>
      <c r="S2544" s="17" t="s">
        <v>9455</v>
      </c>
      <c r="T2544" s="20">
        <f>HYPERLINK("https://vnm.spiral.com.vn//uploaded/20210513/ab837985-eb9e-4c1f-8952-7cac0e3052d6.JPEG","01:09:03")</f>
      </c>
      <c r="U2544" s="20">
        <f>HYPERLINK("https://vnm.spiral.com.vn//uploaded/20210513/b6e8ef92-bc09-454b-a63f-8c3f79020d34.JPEG","09:36:31")</f>
      </c>
      <c r="V2544" s="18">
        <v>0.3524074074074074</v>
      </c>
      <c r="W2544" s="15" t="s">
        <v>12998</v>
      </c>
      <c r="X2544" s="15" t="s">
        <v>12999</v>
      </c>
      <c r="Y2544" s="15" t="s">
        <v>35</v>
      </c>
      <c r="Z2544" s="19">
        <v>0</v>
      </c>
      <c r="AA2544" s="15">
        <v>0</v>
      </c>
      <c r="AB2544" s="15" t="s">
        <v>35</v>
      </c>
    </row>
    <row r="2545">
      <c r="A2545" s="15">
        <v>2541</v>
      </c>
      <c r="B2545" s="15" t="s">
        <v>87</v>
      </c>
      <c r="C2545" s="15" t="s">
        <v>88</v>
      </c>
      <c r="D2545" s="15" t="s">
        <v>432</v>
      </c>
      <c r="E2545" s="15" t="s">
        <v>116</v>
      </c>
      <c r="F2545" s="15" t="s">
        <v>35</v>
      </c>
      <c r="G2545" s="15" t="s">
        <v>74</v>
      </c>
      <c r="H2545" s="15" t="s">
        <v>13000</v>
      </c>
      <c r="I2545" s="15" t="s">
        <v>13001</v>
      </c>
      <c r="J2545" s="15" t="s">
        <v>13002</v>
      </c>
      <c r="K2545" s="15" t="s">
        <v>625</v>
      </c>
      <c r="L2545" s="15" t="s">
        <v>626</v>
      </c>
      <c r="M2545" s="15" t="s">
        <v>627</v>
      </c>
      <c r="N2545" s="15" t="s">
        <v>628</v>
      </c>
      <c r="O2545" s="15" t="s">
        <v>82</v>
      </c>
      <c r="P2545" s="15" t="s">
        <v>2569</v>
      </c>
      <c r="Q2545" s="15" t="s">
        <v>2570</v>
      </c>
      <c r="R2545" s="16">
        <v>44329</v>
      </c>
      <c r="S2545" s="17" t="s">
        <v>70</v>
      </c>
      <c r="T2545" s="20">
        <f>HYPERLINK("https://vnm.spiral.com.vn//uploaded/20210513/C4AB0EE4-5DF6-4809-95C4-0281C3943E5F.jpg","08:58:28")</f>
      </c>
      <c r="U2545" s="20">
        <f>HYPERLINK("https://vnm.spiral.com.vn//uploaded/20210513/114C8608-A1FE-4882-9774-448E4D4CACAE.jpg","09:36:27")</f>
      </c>
      <c r="V2545" s="18">
        <v>0.026377314814814815</v>
      </c>
      <c r="W2545" s="15" t="s">
        <v>13003</v>
      </c>
      <c r="X2545" s="15" t="s">
        <v>13004</v>
      </c>
      <c r="Y2545" s="15" t="s">
        <v>35</v>
      </c>
      <c r="Z2545" s="19">
        <v>0</v>
      </c>
      <c r="AA2545" s="15">
        <v>0</v>
      </c>
      <c r="AB2545" s="15" t="s">
        <v>35</v>
      </c>
    </row>
    <row r="2546">
      <c r="A2546" s="15">
        <v>2542</v>
      </c>
      <c r="B2546" s="15" t="s">
        <v>87</v>
      </c>
      <c r="C2546" s="15" t="s">
        <v>88</v>
      </c>
      <c r="D2546" s="15" t="s">
        <v>2462</v>
      </c>
      <c r="E2546" s="15" t="s">
        <v>116</v>
      </c>
      <c r="F2546" s="15" t="s">
        <v>35</v>
      </c>
      <c r="G2546" s="15" t="s">
        <v>74</v>
      </c>
      <c r="H2546" s="15" t="s">
        <v>13005</v>
      </c>
      <c r="I2546" s="15" t="s">
        <v>13006</v>
      </c>
      <c r="J2546" s="15" t="s">
        <v>13007</v>
      </c>
      <c r="K2546" s="15" t="s">
        <v>94</v>
      </c>
      <c r="L2546" s="15" t="s">
        <v>95</v>
      </c>
      <c r="M2546" s="15" t="s">
        <v>614</v>
      </c>
      <c r="N2546" s="15" t="s">
        <v>615</v>
      </c>
      <c r="O2546" s="15" t="s">
        <v>82</v>
      </c>
      <c r="P2546" s="15" t="s">
        <v>1341</v>
      </c>
      <c r="Q2546" s="15" t="s">
        <v>1342</v>
      </c>
      <c r="R2546" s="16">
        <v>44329</v>
      </c>
      <c r="S2546" s="17" t="s">
        <v>70</v>
      </c>
      <c r="T2546" s="20">
        <f>HYPERLINK("https://vnm.spiral.com.vn//uploaded/20210513/8DED945E-D6BD-4053-BA62-F700FDC4F7B8.jpg","07:50:19")</f>
      </c>
      <c r="U2546" s="20">
        <f>HYPERLINK("https://vnm.spiral.com.vn//uploaded/20210513/839D5D2E-0E18-4667-9CFB-EF32336AAC08.jpg","09:36:13")</f>
      </c>
      <c r="V2546" s="18">
        <v>0.07354166666666667</v>
      </c>
      <c r="W2546" s="15" t="s">
        <v>13008</v>
      </c>
      <c r="X2546" s="15" t="s">
        <v>13009</v>
      </c>
      <c r="Y2546" s="15" t="s">
        <v>35</v>
      </c>
      <c r="Z2546" s="19">
        <v>0</v>
      </c>
      <c r="AA2546" s="15">
        <v>0</v>
      </c>
      <c r="AB2546" s="15" t="s">
        <v>35</v>
      </c>
    </row>
    <row r="2547">
      <c r="A2547" s="15">
        <v>2543</v>
      </c>
      <c r="B2547" s="15" t="s">
        <v>87</v>
      </c>
      <c r="C2547" s="15" t="s">
        <v>88</v>
      </c>
      <c r="D2547" s="15" t="s">
        <v>432</v>
      </c>
      <c r="E2547" s="15" t="s">
        <v>116</v>
      </c>
      <c r="F2547" s="15" t="s">
        <v>35</v>
      </c>
      <c r="G2547" s="15" t="s">
        <v>74</v>
      </c>
      <c r="H2547" s="15" t="s">
        <v>13000</v>
      </c>
      <c r="I2547" s="15" t="s">
        <v>13001</v>
      </c>
      <c r="J2547" s="15" t="s">
        <v>13002</v>
      </c>
      <c r="K2547" s="15" t="s">
        <v>94</v>
      </c>
      <c r="L2547" s="15" t="s">
        <v>95</v>
      </c>
      <c r="M2547" s="15" t="s">
        <v>625</v>
      </c>
      <c r="N2547" s="15" t="s">
        <v>626</v>
      </c>
      <c r="O2547" s="15" t="s">
        <v>98</v>
      </c>
      <c r="P2547" s="15" t="s">
        <v>627</v>
      </c>
      <c r="Q2547" s="15" t="s">
        <v>628</v>
      </c>
      <c r="R2547" s="16">
        <v>44329</v>
      </c>
      <c r="S2547" s="17" t="s">
        <v>70</v>
      </c>
      <c r="T2547" s="20">
        <f>HYPERLINK("https://vnm.spiral.com.vn//uploaded/20210513/64f4836e-2a48-465a-b78c-3e15225b7d15.JPEG","08:58:07")</f>
      </c>
      <c r="U2547" s="20">
        <f>HYPERLINK("https://vnm.spiral.com.vn//uploaded/20210513/b45b1459-8f0e-4b77-a606-caa819f2e242.JPEG","09:34:05")</f>
      </c>
      <c r="V2547" s="18">
        <v>0.02497685185185185</v>
      </c>
      <c r="W2547" s="15" t="s">
        <v>13010</v>
      </c>
      <c r="X2547" s="15" t="s">
        <v>13011</v>
      </c>
      <c r="Y2547" s="15" t="s">
        <v>35</v>
      </c>
      <c r="Z2547" s="19">
        <v>0</v>
      </c>
      <c r="AA2547" s="15">
        <v>0</v>
      </c>
      <c r="AB2547" s="15" t="s">
        <v>35</v>
      </c>
    </row>
    <row r="2548">
      <c r="A2548" s="15">
        <v>2544</v>
      </c>
      <c r="B2548" s="15" t="s">
        <v>33</v>
      </c>
      <c r="C2548" s="15" t="s">
        <v>492</v>
      </c>
      <c r="D2548" s="15" t="s">
        <v>357</v>
      </c>
      <c r="E2548" s="15" t="s">
        <v>35</v>
      </c>
      <c r="F2548" s="15" t="s">
        <v>35</v>
      </c>
      <c r="G2548" s="15" t="s">
        <v>74</v>
      </c>
      <c r="H2548" s="15" t="s">
        <v>13012</v>
      </c>
      <c r="I2548" s="15" t="s">
        <v>13013</v>
      </c>
      <c r="J2548" s="15" t="s">
        <v>13014</v>
      </c>
      <c r="K2548" s="15" t="s">
        <v>540</v>
      </c>
      <c r="L2548" s="15" t="s">
        <v>541</v>
      </c>
      <c r="M2548" s="15" t="s">
        <v>78</v>
      </c>
      <c r="N2548" s="15" t="s">
        <v>79</v>
      </c>
      <c r="O2548" s="15" t="s">
        <v>82</v>
      </c>
      <c r="P2548" s="15" t="s">
        <v>1102</v>
      </c>
      <c r="Q2548" s="15" t="s">
        <v>1103</v>
      </c>
      <c r="R2548" s="16">
        <v>44329</v>
      </c>
      <c r="S2548" s="17" t="s">
        <v>70</v>
      </c>
      <c r="T2548" s="20">
        <f>HYPERLINK("https://vnm.spiral.com.vn//uploaded/20210513/6db183fe-7350-4962-923c-106e7be388fc.JPEG","09:17:44")</f>
      </c>
      <c r="U2548" s="20">
        <f>HYPERLINK("https://vnm.spiral.com.vn//uploaded/20210513/087c5d45-0ce8-4ef4-af11-2eb182c2490e.JPEG","09:33:50")</f>
      </c>
      <c r="V2548" s="18">
        <v>0.011180555555555555</v>
      </c>
      <c r="W2548" s="15" t="s">
        <v>13015</v>
      </c>
      <c r="X2548" s="15" t="s">
        <v>13016</v>
      </c>
      <c r="Y2548" s="15" t="s">
        <v>35</v>
      </c>
      <c r="Z2548" s="19">
        <v>0</v>
      </c>
      <c r="AA2548" s="15">
        <v>0</v>
      </c>
      <c r="AB2548" s="15" t="s">
        <v>35</v>
      </c>
    </row>
    <row r="2549">
      <c r="A2549" s="15">
        <v>2545</v>
      </c>
      <c r="B2549" s="15" t="s">
        <v>87</v>
      </c>
      <c r="C2549" s="15" t="s">
        <v>88</v>
      </c>
      <c r="D2549" s="15" t="s">
        <v>35</v>
      </c>
      <c r="E2549" s="15" t="s">
        <v>35</v>
      </c>
      <c r="F2549" s="15" t="s">
        <v>35</v>
      </c>
      <c r="G2549" s="15" t="s">
        <v>74</v>
      </c>
      <c r="H2549" s="15" t="s">
        <v>13017</v>
      </c>
      <c r="I2549" s="15" t="s">
        <v>13018</v>
      </c>
      <c r="J2549" s="15" t="s">
        <v>13019</v>
      </c>
      <c r="K2549" s="15" t="s">
        <v>888</v>
      </c>
      <c r="L2549" s="15" t="s">
        <v>889</v>
      </c>
      <c r="M2549" s="15" t="s">
        <v>924</v>
      </c>
      <c r="N2549" s="15" t="s">
        <v>925</v>
      </c>
      <c r="O2549" s="15" t="s">
        <v>82</v>
      </c>
      <c r="P2549" s="15" t="s">
        <v>5478</v>
      </c>
      <c r="Q2549" s="15" t="s">
        <v>5479</v>
      </c>
      <c r="R2549" s="16">
        <v>44329</v>
      </c>
      <c r="S2549" s="17" t="s">
        <v>70</v>
      </c>
      <c r="T2549" s="20">
        <f>HYPERLINK("https://vnm.spiral.com.vn//uploaded/20210513/4a12fb87-2066-4f07-b5da-353374ca49ab.JPEG","09:18:37")</f>
      </c>
      <c r="U2549" s="20">
        <f>HYPERLINK("https://vnm.spiral.com.vn//uploaded/20210513/b85e9276-4c86-4904-8585-557a7b6ac64f.JPEG","09:33:46")</f>
      </c>
      <c r="V2549" s="18">
        <v>0.010520833333333333</v>
      </c>
      <c r="W2549" s="15" t="s">
        <v>13020</v>
      </c>
      <c r="X2549" s="15" t="s">
        <v>13021</v>
      </c>
      <c r="Y2549" s="15" t="s">
        <v>35</v>
      </c>
      <c r="Z2549" s="19">
        <v>0</v>
      </c>
      <c r="AA2549" s="15">
        <v>0</v>
      </c>
      <c r="AB2549" s="15" t="s">
        <v>35</v>
      </c>
    </row>
    <row r="2550">
      <c r="A2550" s="15">
        <v>2546</v>
      </c>
      <c r="B2550" s="15" t="s">
        <v>87</v>
      </c>
      <c r="C2550" s="15" t="s">
        <v>88</v>
      </c>
      <c r="D2550" s="15" t="s">
        <v>35</v>
      </c>
      <c r="E2550" s="15" t="s">
        <v>35</v>
      </c>
      <c r="F2550" s="15" t="s">
        <v>35</v>
      </c>
      <c r="G2550" s="15" t="s">
        <v>74</v>
      </c>
      <c r="H2550" s="15" t="s">
        <v>13022</v>
      </c>
      <c r="I2550" s="15" t="s">
        <v>13023</v>
      </c>
      <c r="J2550" s="15" t="s">
        <v>13024</v>
      </c>
      <c r="K2550" s="15" t="s">
        <v>888</v>
      </c>
      <c r="L2550" s="15" t="s">
        <v>889</v>
      </c>
      <c r="M2550" s="15" t="s">
        <v>890</v>
      </c>
      <c r="N2550" s="15" t="s">
        <v>891</v>
      </c>
      <c r="O2550" s="15" t="s">
        <v>82</v>
      </c>
      <c r="P2550" s="15" t="s">
        <v>1547</v>
      </c>
      <c r="Q2550" s="15" t="s">
        <v>1548</v>
      </c>
      <c r="R2550" s="16">
        <v>44329</v>
      </c>
      <c r="S2550" s="17" t="s">
        <v>70</v>
      </c>
      <c r="T2550" s="20">
        <f>HYPERLINK("https://vnm.spiral.com.vn//uploaded/20210513/5F1C66A8-7E82-4EC9-B10A-9CD123260DEF.jpg","09:08:02")</f>
      </c>
      <c r="U2550" s="20">
        <f>HYPERLINK("https://vnm.spiral.com.vn//uploaded/20210513/37E192EB-52EA-44A6-B275-7BF256C21818.jpg","09:33:15")</f>
      </c>
      <c r="V2550" s="18">
        <v>0.017511574074074075</v>
      </c>
      <c r="W2550" s="15" t="s">
        <v>13025</v>
      </c>
      <c r="X2550" s="15" t="s">
        <v>13026</v>
      </c>
      <c r="Y2550" s="15" t="s">
        <v>35</v>
      </c>
      <c r="Z2550" s="19">
        <v>0</v>
      </c>
      <c r="AA2550" s="15">
        <v>0</v>
      </c>
      <c r="AB2550" s="15" t="s">
        <v>35</v>
      </c>
    </row>
    <row r="2551">
      <c r="A2551" s="15">
        <v>2547</v>
      </c>
      <c r="B2551" s="15" t="s">
        <v>343</v>
      </c>
      <c r="C2551" s="15" t="s">
        <v>344</v>
      </c>
      <c r="D2551" s="15" t="s">
        <v>357</v>
      </c>
      <c r="E2551" s="15" t="s">
        <v>90</v>
      </c>
      <c r="F2551" s="15" t="s">
        <v>35</v>
      </c>
      <c r="G2551" s="15" t="s">
        <v>74</v>
      </c>
      <c r="H2551" s="15" t="s">
        <v>13027</v>
      </c>
      <c r="I2551" s="15" t="s">
        <v>13028</v>
      </c>
      <c r="J2551" s="15" t="s">
        <v>13029</v>
      </c>
      <c r="K2551" s="15" t="s">
        <v>915</v>
      </c>
      <c r="L2551" s="15" t="s">
        <v>916</v>
      </c>
      <c r="M2551" s="15" t="s">
        <v>361</v>
      </c>
      <c r="N2551" s="15" t="s">
        <v>362</v>
      </c>
      <c r="O2551" s="15" t="s">
        <v>98</v>
      </c>
      <c r="P2551" s="15" t="s">
        <v>363</v>
      </c>
      <c r="Q2551" s="15" t="s">
        <v>364</v>
      </c>
      <c r="R2551" s="16">
        <v>44329</v>
      </c>
      <c r="S2551" s="17" t="s">
        <v>70</v>
      </c>
      <c r="T2551" s="20">
        <f>HYPERLINK("https://vnm.spiral.com.vn//uploaded/20210513/73B1C8D4-3A0F-4258-807B-988FBA2BC0A9.jpg","07:55:50")</f>
      </c>
      <c r="U2551" s="20">
        <f>HYPERLINK("https://vnm.spiral.com.vn//uploaded/20210513/B93DF0F4-5DE7-4344-8BF6-70B4B7F6B95C.jpg","09:32:54")</f>
      </c>
      <c r="V2551" s="18">
        <v>0.0674074074074074</v>
      </c>
      <c r="W2551" s="15" t="s">
        <v>13030</v>
      </c>
      <c r="X2551" s="15" t="s">
        <v>13031</v>
      </c>
      <c r="Y2551" s="15" t="s">
        <v>35</v>
      </c>
      <c r="Z2551" s="19">
        <v>0</v>
      </c>
      <c r="AA2551" s="15">
        <v>0</v>
      </c>
      <c r="AB2551" s="15" t="s">
        <v>35</v>
      </c>
    </row>
    <row r="2552">
      <c r="A2552" s="15">
        <v>2548</v>
      </c>
      <c r="B2552" s="15" t="s">
        <v>343</v>
      </c>
      <c r="C2552" s="15" t="s">
        <v>344</v>
      </c>
      <c r="D2552" s="15" t="s">
        <v>823</v>
      </c>
      <c r="E2552" s="15" t="s">
        <v>116</v>
      </c>
      <c r="F2552" s="15" t="s">
        <v>35</v>
      </c>
      <c r="G2552" s="15" t="s">
        <v>74</v>
      </c>
      <c r="H2552" s="15" t="s">
        <v>13032</v>
      </c>
      <c r="I2552" s="15" t="s">
        <v>13033</v>
      </c>
      <c r="J2552" s="15" t="s">
        <v>13034</v>
      </c>
      <c r="K2552" s="15" t="s">
        <v>540</v>
      </c>
      <c r="L2552" s="15" t="s">
        <v>541</v>
      </c>
      <c r="M2552" s="15" t="s">
        <v>584</v>
      </c>
      <c r="N2552" s="15" t="s">
        <v>585</v>
      </c>
      <c r="O2552" s="15" t="s">
        <v>98</v>
      </c>
      <c r="P2552" s="15" t="s">
        <v>827</v>
      </c>
      <c r="Q2552" s="15" t="s">
        <v>828</v>
      </c>
      <c r="R2552" s="16">
        <v>44329</v>
      </c>
      <c r="S2552" s="17" t="s">
        <v>35</v>
      </c>
      <c r="T2552" s="20">
        <f>HYPERLINK("https://vnm.spiral.com.vn//uploaded/20210513/64B5D82E-BBA3-435E-B54D-C59A9493F8D1.jpg","09:15:51")</f>
      </c>
      <c r="U2552" s="20">
        <f>HYPERLINK("https://vnm.spiral.com.vn//uploaded/20210513/9263875D-CAD3-4CA2-AA54-D3E20471C6D9.jpg","09:32:06")</f>
      </c>
      <c r="V2552" s="18">
        <v>0.011284722222222222</v>
      </c>
      <c r="W2552" s="15" t="s">
        <v>13035</v>
      </c>
      <c r="X2552" s="15" t="s">
        <v>13036</v>
      </c>
      <c r="Y2552" s="15" t="s">
        <v>35</v>
      </c>
      <c r="Z2552" s="19">
        <v>0</v>
      </c>
      <c r="AA2552" s="15">
        <v>0</v>
      </c>
      <c r="AB2552" s="15" t="s">
        <v>35</v>
      </c>
    </row>
    <row r="2553">
      <c r="A2553" s="15">
        <v>2549</v>
      </c>
      <c r="B2553" s="15" t="s">
        <v>343</v>
      </c>
      <c r="C2553" s="15" t="s">
        <v>344</v>
      </c>
      <c r="D2553" s="15" t="s">
        <v>1644</v>
      </c>
      <c r="E2553" s="15" t="s">
        <v>35</v>
      </c>
      <c r="F2553" s="15" t="s">
        <v>35</v>
      </c>
      <c r="G2553" s="15" t="s">
        <v>74</v>
      </c>
      <c r="H2553" s="15" t="s">
        <v>13037</v>
      </c>
      <c r="I2553" s="15" t="s">
        <v>13038</v>
      </c>
      <c r="J2553" s="15" t="s">
        <v>13039</v>
      </c>
      <c r="K2553" s="15" t="s">
        <v>584</v>
      </c>
      <c r="L2553" s="15" t="s">
        <v>585</v>
      </c>
      <c r="M2553" s="15" t="s">
        <v>827</v>
      </c>
      <c r="N2553" s="15" t="s">
        <v>828</v>
      </c>
      <c r="O2553" s="15" t="s">
        <v>82</v>
      </c>
      <c r="P2553" s="15" t="s">
        <v>2319</v>
      </c>
      <c r="Q2553" s="15" t="s">
        <v>2320</v>
      </c>
      <c r="R2553" s="16">
        <v>44329</v>
      </c>
      <c r="S2553" s="17" t="s">
        <v>70</v>
      </c>
      <c r="T2553" s="20">
        <f>HYPERLINK("https://vnm.spiral.com.vn//uploaded/20210513/B662E0DB-C197-4692-8085-F52CAD3D579D.jpg","09:16:27")</f>
      </c>
      <c r="U2553" s="20">
        <f>HYPERLINK("https://vnm.spiral.com.vn//uploaded/20210513/2BFC9B79-00DD-4B92-9AC0-ED16702D3B6A.jpg","09:31:57")</f>
      </c>
      <c r="V2553" s="18">
        <v>0.010763888888888889</v>
      </c>
      <c r="W2553" s="15" t="s">
        <v>13040</v>
      </c>
      <c r="X2553" s="15" t="s">
        <v>13041</v>
      </c>
      <c r="Y2553" s="15" t="s">
        <v>35</v>
      </c>
      <c r="Z2553" s="19">
        <v>0</v>
      </c>
      <c r="AA2553" s="15">
        <v>0</v>
      </c>
      <c r="AB2553" s="15" t="s">
        <v>35</v>
      </c>
    </row>
    <row r="2554">
      <c r="A2554" s="15">
        <v>2550</v>
      </c>
      <c r="B2554" s="15" t="s">
        <v>103</v>
      </c>
      <c r="C2554" s="15" t="s">
        <v>104</v>
      </c>
      <c r="D2554" s="15" t="s">
        <v>432</v>
      </c>
      <c r="E2554" s="15" t="s">
        <v>116</v>
      </c>
      <c r="F2554" s="15" t="s">
        <v>35</v>
      </c>
      <c r="G2554" s="15" t="s">
        <v>74</v>
      </c>
      <c r="H2554" s="15" t="s">
        <v>13042</v>
      </c>
      <c r="I2554" s="15" t="s">
        <v>13043</v>
      </c>
      <c r="J2554" s="15" t="s">
        <v>13044</v>
      </c>
      <c r="K2554" s="15" t="s">
        <v>915</v>
      </c>
      <c r="L2554" s="15" t="s">
        <v>916</v>
      </c>
      <c r="M2554" s="15" t="s">
        <v>897</v>
      </c>
      <c r="N2554" s="15" t="s">
        <v>898</v>
      </c>
      <c r="O2554" s="15" t="s">
        <v>82</v>
      </c>
      <c r="P2554" s="15" t="s">
        <v>1446</v>
      </c>
      <c r="Q2554" s="15" t="s">
        <v>1447</v>
      </c>
      <c r="R2554" s="16">
        <v>44329</v>
      </c>
      <c r="S2554" s="17" t="s">
        <v>70</v>
      </c>
      <c r="T2554" s="20">
        <f>HYPERLINK("https://vnm.spiral.com.vn//uploaded/20210513/6a7be28e-b498-4398-9dd4-e4b0366624de.JPEG","07:28:06")</f>
      </c>
      <c r="U2554" s="20">
        <f>HYPERLINK("https://vnm.spiral.com.vn//uploaded/20210513/847977da-94b1-4d10-ab30-ab0bc76cbafe.JPEG","09:31:50")</f>
      </c>
      <c r="V2554" s="18">
        <v>0.08592592592592592</v>
      </c>
      <c r="W2554" s="15" t="s">
        <v>13045</v>
      </c>
      <c r="X2554" s="15" t="s">
        <v>13046</v>
      </c>
      <c r="Y2554" s="15" t="s">
        <v>35</v>
      </c>
      <c r="Z2554" s="19">
        <v>0</v>
      </c>
      <c r="AA2554" s="15">
        <v>0</v>
      </c>
      <c r="AB2554" s="15" t="s">
        <v>35</v>
      </c>
    </row>
    <row r="2555">
      <c r="A2555" s="15">
        <v>2551</v>
      </c>
      <c r="B2555" s="15" t="s">
        <v>343</v>
      </c>
      <c r="C2555" s="15" t="s">
        <v>344</v>
      </c>
      <c r="D2555" s="15" t="s">
        <v>35</v>
      </c>
      <c r="E2555" s="15" t="s">
        <v>35</v>
      </c>
      <c r="F2555" s="15" t="s">
        <v>35</v>
      </c>
      <c r="G2555" s="15" t="s">
        <v>74</v>
      </c>
      <c r="H2555" s="15" t="s">
        <v>13047</v>
      </c>
      <c r="I2555" s="15" t="s">
        <v>13048</v>
      </c>
      <c r="J2555" s="15" t="s">
        <v>13034</v>
      </c>
      <c r="K2555" s="15" t="s">
        <v>584</v>
      </c>
      <c r="L2555" s="15" t="s">
        <v>585</v>
      </c>
      <c r="M2555" s="15" t="s">
        <v>827</v>
      </c>
      <c r="N2555" s="15" t="s">
        <v>828</v>
      </c>
      <c r="O2555" s="15" t="s">
        <v>82</v>
      </c>
      <c r="P2555" s="15" t="s">
        <v>2471</v>
      </c>
      <c r="Q2555" s="15" t="s">
        <v>2472</v>
      </c>
      <c r="R2555" s="16">
        <v>44329</v>
      </c>
      <c r="S2555" s="17" t="s">
        <v>70</v>
      </c>
      <c r="T2555" s="20">
        <f>HYPERLINK("https://vnm.spiral.com.vn//uploaded/20210513/799687D6-A5D7-4A51-AF62-B903AFCE7953.jpg","09:16:08")</f>
      </c>
      <c r="U2555" s="20">
        <f>HYPERLINK("https://vnm.spiral.com.vn//uploaded/20210513/A49D1E53-49B5-4FB7-80F3-F82C7BA637CA.jpg","09:31:41")</f>
      </c>
      <c r="V2555" s="18">
        <v>0.010798611111111111</v>
      </c>
      <c r="W2555" s="15" t="s">
        <v>13049</v>
      </c>
      <c r="X2555" s="15" t="s">
        <v>13050</v>
      </c>
      <c r="Y2555" s="15" t="s">
        <v>35</v>
      </c>
      <c r="Z2555" s="19">
        <v>0</v>
      </c>
      <c r="AA2555" s="15">
        <v>0</v>
      </c>
      <c r="AB2555" s="15" t="s">
        <v>35</v>
      </c>
    </row>
    <row r="2556">
      <c r="A2556" s="15">
        <v>2552</v>
      </c>
      <c r="B2556" s="15" t="s">
        <v>87</v>
      </c>
      <c r="C2556" s="15" t="s">
        <v>88</v>
      </c>
      <c r="D2556" s="15" t="s">
        <v>35</v>
      </c>
      <c r="E2556" s="15" t="s">
        <v>35</v>
      </c>
      <c r="F2556" s="15" t="s">
        <v>35</v>
      </c>
      <c r="G2556" s="15" t="s">
        <v>74</v>
      </c>
      <c r="H2556" s="15" t="s">
        <v>13051</v>
      </c>
      <c r="I2556" s="15" t="s">
        <v>13052</v>
      </c>
      <c r="J2556" s="15" t="s">
        <v>13053</v>
      </c>
      <c r="K2556" s="15" t="s">
        <v>888</v>
      </c>
      <c r="L2556" s="15" t="s">
        <v>889</v>
      </c>
      <c r="M2556" s="15" t="s">
        <v>924</v>
      </c>
      <c r="N2556" s="15" t="s">
        <v>925</v>
      </c>
      <c r="O2556" s="15" t="s">
        <v>82</v>
      </c>
      <c r="P2556" s="15" t="s">
        <v>926</v>
      </c>
      <c r="Q2556" s="15" t="s">
        <v>927</v>
      </c>
      <c r="R2556" s="16">
        <v>44329</v>
      </c>
      <c r="S2556" s="17" t="s">
        <v>70</v>
      </c>
      <c r="T2556" s="20">
        <f>HYPERLINK("https://vnm.spiral.com.vn//uploaded/20210513/B958D385-D24E-42E8-B3CC-19EB7EF88754.jpg","09:04:15")</f>
      </c>
      <c r="U2556" s="20">
        <f>HYPERLINK("https://vnm.spiral.com.vn//uploaded/20210513/D14B5307-FB1A-4804-ACF1-8C6942060DDB.jpg","09:31:30")</f>
      </c>
      <c r="V2556" s="18">
        <v>0.01892361111111111</v>
      </c>
      <c r="W2556" s="15" t="s">
        <v>13054</v>
      </c>
      <c r="X2556" s="15" t="s">
        <v>13055</v>
      </c>
      <c r="Y2556" s="15" t="s">
        <v>35</v>
      </c>
      <c r="Z2556" s="19">
        <v>0</v>
      </c>
      <c r="AA2556" s="15">
        <v>0</v>
      </c>
      <c r="AB2556" s="15" t="s">
        <v>35</v>
      </c>
    </row>
    <row r="2557">
      <c r="A2557" s="15">
        <v>2553</v>
      </c>
      <c r="B2557" s="15" t="s">
        <v>49</v>
      </c>
      <c r="C2557" s="15" t="s">
        <v>369</v>
      </c>
      <c r="D2557" s="15" t="s">
        <v>432</v>
      </c>
      <c r="E2557" s="15" t="s">
        <v>116</v>
      </c>
      <c r="F2557" s="15" t="s">
        <v>35</v>
      </c>
      <c r="G2557" s="15" t="s">
        <v>74</v>
      </c>
      <c r="H2557" s="15" t="s">
        <v>13056</v>
      </c>
      <c r="I2557" s="15" t="s">
        <v>13057</v>
      </c>
      <c r="J2557" s="15" t="s">
        <v>13058</v>
      </c>
      <c r="K2557" s="15" t="s">
        <v>166</v>
      </c>
      <c r="L2557" s="15" t="s">
        <v>167</v>
      </c>
      <c r="M2557" s="15" t="s">
        <v>168</v>
      </c>
      <c r="N2557" s="15" t="s">
        <v>169</v>
      </c>
      <c r="O2557" s="15" t="s">
        <v>82</v>
      </c>
      <c r="P2557" s="15" t="s">
        <v>5228</v>
      </c>
      <c r="Q2557" s="15" t="s">
        <v>5229</v>
      </c>
      <c r="R2557" s="16">
        <v>44329</v>
      </c>
      <c r="S2557" s="17" t="s">
        <v>70</v>
      </c>
      <c r="T2557" s="20">
        <f>HYPERLINK("https://vnm.spiral.com.vn//uploaded/20210513/C7B2CF35-8416-4E56-8178-CE56AE2A4AEF.jpg","08:49:33")</f>
      </c>
      <c r="U2557" s="20">
        <f>HYPERLINK("https://vnm.spiral.com.vn//uploaded/20210513/2728B78C-F1FA-4B04-887D-FBED5CB4D000.jpg","09:31:02")</f>
      </c>
      <c r="V2557" s="18">
        <v>0.02880787037037037</v>
      </c>
      <c r="W2557" s="15" t="s">
        <v>13059</v>
      </c>
      <c r="X2557" s="15" t="s">
        <v>13060</v>
      </c>
      <c r="Y2557" s="15" t="s">
        <v>35</v>
      </c>
      <c r="Z2557" s="19">
        <v>0</v>
      </c>
      <c r="AA2557" s="15">
        <v>0</v>
      </c>
      <c r="AB2557" s="15" t="s">
        <v>35</v>
      </c>
    </row>
    <row r="2558">
      <c r="A2558" s="15">
        <v>2554</v>
      </c>
      <c r="B2558" s="15" t="s">
        <v>87</v>
      </c>
      <c r="C2558" s="15" t="s">
        <v>88</v>
      </c>
      <c r="D2558" s="15" t="s">
        <v>357</v>
      </c>
      <c r="E2558" s="15" t="s">
        <v>90</v>
      </c>
      <c r="F2558" s="15" t="s">
        <v>35</v>
      </c>
      <c r="G2558" s="15" t="s">
        <v>74</v>
      </c>
      <c r="H2558" s="15" t="s">
        <v>13061</v>
      </c>
      <c r="I2558" s="15" t="s">
        <v>13062</v>
      </c>
      <c r="J2558" s="15" t="s">
        <v>13063</v>
      </c>
      <c r="K2558" s="15" t="s">
        <v>94</v>
      </c>
      <c r="L2558" s="15" t="s">
        <v>95</v>
      </c>
      <c r="M2558" s="15" t="s">
        <v>1570</v>
      </c>
      <c r="N2558" s="15" t="s">
        <v>1571</v>
      </c>
      <c r="O2558" s="15" t="s">
        <v>98</v>
      </c>
      <c r="P2558" s="15" t="s">
        <v>2024</v>
      </c>
      <c r="Q2558" s="15" t="s">
        <v>2025</v>
      </c>
      <c r="R2558" s="16">
        <v>44329</v>
      </c>
      <c r="S2558" s="17" t="s">
        <v>70</v>
      </c>
      <c r="T2558" s="20">
        <f>HYPERLINK("https://vnm.spiral.com.vn//uploaded/20210513/5d4ed24e-5ff2-43c7-aa42-6caafc569fa3.JPEG","09:00:41")</f>
      </c>
      <c r="U2558" s="20">
        <f>HYPERLINK("https://vnm.spiral.com.vn//uploaded/20210513/f660faf2-e67a-4277-94b0-7255daac56ce.JPEG","09:30:39")</f>
      </c>
      <c r="V2558" s="18">
        <v>0.020810185185185185</v>
      </c>
      <c r="W2558" s="15" t="s">
        <v>13064</v>
      </c>
      <c r="X2558" s="15" t="s">
        <v>13065</v>
      </c>
      <c r="Y2558" s="15" t="s">
        <v>35</v>
      </c>
      <c r="Z2558" s="19">
        <v>0</v>
      </c>
      <c r="AA2558" s="15">
        <v>0</v>
      </c>
      <c r="AB2558" s="15" t="s">
        <v>35</v>
      </c>
    </row>
    <row r="2559">
      <c r="A2559" s="15">
        <v>2555</v>
      </c>
      <c r="B2559" s="15" t="s">
        <v>87</v>
      </c>
      <c r="C2559" s="15" t="s">
        <v>88</v>
      </c>
      <c r="D2559" s="15" t="s">
        <v>115</v>
      </c>
      <c r="E2559" s="15" t="s">
        <v>116</v>
      </c>
      <c r="F2559" s="15" t="s">
        <v>35</v>
      </c>
      <c r="G2559" s="15" t="s">
        <v>74</v>
      </c>
      <c r="H2559" s="15" t="s">
        <v>13066</v>
      </c>
      <c r="I2559" s="15" t="s">
        <v>13067</v>
      </c>
      <c r="J2559" s="15" t="s">
        <v>13068</v>
      </c>
      <c r="K2559" s="15" t="s">
        <v>120</v>
      </c>
      <c r="L2559" s="15" t="s">
        <v>121</v>
      </c>
      <c r="M2559" s="15" t="s">
        <v>122</v>
      </c>
      <c r="N2559" s="15" t="s">
        <v>123</v>
      </c>
      <c r="O2559" s="15" t="s">
        <v>82</v>
      </c>
      <c r="P2559" s="15" t="s">
        <v>1920</v>
      </c>
      <c r="Q2559" s="15" t="s">
        <v>1921</v>
      </c>
      <c r="R2559" s="16">
        <v>44329</v>
      </c>
      <c r="S2559" s="17" t="s">
        <v>70</v>
      </c>
      <c r="T2559" s="20">
        <f>HYPERLINK("https://vnm.spiral.com.vn//uploaded/20210513/5898985f-44d6-4e83-a245-bd2fc4ea66d3.JPEG","07:55:00")</f>
      </c>
      <c r="U2559" s="20">
        <f>HYPERLINK("https://vnm.spiral.com.vn//uploaded/20210513/a83d51e5-8f0f-45cb-a9bb-130de1d92b48.JPEG","09:30:34")</f>
      </c>
      <c r="V2559" s="18">
        <v>0.06636574074074074</v>
      </c>
      <c r="W2559" s="15" t="s">
        <v>13069</v>
      </c>
      <c r="X2559" s="15" t="s">
        <v>13070</v>
      </c>
      <c r="Y2559" s="15" t="s">
        <v>35</v>
      </c>
      <c r="Z2559" s="19">
        <v>0</v>
      </c>
      <c r="AA2559" s="15">
        <v>0</v>
      </c>
      <c r="AB2559" s="15" t="s">
        <v>35</v>
      </c>
    </row>
    <row r="2560">
      <c r="A2560" s="15">
        <v>2556</v>
      </c>
      <c r="B2560" s="15" t="s">
        <v>87</v>
      </c>
      <c r="C2560" s="15" t="s">
        <v>88</v>
      </c>
      <c r="D2560" s="15" t="s">
        <v>115</v>
      </c>
      <c r="E2560" s="15" t="s">
        <v>116</v>
      </c>
      <c r="F2560" s="15" t="s">
        <v>35</v>
      </c>
      <c r="G2560" s="15" t="s">
        <v>74</v>
      </c>
      <c r="H2560" s="15" t="s">
        <v>13071</v>
      </c>
      <c r="I2560" s="15" t="s">
        <v>13072</v>
      </c>
      <c r="J2560" s="15" t="s">
        <v>13073</v>
      </c>
      <c r="K2560" s="15" t="s">
        <v>120</v>
      </c>
      <c r="L2560" s="15" t="s">
        <v>121</v>
      </c>
      <c r="M2560" s="15" t="s">
        <v>1073</v>
      </c>
      <c r="N2560" s="15" t="s">
        <v>1074</v>
      </c>
      <c r="O2560" s="15" t="s">
        <v>82</v>
      </c>
      <c r="P2560" s="15" t="s">
        <v>2193</v>
      </c>
      <c r="Q2560" s="15" t="s">
        <v>2194</v>
      </c>
      <c r="R2560" s="16">
        <v>44329</v>
      </c>
      <c r="S2560" s="17" t="s">
        <v>70</v>
      </c>
      <c r="T2560" s="20">
        <f>HYPERLINK("https://vnm.spiral.com.vn//uploaded/20210513/54a8f4c1-c1d9-40a6-a0e7-e3d2d267c1dc.JPEG","07:40:06")</f>
      </c>
      <c r="U2560" s="20">
        <f>HYPERLINK("https://vnm.spiral.com.vn//uploaded/20210513/9799b3d5-aa64-47bc-b3bd-c86957882742.JPEG","09:29:49")</f>
      </c>
      <c r="V2560" s="18">
        <v>0.07619212962962962</v>
      </c>
      <c r="W2560" s="15" t="s">
        <v>13074</v>
      </c>
      <c r="X2560" s="15" t="s">
        <v>13075</v>
      </c>
      <c r="Y2560" s="15" t="s">
        <v>35</v>
      </c>
      <c r="Z2560" s="19">
        <v>0</v>
      </c>
      <c r="AA2560" s="15">
        <v>0</v>
      </c>
      <c r="AB2560" s="15" t="s">
        <v>35</v>
      </c>
    </row>
    <row r="2561">
      <c r="A2561" s="15">
        <v>2557</v>
      </c>
      <c r="B2561" s="15" t="s">
        <v>103</v>
      </c>
      <c r="C2561" s="15" t="s">
        <v>186</v>
      </c>
      <c r="D2561" s="15" t="s">
        <v>135</v>
      </c>
      <c r="E2561" s="15" t="s">
        <v>116</v>
      </c>
      <c r="F2561" s="15" t="s">
        <v>35</v>
      </c>
      <c r="G2561" s="15" t="s">
        <v>74</v>
      </c>
      <c r="H2561" s="15" t="s">
        <v>13076</v>
      </c>
      <c r="I2561" s="15" t="s">
        <v>13077</v>
      </c>
      <c r="J2561" s="15" t="s">
        <v>13078</v>
      </c>
      <c r="K2561" s="15" t="s">
        <v>436</v>
      </c>
      <c r="L2561" s="15" t="s">
        <v>437</v>
      </c>
      <c r="M2561" s="15" t="s">
        <v>438</v>
      </c>
      <c r="N2561" s="15" t="s">
        <v>439</v>
      </c>
      <c r="O2561" s="15" t="s">
        <v>82</v>
      </c>
      <c r="P2561" s="15" t="s">
        <v>1125</v>
      </c>
      <c r="Q2561" s="15" t="s">
        <v>1126</v>
      </c>
      <c r="R2561" s="16">
        <v>44329</v>
      </c>
      <c r="S2561" s="17" t="s">
        <v>70</v>
      </c>
      <c r="T2561" s="20">
        <f>HYPERLINK("https://vnm.spiral.com.vn//uploaded/20210513/AECF167C-FFE7-4EB7-B581-95B3419AEC8E.jpg","07:58:47")</f>
      </c>
      <c r="U2561" s="20">
        <f>HYPERLINK("https://vnm.spiral.com.vn//uploaded/20210513/56BE4B88-BF73-4799-AC0E-56C20459C048.jpg","09:29:46")</f>
      </c>
      <c r="V2561" s="18">
        <v>0.06318287037037038</v>
      </c>
      <c r="W2561" s="15" t="s">
        <v>13079</v>
      </c>
      <c r="X2561" s="15" t="s">
        <v>13080</v>
      </c>
      <c r="Y2561" s="15" t="s">
        <v>35</v>
      </c>
      <c r="Z2561" s="19">
        <v>0</v>
      </c>
      <c r="AA2561" s="15">
        <v>0</v>
      </c>
      <c r="AB2561" s="15" t="s">
        <v>35</v>
      </c>
    </row>
    <row r="2562">
      <c r="A2562" s="15">
        <v>2558</v>
      </c>
      <c r="B2562" s="15" t="s">
        <v>87</v>
      </c>
      <c r="C2562" s="15" t="s">
        <v>88</v>
      </c>
      <c r="D2562" s="15" t="s">
        <v>35</v>
      </c>
      <c r="E2562" s="15" t="s">
        <v>35</v>
      </c>
      <c r="F2562" s="15" t="s">
        <v>35</v>
      </c>
      <c r="G2562" s="15" t="s">
        <v>74</v>
      </c>
      <c r="H2562" s="15" t="s">
        <v>13081</v>
      </c>
      <c r="I2562" s="15" t="s">
        <v>13082</v>
      </c>
      <c r="J2562" s="15" t="s">
        <v>13083</v>
      </c>
      <c r="K2562" s="15" t="s">
        <v>190</v>
      </c>
      <c r="L2562" s="15" t="s">
        <v>191</v>
      </c>
      <c r="M2562" s="15" t="s">
        <v>888</v>
      </c>
      <c r="N2562" s="15" t="s">
        <v>889</v>
      </c>
      <c r="O2562" s="15" t="s">
        <v>98</v>
      </c>
      <c r="P2562" s="15" t="s">
        <v>1666</v>
      </c>
      <c r="Q2562" s="15" t="s">
        <v>1667</v>
      </c>
      <c r="R2562" s="16">
        <v>44329</v>
      </c>
      <c r="S2562" s="17" t="s">
        <v>35</v>
      </c>
      <c r="T2562" s="20">
        <f>HYPERLINK("https://vnm.spiral.com.vn//uploaded/20210513/cc380931-5063-4906-a5fc-db2d2d7abbd5.JPEG","08:59:24")</f>
      </c>
      <c r="U2562" s="20">
        <f>HYPERLINK("https://vnm.spiral.com.vn//uploaded/20210513/d399a70c-955c-4b2a-81ec-57bd37d26ec5.JPEG","09:29:22")</f>
      </c>
      <c r="V2562" s="18">
        <v>0.020810185185185185</v>
      </c>
      <c r="W2562" s="15" t="s">
        <v>13084</v>
      </c>
      <c r="X2562" s="15" t="s">
        <v>13085</v>
      </c>
      <c r="Y2562" s="15" t="s">
        <v>35</v>
      </c>
      <c r="Z2562" s="19">
        <v>0</v>
      </c>
      <c r="AA2562" s="15">
        <v>0</v>
      </c>
      <c r="AB2562" s="15" t="s">
        <v>35</v>
      </c>
    </row>
    <row r="2563">
      <c r="A2563" s="15">
        <v>2559</v>
      </c>
      <c r="B2563" s="15" t="s">
        <v>33</v>
      </c>
      <c r="C2563" s="15" t="s">
        <v>979</v>
      </c>
      <c r="D2563" s="15" t="s">
        <v>35</v>
      </c>
      <c r="E2563" s="15" t="s">
        <v>35</v>
      </c>
      <c r="F2563" s="15" t="s">
        <v>35</v>
      </c>
      <c r="G2563" s="15" t="s">
        <v>74</v>
      </c>
      <c r="H2563" s="15" t="s">
        <v>13086</v>
      </c>
      <c r="I2563" s="15" t="s">
        <v>13087</v>
      </c>
      <c r="J2563" s="15" t="s">
        <v>13088</v>
      </c>
      <c r="K2563" s="15" t="s">
        <v>540</v>
      </c>
      <c r="L2563" s="15" t="s">
        <v>541</v>
      </c>
      <c r="M2563" s="15" t="s">
        <v>769</v>
      </c>
      <c r="N2563" s="15" t="s">
        <v>770</v>
      </c>
      <c r="O2563" s="15" t="s">
        <v>82</v>
      </c>
      <c r="P2563" s="15" t="s">
        <v>3034</v>
      </c>
      <c r="Q2563" s="15" t="s">
        <v>3035</v>
      </c>
      <c r="R2563" s="16">
        <v>44329</v>
      </c>
      <c r="S2563" s="17" t="s">
        <v>70</v>
      </c>
      <c r="T2563" s="20">
        <f>HYPERLINK("https://vnm.spiral.com.vn//uploaded/20210513/c494622a-53c4-4053-be02-ac84575c90cd.JPEG","08:34:40")</f>
      </c>
      <c r="U2563" s="20">
        <f>HYPERLINK("https://vnm.spiral.com.vn//uploaded/20210513/4e6d0e91-454d-4ce8-932e-4f819f4a3a8f.JPEG","09:29:13")</f>
      </c>
      <c r="V2563" s="18">
        <v>0.03788194444444445</v>
      </c>
      <c r="W2563" s="15" t="s">
        <v>13089</v>
      </c>
      <c r="X2563" s="15" t="s">
        <v>13090</v>
      </c>
      <c r="Y2563" s="15" t="s">
        <v>35</v>
      </c>
      <c r="Z2563" s="19">
        <v>0</v>
      </c>
      <c r="AA2563" s="15">
        <v>0</v>
      </c>
      <c r="AB2563" s="15" t="s">
        <v>35</v>
      </c>
    </row>
    <row r="2564">
      <c r="A2564" s="15">
        <v>2560</v>
      </c>
      <c r="B2564" s="15" t="s">
        <v>343</v>
      </c>
      <c r="C2564" s="15" t="s">
        <v>344</v>
      </c>
      <c r="D2564" s="15" t="s">
        <v>432</v>
      </c>
      <c r="E2564" s="15" t="s">
        <v>116</v>
      </c>
      <c r="F2564" s="15" t="s">
        <v>35</v>
      </c>
      <c r="G2564" s="15" t="s">
        <v>74</v>
      </c>
      <c r="H2564" s="15" t="s">
        <v>13091</v>
      </c>
      <c r="I2564" s="15" t="s">
        <v>13092</v>
      </c>
      <c r="J2564" s="15" t="s">
        <v>13093</v>
      </c>
      <c r="K2564" s="15" t="s">
        <v>512</v>
      </c>
      <c r="L2564" s="15" t="s">
        <v>513</v>
      </c>
      <c r="M2564" s="15" t="s">
        <v>514</v>
      </c>
      <c r="N2564" s="15" t="s">
        <v>515</v>
      </c>
      <c r="O2564" s="15" t="s">
        <v>82</v>
      </c>
      <c r="P2564" s="15" t="s">
        <v>523</v>
      </c>
      <c r="Q2564" s="15" t="s">
        <v>524</v>
      </c>
      <c r="R2564" s="16">
        <v>44329</v>
      </c>
      <c r="S2564" s="17" t="s">
        <v>70</v>
      </c>
      <c r="T2564" s="20">
        <f>HYPERLINK("https://vnm.spiral.com.vn//uploaded/20210513/1128231D-8979-4341-931B-7B92F1C5F99B.jpg","08:01:11")</f>
      </c>
      <c r="U2564" s="20">
        <f>HYPERLINK("https://vnm.spiral.com.vn//uploaded/20210513/F66AE192-2754-44EE-85F5-76CB47ADDA35.jpg","09:28:31")</f>
      </c>
      <c r="V2564" s="18">
        <v>0.060648148148148145</v>
      </c>
      <c r="W2564" s="15" t="s">
        <v>13094</v>
      </c>
      <c r="X2564" s="15" t="s">
        <v>13095</v>
      </c>
      <c r="Y2564" s="15" t="s">
        <v>35</v>
      </c>
      <c r="Z2564" s="19">
        <v>0</v>
      </c>
      <c r="AA2564" s="15">
        <v>0</v>
      </c>
      <c r="AB2564" s="15" t="s">
        <v>35</v>
      </c>
    </row>
    <row r="2565">
      <c r="A2565" s="15">
        <v>2561</v>
      </c>
      <c r="B2565" s="15" t="s">
        <v>87</v>
      </c>
      <c r="C2565" s="15" t="s">
        <v>88</v>
      </c>
      <c r="D2565" s="15" t="s">
        <v>115</v>
      </c>
      <c r="E2565" s="15" t="s">
        <v>116</v>
      </c>
      <c r="F2565" s="15" t="s">
        <v>35</v>
      </c>
      <c r="G2565" s="15" t="s">
        <v>74</v>
      </c>
      <c r="H2565" s="15" t="s">
        <v>13096</v>
      </c>
      <c r="I2565" s="15" t="s">
        <v>13097</v>
      </c>
      <c r="J2565" s="15" t="s">
        <v>13098</v>
      </c>
      <c r="K2565" s="15" t="s">
        <v>120</v>
      </c>
      <c r="L2565" s="15" t="s">
        <v>121</v>
      </c>
      <c r="M2565" s="15" t="s">
        <v>122</v>
      </c>
      <c r="N2565" s="15" t="s">
        <v>123</v>
      </c>
      <c r="O2565" s="15" t="s">
        <v>82</v>
      </c>
      <c r="P2565" s="15" t="s">
        <v>3647</v>
      </c>
      <c r="Q2565" s="15" t="s">
        <v>3648</v>
      </c>
      <c r="R2565" s="16">
        <v>44329</v>
      </c>
      <c r="S2565" s="17" t="s">
        <v>70</v>
      </c>
      <c r="T2565" s="20">
        <f>HYPERLINK("https://vnm.spiral.com.vn//uploaded/20210513/8096468e-a17c-48d4-aff9-0c972b2e4337.jpg","07:55:06")</f>
      </c>
      <c r="U2565" s="20">
        <f>HYPERLINK("https://vnm.spiral.com.vn//uploaded/20210513/d4887100-41f6-4093-877e-03b6eb5b5df3.jpg","09:28:29")</f>
      </c>
      <c r="V2565" s="18">
        <v>0.06484953703703704</v>
      </c>
      <c r="W2565" s="15" t="s">
        <v>13099</v>
      </c>
      <c r="X2565" s="15" t="s">
        <v>13100</v>
      </c>
      <c r="Y2565" s="15" t="s">
        <v>35</v>
      </c>
      <c r="Z2565" s="19">
        <v>0</v>
      </c>
      <c r="AA2565" s="15">
        <v>0</v>
      </c>
      <c r="AB2565" s="15" t="s">
        <v>35</v>
      </c>
    </row>
    <row r="2566">
      <c r="A2566" s="15">
        <v>2562</v>
      </c>
      <c r="B2566" s="15" t="s">
        <v>87</v>
      </c>
      <c r="C2566" s="15" t="s">
        <v>88</v>
      </c>
      <c r="D2566" s="15" t="s">
        <v>89</v>
      </c>
      <c r="E2566" s="15" t="s">
        <v>90</v>
      </c>
      <c r="F2566" s="15" t="s">
        <v>35</v>
      </c>
      <c r="G2566" s="15" t="s">
        <v>74</v>
      </c>
      <c r="H2566" s="15" t="s">
        <v>2525</v>
      </c>
      <c r="I2566" s="15" t="s">
        <v>2526</v>
      </c>
      <c r="J2566" s="15" t="s">
        <v>2527</v>
      </c>
      <c r="K2566" s="15" t="s">
        <v>94</v>
      </c>
      <c r="L2566" s="15" t="s">
        <v>95</v>
      </c>
      <c r="M2566" s="15" t="s">
        <v>1554</v>
      </c>
      <c r="N2566" s="15" t="s">
        <v>1555</v>
      </c>
      <c r="O2566" s="15" t="s">
        <v>98</v>
      </c>
      <c r="P2566" s="15" t="s">
        <v>2528</v>
      </c>
      <c r="Q2566" s="15" t="s">
        <v>2529</v>
      </c>
      <c r="R2566" s="16">
        <v>44329</v>
      </c>
      <c r="S2566" s="17" t="s">
        <v>70</v>
      </c>
      <c r="T2566" s="20">
        <f>HYPERLINK("https://vnm.spiral.com.vn//uploaded/20210513/8634B916-E0B1-4C91-A39C-E450D230DDDF.jpg","08:29:58")</f>
      </c>
      <c r="U2566" s="20">
        <f>HYPERLINK("https://vnm.spiral.com.vn//uploaded/20210513/772734E7-DAE7-4E59-9319-40BC2FC39FA5.jpg","09:28:20")</f>
      </c>
      <c r="V2566" s="18">
        <v>0.040532407407407406</v>
      </c>
      <c r="W2566" s="15" t="s">
        <v>13101</v>
      </c>
      <c r="X2566" s="15" t="s">
        <v>13102</v>
      </c>
      <c r="Y2566" s="15" t="s">
        <v>35</v>
      </c>
      <c r="Z2566" s="19">
        <v>0</v>
      </c>
      <c r="AA2566" s="15">
        <v>0</v>
      </c>
      <c r="AB2566" s="15" t="s">
        <v>35</v>
      </c>
    </row>
    <row r="2567">
      <c r="A2567" s="15">
        <v>2563</v>
      </c>
      <c r="B2567" s="15" t="s">
        <v>343</v>
      </c>
      <c r="C2567" s="15" t="s">
        <v>344</v>
      </c>
      <c r="D2567" s="15" t="s">
        <v>432</v>
      </c>
      <c r="E2567" s="15" t="s">
        <v>116</v>
      </c>
      <c r="F2567" s="15" t="s">
        <v>35</v>
      </c>
      <c r="G2567" s="15" t="s">
        <v>74</v>
      </c>
      <c r="H2567" s="15" t="s">
        <v>13103</v>
      </c>
      <c r="I2567" s="15" t="s">
        <v>13104</v>
      </c>
      <c r="J2567" s="15" t="s">
        <v>13105</v>
      </c>
      <c r="K2567" s="15" t="s">
        <v>512</v>
      </c>
      <c r="L2567" s="15" t="s">
        <v>513</v>
      </c>
      <c r="M2567" s="15" t="s">
        <v>514</v>
      </c>
      <c r="N2567" s="15" t="s">
        <v>515</v>
      </c>
      <c r="O2567" s="15" t="s">
        <v>82</v>
      </c>
      <c r="P2567" s="15" t="s">
        <v>516</v>
      </c>
      <c r="Q2567" s="15" t="s">
        <v>517</v>
      </c>
      <c r="R2567" s="16">
        <v>44329</v>
      </c>
      <c r="S2567" s="17" t="s">
        <v>70</v>
      </c>
      <c r="T2567" s="20">
        <f>HYPERLINK("https://vnm.spiral.com.vn//uploaded/20210513/b689db25-3790-4195-8225-81cef85396dd.JPEG","07:57:19")</f>
      </c>
      <c r="U2567" s="20">
        <f>HYPERLINK("https://vnm.spiral.com.vn//uploaded/20210513/dfa07e0b-1f1d-4062-bb62-e84f31d787b2.JPEG","09:28:16")</f>
      </c>
      <c r="V2567" s="18">
        <v>0.06315972222222223</v>
      </c>
      <c r="W2567" s="15" t="s">
        <v>13106</v>
      </c>
      <c r="X2567" s="15" t="s">
        <v>13107</v>
      </c>
      <c r="Y2567" s="15" t="s">
        <v>35</v>
      </c>
      <c r="Z2567" s="19">
        <v>0</v>
      </c>
      <c r="AA2567" s="15">
        <v>0</v>
      </c>
      <c r="AB2567" s="15" t="s">
        <v>35</v>
      </c>
    </row>
    <row r="2568">
      <c r="A2568" s="15">
        <v>2564</v>
      </c>
      <c r="B2568" s="15" t="s">
        <v>343</v>
      </c>
      <c r="C2568" s="15" t="s">
        <v>344</v>
      </c>
      <c r="D2568" s="15" t="s">
        <v>878</v>
      </c>
      <c r="E2568" s="15" t="s">
        <v>35</v>
      </c>
      <c r="F2568" s="15" t="s">
        <v>35</v>
      </c>
      <c r="G2568" s="15" t="s">
        <v>74</v>
      </c>
      <c r="H2568" s="15" t="s">
        <v>13108</v>
      </c>
      <c r="I2568" s="15" t="s">
        <v>13109</v>
      </c>
      <c r="J2568" s="15" t="s">
        <v>13110</v>
      </c>
      <c r="K2568" s="15" t="s">
        <v>540</v>
      </c>
      <c r="L2568" s="15" t="s">
        <v>541</v>
      </c>
      <c r="M2568" s="15" t="s">
        <v>584</v>
      </c>
      <c r="N2568" s="15" t="s">
        <v>585</v>
      </c>
      <c r="O2568" s="15" t="s">
        <v>98</v>
      </c>
      <c r="P2568" s="15" t="s">
        <v>586</v>
      </c>
      <c r="Q2568" s="15" t="s">
        <v>587</v>
      </c>
      <c r="R2568" s="16">
        <v>44329</v>
      </c>
      <c r="S2568" s="17" t="s">
        <v>35</v>
      </c>
      <c r="T2568" s="20">
        <f>HYPERLINK("https://vnm.spiral.com.vn//uploaded/20210513/E8DA70E5-11CE-4692-9100-5D1D04D159ED.jpg","08:33:51")</f>
      </c>
      <c r="U2568" s="20">
        <f>HYPERLINK("https://vnm.spiral.com.vn//uploaded/20210513/74A4D01E-A2E6-48C4-AE64-A1178C26AC90.jpg","09:27:01")</f>
      </c>
      <c r="V2568" s="18">
        <v>0.0369212962962963</v>
      </c>
      <c r="W2568" s="15" t="s">
        <v>13111</v>
      </c>
      <c r="X2568" s="15" t="s">
        <v>13112</v>
      </c>
      <c r="Y2568" s="15" t="s">
        <v>35</v>
      </c>
      <c r="Z2568" s="19">
        <v>0</v>
      </c>
      <c r="AA2568" s="15">
        <v>0</v>
      </c>
      <c r="AB2568" s="15" t="s">
        <v>35</v>
      </c>
    </row>
    <row r="2569">
      <c r="A2569" s="15">
        <v>2565</v>
      </c>
      <c r="B2569" s="15" t="s">
        <v>343</v>
      </c>
      <c r="C2569" s="15" t="s">
        <v>344</v>
      </c>
      <c r="D2569" s="15" t="s">
        <v>432</v>
      </c>
      <c r="E2569" s="15" t="s">
        <v>116</v>
      </c>
      <c r="F2569" s="15" t="s">
        <v>35</v>
      </c>
      <c r="G2569" s="15" t="s">
        <v>74</v>
      </c>
      <c r="H2569" s="15" t="s">
        <v>13113</v>
      </c>
      <c r="I2569" s="15" t="s">
        <v>13114</v>
      </c>
      <c r="J2569" s="15" t="s">
        <v>13115</v>
      </c>
      <c r="K2569" s="15" t="s">
        <v>512</v>
      </c>
      <c r="L2569" s="15" t="s">
        <v>513</v>
      </c>
      <c r="M2569" s="15" t="s">
        <v>514</v>
      </c>
      <c r="N2569" s="15" t="s">
        <v>515</v>
      </c>
      <c r="O2569" s="15" t="s">
        <v>82</v>
      </c>
      <c r="P2569" s="15" t="s">
        <v>2342</v>
      </c>
      <c r="Q2569" s="15" t="s">
        <v>2343</v>
      </c>
      <c r="R2569" s="16">
        <v>44329</v>
      </c>
      <c r="S2569" s="17" t="s">
        <v>70</v>
      </c>
      <c r="T2569" s="20">
        <f>HYPERLINK("https://vnm.spiral.com.vn//uploaded/20210513/2f2c95ba-4860-420f-a0c1-bc10ca624e70.JPEG","07:50:40")</f>
      </c>
      <c r="U2569" s="20">
        <f>HYPERLINK("https://vnm.spiral.com.vn//uploaded/20210513/155dc7a9-e19a-42ae-b6a4-e9db0ee15cfe.JPEG","09:26:35")</f>
      </c>
      <c r="V2569" s="18">
        <v>0.06660879629629629</v>
      </c>
      <c r="W2569" s="15" t="s">
        <v>13116</v>
      </c>
      <c r="X2569" s="15" t="s">
        <v>13117</v>
      </c>
      <c r="Y2569" s="15" t="s">
        <v>35</v>
      </c>
      <c r="Z2569" s="19">
        <v>0</v>
      </c>
      <c r="AA2569" s="15">
        <v>0</v>
      </c>
      <c r="AB2569" s="15" t="s">
        <v>35</v>
      </c>
    </row>
    <row r="2570">
      <c r="A2570" s="15">
        <v>2566</v>
      </c>
      <c r="B2570" s="15" t="s">
        <v>87</v>
      </c>
      <c r="C2570" s="15" t="s">
        <v>88</v>
      </c>
      <c r="D2570" s="15" t="s">
        <v>432</v>
      </c>
      <c r="E2570" s="15" t="s">
        <v>116</v>
      </c>
      <c r="F2570" s="15" t="s">
        <v>35</v>
      </c>
      <c r="G2570" s="15" t="s">
        <v>74</v>
      </c>
      <c r="H2570" s="15" t="s">
        <v>13118</v>
      </c>
      <c r="I2570" s="15" t="s">
        <v>13119</v>
      </c>
      <c r="J2570" s="15" t="s">
        <v>13120</v>
      </c>
      <c r="K2570" s="15" t="s">
        <v>625</v>
      </c>
      <c r="L2570" s="15" t="s">
        <v>626</v>
      </c>
      <c r="M2570" s="15" t="s">
        <v>1022</v>
      </c>
      <c r="N2570" s="15" t="s">
        <v>1023</v>
      </c>
      <c r="O2570" s="15" t="s">
        <v>82</v>
      </c>
      <c r="P2570" s="15" t="s">
        <v>1024</v>
      </c>
      <c r="Q2570" s="15" t="s">
        <v>1025</v>
      </c>
      <c r="R2570" s="16">
        <v>44329</v>
      </c>
      <c r="S2570" s="17" t="s">
        <v>70</v>
      </c>
      <c r="T2570" s="20">
        <f>HYPERLINK("https://vnm.spiral.com.vn//uploaded/20210513/0F501FE7-A647-4ADF-B7A9-A92E8E14D014.jpg","08:56:33")</f>
      </c>
      <c r="U2570" s="20">
        <f>HYPERLINK("https://vnm.spiral.com.vn//uploaded/20210513/C4806DE1-522D-4416-AB2C-C45A4791B507.jpg","09:26:18")</f>
      </c>
      <c r="V2570" s="18">
        <v>0.02065972222222222</v>
      </c>
      <c r="W2570" s="15" t="s">
        <v>13121</v>
      </c>
      <c r="X2570" s="15" t="s">
        <v>13122</v>
      </c>
      <c r="Y2570" s="15" t="s">
        <v>35</v>
      </c>
      <c r="Z2570" s="19">
        <v>0</v>
      </c>
      <c r="AA2570" s="15">
        <v>0</v>
      </c>
      <c r="AB2570" s="15" t="s">
        <v>35</v>
      </c>
    </row>
    <row r="2571">
      <c r="A2571" s="15">
        <v>2567</v>
      </c>
      <c r="B2571" s="15" t="s">
        <v>49</v>
      </c>
      <c r="C2571" s="15" t="s">
        <v>162</v>
      </c>
      <c r="D2571" s="15" t="s">
        <v>135</v>
      </c>
      <c r="E2571" s="15" t="s">
        <v>116</v>
      </c>
      <c r="F2571" s="15" t="s">
        <v>35</v>
      </c>
      <c r="G2571" s="15" t="s">
        <v>74</v>
      </c>
      <c r="H2571" s="15" t="s">
        <v>13123</v>
      </c>
      <c r="I2571" s="15" t="s">
        <v>13124</v>
      </c>
      <c r="J2571" s="15" t="s">
        <v>13125</v>
      </c>
      <c r="K2571" s="15" t="s">
        <v>166</v>
      </c>
      <c r="L2571" s="15" t="s">
        <v>167</v>
      </c>
      <c r="M2571" s="15" t="s">
        <v>168</v>
      </c>
      <c r="N2571" s="15" t="s">
        <v>169</v>
      </c>
      <c r="O2571" s="15" t="s">
        <v>82</v>
      </c>
      <c r="P2571" s="15" t="s">
        <v>3365</v>
      </c>
      <c r="Q2571" s="15" t="s">
        <v>3366</v>
      </c>
      <c r="R2571" s="16">
        <v>44329</v>
      </c>
      <c r="S2571" s="17" t="s">
        <v>70</v>
      </c>
      <c r="T2571" s="20">
        <f>HYPERLINK("https://vnm.spiral.com.vn//uploaded/20210513/398cdc01-1788-4d42-93d5-eef82e2c50c8.JPEG","08:54:25")</f>
      </c>
      <c r="U2571" s="20">
        <f>HYPERLINK("https://vnm.spiral.com.vn//uploaded/20210513/6a660629-0836-4492-a44c-b0d8a88a7f89.JPEG","09:26:16")</f>
      </c>
      <c r="V2571" s="18">
        <v>0.022118055555555554</v>
      </c>
      <c r="W2571" s="15" t="s">
        <v>13126</v>
      </c>
      <c r="X2571" s="15" t="s">
        <v>13127</v>
      </c>
      <c r="Y2571" s="15" t="s">
        <v>35</v>
      </c>
      <c r="Z2571" s="19">
        <v>0</v>
      </c>
      <c r="AA2571" s="15">
        <v>0</v>
      </c>
      <c r="AB2571" s="15" t="s">
        <v>35</v>
      </c>
    </row>
    <row r="2572">
      <c r="A2572" s="15">
        <v>2568</v>
      </c>
      <c r="B2572" s="15" t="s">
        <v>33</v>
      </c>
      <c r="C2572" s="15" t="s">
        <v>765</v>
      </c>
      <c r="D2572" s="15" t="s">
        <v>35</v>
      </c>
      <c r="E2572" s="15" t="s">
        <v>35</v>
      </c>
      <c r="F2572" s="15" t="s">
        <v>35</v>
      </c>
      <c r="G2572" s="15" t="s">
        <v>74</v>
      </c>
      <c r="H2572" s="15" t="s">
        <v>13128</v>
      </c>
      <c r="I2572" s="15" t="s">
        <v>13129</v>
      </c>
      <c r="J2572" s="15" t="s">
        <v>13130</v>
      </c>
      <c r="K2572" s="15" t="s">
        <v>769</v>
      </c>
      <c r="L2572" s="15" t="s">
        <v>770</v>
      </c>
      <c r="M2572" s="15" t="s">
        <v>1532</v>
      </c>
      <c r="N2572" s="15" t="s">
        <v>1533</v>
      </c>
      <c r="O2572" s="15" t="s">
        <v>82</v>
      </c>
      <c r="P2572" s="15" t="s">
        <v>3805</v>
      </c>
      <c r="Q2572" s="15" t="s">
        <v>3806</v>
      </c>
      <c r="R2572" s="16">
        <v>44329</v>
      </c>
      <c r="S2572" s="17" t="s">
        <v>70</v>
      </c>
      <c r="T2572" s="20">
        <f>HYPERLINK("https://vnm.spiral.com.vn//uploaded/20210513/2047d936-4921-465a-a36d-c7b40a0df6d3.JPEG","08:31:05")</f>
      </c>
      <c r="U2572" s="20">
        <f>HYPERLINK("https://vnm.spiral.com.vn//uploaded/20210513/3489f35d-2db1-4a8f-8a0c-a08779142981.JPEG","09:26:00")</f>
      </c>
      <c r="V2572" s="18">
        <v>0.03813657407407407</v>
      </c>
      <c r="W2572" s="15" t="s">
        <v>13131</v>
      </c>
      <c r="X2572" s="15" t="s">
        <v>13132</v>
      </c>
      <c r="Y2572" s="15" t="s">
        <v>35</v>
      </c>
      <c r="Z2572" s="19">
        <v>0</v>
      </c>
      <c r="AA2572" s="15">
        <v>0</v>
      </c>
      <c r="AB2572" s="15" t="s">
        <v>35</v>
      </c>
    </row>
    <row r="2573">
      <c r="A2573" s="15">
        <v>2569</v>
      </c>
      <c r="B2573" s="15" t="s">
        <v>87</v>
      </c>
      <c r="C2573" s="15" t="s">
        <v>88</v>
      </c>
      <c r="D2573" s="15" t="s">
        <v>135</v>
      </c>
      <c r="E2573" s="15" t="s">
        <v>116</v>
      </c>
      <c r="F2573" s="15" t="s">
        <v>35</v>
      </c>
      <c r="G2573" s="15" t="s">
        <v>74</v>
      </c>
      <c r="H2573" s="15" t="s">
        <v>13133</v>
      </c>
      <c r="I2573" s="15" t="s">
        <v>13134</v>
      </c>
      <c r="J2573" s="15" t="s">
        <v>13135</v>
      </c>
      <c r="K2573" s="15" t="s">
        <v>139</v>
      </c>
      <c r="L2573" s="15" t="s">
        <v>140</v>
      </c>
      <c r="M2573" s="15" t="s">
        <v>530</v>
      </c>
      <c r="N2573" s="15" t="s">
        <v>531</v>
      </c>
      <c r="O2573" s="15" t="s">
        <v>82</v>
      </c>
      <c r="P2573" s="15" t="s">
        <v>532</v>
      </c>
      <c r="Q2573" s="15" t="s">
        <v>533</v>
      </c>
      <c r="R2573" s="16">
        <v>44329</v>
      </c>
      <c r="S2573" s="17" t="s">
        <v>70</v>
      </c>
      <c r="T2573" s="20">
        <f>HYPERLINK("https://vnm.spiral.com.vn//uploaded/20210513/9fe62c42-d957-4a7a-b5fe-3a8f1ddf6976.JPEG","07:55:59")</f>
      </c>
      <c r="U2573" s="20">
        <f>HYPERLINK("https://vnm.spiral.com.vn//uploaded/20210513/82610cd2-8d2b-48fc-9adc-b4db67f0a11a.JPEG","09:25:51")</f>
      </c>
      <c r="V2573" s="18">
        <v>0.062407407407407404</v>
      </c>
      <c r="W2573" s="15" t="s">
        <v>13136</v>
      </c>
      <c r="X2573" s="15" t="s">
        <v>13137</v>
      </c>
      <c r="Y2573" s="15" t="s">
        <v>35</v>
      </c>
      <c r="Z2573" s="19">
        <v>0</v>
      </c>
      <c r="AA2573" s="15">
        <v>0</v>
      </c>
      <c r="AB2573" s="15" t="s">
        <v>35</v>
      </c>
    </row>
    <row r="2574">
      <c r="A2574" s="15">
        <v>2570</v>
      </c>
      <c r="B2574" s="15" t="s">
        <v>343</v>
      </c>
      <c r="C2574" s="15" t="s">
        <v>721</v>
      </c>
      <c r="D2574" s="15" t="s">
        <v>35</v>
      </c>
      <c r="E2574" s="15" t="s">
        <v>35</v>
      </c>
      <c r="F2574" s="15" t="s">
        <v>35</v>
      </c>
      <c r="G2574" s="15" t="s">
        <v>36</v>
      </c>
      <c r="H2574" s="15" t="s">
        <v>13138</v>
      </c>
      <c r="I2574" s="15" t="s">
        <v>13139</v>
      </c>
      <c r="J2574" s="15" t="s">
        <v>13140</v>
      </c>
      <c r="K2574" s="15" t="s">
        <v>40</v>
      </c>
      <c r="L2574" s="15" t="s">
        <v>41</v>
      </c>
      <c r="M2574" s="15" t="s">
        <v>595</v>
      </c>
      <c r="N2574" s="15" t="s">
        <v>596</v>
      </c>
      <c r="O2574" s="15" t="s">
        <v>44</v>
      </c>
      <c r="P2574" s="15" t="s">
        <v>13141</v>
      </c>
      <c r="Q2574" s="15" t="s">
        <v>13142</v>
      </c>
      <c r="R2574" s="16">
        <v>44329</v>
      </c>
      <c r="S2574" s="17" t="s">
        <v>326</v>
      </c>
      <c r="T2574" s="20">
        <f>HYPERLINK("https://vnm.spiral.com.vn//uploaded/20210513/72D7C152-54B7-458C-A528-D332D0C67158.jpg","09:25:47")</f>
      </c>
      <c r="U2574" s="18"/>
      <c r="V2574" s="18" t="s">
        <v>35</v>
      </c>
      <c r="W2574" s="15" t="s">
        <v>13143</v>
      </c>
      <c r="X2574" s="15" t="s">
        <v>35</v>
      </c>
      <c r="Y2574" s="15" t="s">
        <v>35</v>
      </c>
      <c r="Z2574" s="19">
        <v>0</v>
      </c>
      <c r="AA2574" s="15">
        <v>0</v>
      </c>
      <c r="AB2574" s="15" t="s">
        <v>35</v>
      </c>
    </row>
    <row r="2575">
      <c r="A2575" s="15">
        <v>2571</v>
      </c>
      <c r="B2575" s="15" t="s">
        <v>61</v>
      </c>
      <c r="C2575" s="15" t="s">
        <v>201</v>
      </c>
      <c r="D2575" s="15" t="s">
        <v>135</v>
      </c>
      <c r="E2575" s="15" t="s">
        <v>116</v>
      </c>
      <c r="F2575" s="15" t="s">
        <v>35</v>
      </c>
      <c r="G2575" s="15" t="s">
        <v>74</v>
      </c>
      <c r="H2575" s="15" t="s">
        <v>13144</v>
      </c>
      <c r="I2575" s="15" t="s">
        <v>13145</v>
      </c>
      <c r="J2575" s="15" t="s">
        <v>13146</v>
      </c>
      <c r="K2575" s="15" t="s">
        <v>152</v>
      </c>
      <c r="L2575" s="15" t="s">
        <v>153</v>
      </c>
      <c r="M2575" s="15" t="s">
        <v>154</v>
      </c>
      <c r="N2575" s="15" t="s">
        <v>155</v>
      </c>
      <c r="O2575" s="15" t="s">
        <v>82</v>
      </c>
      <c r="P2575" s="15" t="s">
        <v>2250</v>
      </c>
      <c r="Q2575" s="15" t="s">
        <v>2251</v>
      </c>
      <c r="R2575" s="16">
        <v>44329</v>
      </c>
      <c r="S2575" s="17" t="s">
        <v>70</v>
      </c>
      <c r="T2575" s="20">
        <f>HYPERLINK("https://vnm.spiral.com.vn//uploaded/20210513/7bc405d4-1d80-4ebd-bbaf-95e7d3a66f90.JPEG","07:22:29")</f>
      </c>
      <c r="U2575" s="20">
        <f>HYPERLINK("https://vnm.spiral.com.vn//uploaded/20210513/ac65dbd6-ee08-4718-be77-ef4ca30dc48e.JPEG","09:25:31")</f>
      </c>
      <c r="V2575" s="18">
        <v>0.08543981481481482</v>
      </c>
      <c r="W2575" s="15" t="s">
        <v>13147</v>
      </c>
      <c r="X2575" s="15" t="s">
        <v>13148</v>
      </c>
      <c r="Y2575" s="15" t="s">
        <v>35</v>
      </c>
      <c r="Z2575" s="19">
        <v>0</v>
      </c>
      <c r="AA2575" s="15">
        <v>0</v>
      </c>
      <c r="AB2575" s="15" t="s">
        <v>35</v>
      </c>
    </row>
    <row r="2576">
      <c r="A2576" s="15">
        <v>2572</v>
      </c>
      <c r="B2576" s="15" t="s">
        <v>343</v>
      </c>
      <c r="C2576" s="15" t="s">
        <v>344</v>
      </c>
      <c r="D2576" s="15" t="s">
        <v>89</v>
      </c>
      <c r="E2576" s="15" t="s">
        <v>90</v>
      </c>
      <c r="F2576" s="15" t="s">
        <v>35</v>
      </c>
      <c r="G2576" s="15" t="s">
        <v>74</v>
      </c>
      <c r="H2576" s="15" t="s">
        <v>13149</v>
      </c>
      <c r="I2576" s="15" t="s">
        <v>13150</v>
      </c>
      <c r="J2576" s="15" t="s">
        <v>13151</v>
      </c>
      <c r="K2576" s="15" t="s">
        <v>361</v>
      </c>
      <c r="L2576" s="15" t="s">
        <v>362</v>
      </c>
      <c r="M2576" s="15" t="s">
        <v>1362</v>
      </c>
      <c r="N2576" s="15" t="s">
        <v>1363</v>
      </c>
      <c r="O2576" s="15" t="s">
        <v>82</v>
      </c>
      <c r="P2576" s="15" t="s">
        <v>13152</v>
      </c>
      <c r="Q2576" s="15" t="s">
        <v>13153</v>
      </c>
      <c r="R2576" s="16">
        <v>44329</v>
      </c>
      <c r="S2576" s="17" t="s">
        <v>70</v>
      </c>
      <c r="T2576" s="20">
        <f>HYPERLINK("https://vnm.spiral.com.vn//uploaded/20210513/29a7a233-b8b6-4ec2-ab50-62f43ba53a85.JPEG","09:24:29")</f>
      </c>
      <c r="U2576" s="18"/>
      <c r="V2576" s="18" t="s">
        <v>35</v>
      </c>
      <c r="W2576" s="15" t="s">
        <v>13154</v>
      </c>
      <c r="X2576" s="15" t="s">
        <v>35</v>
      </c>
      <c r="Y2576" s="15" t="s">
        <v>35</v>
      </c>
      <c r="Z2576" s="19">
        <v>0</v>
      </c>
      <c r="AA2576" s="15">
        <v>0</v>
      </c>
      <c r="AB2576" s="15" t="s">
        <v>35</v>
      </c>
    </row>
    <row r="2577">
      <c r="A2577" s="15">
        <v>2573</v>
      </c>
      <c r="B2577" s="15" t="s">
        <v>87</v>
      </c>
      <c r="C2577" s="15" t="s">
        <v>88</v>
      </c>
      <c r="D2577" s="15" t="s">
        <v>135</v>
      </c>
      <c r="E2577" s="15" t="s">
        <v>116</v>
      </c>
      <c r="F2577" s="15" t="s">
        <v>35</v>
      </c>
      <c r="G2577" s="15" t="s">
        <v>74</v>
      </c>
      <c r="H2577" s="15" t="s">
        <v>13155</v>
      </c>
      <c r="I2577" s="15" t="s">
        <v>13156</v>
      </c>
      <c r="J2577" s="15" t="s">
        <v>13157</v>
      </c>
      <c r="K2577" s="15" t="s">
        <v>94</v>
      </c>
      <c r="L2577" s="15" t="s">
        <v>95</v>
      </c>
      <c r="M2577" s="15" t="s">
        <v>139</v>
      </c>
      <c r="N2577" s="15" t="s">
        <v>140</v>
      </c>
      <c r="O2577" s="15" t="s">
        <v>98</v>
      </c>
      <c r="P2577" s="15" t="s">
        <v>141</v>
      </c>
      <c r="Q2577" s="15" t="s">
        <v>142</v>
      </c>
      <c r="R2577" s="16">
        <v>44329</v>
      </c>
      <c r="S2577" s="17" t="s">
        <v>70</v>
      </c>
      <c r="T2577" s="20">
        <f>HYPERLINK("https://vnm.spiral.com.vn//uploaded/20210513/3B67444D-34AE-443F-8BAC-742EB345FDC1.jpg","07:16:40")</f>
      </c>
      <c r="U2577" s="20">
        <f>HYPERLINK("https://vnm.spiral.com.vn//uploaded/20210513/13D1FB68-4573-4B40-98AF-0282D1989059.jpg","09:23:26")</f>
      </c>
      <c r="V2577" s="18">
        <v>0.0880324074074074</v>
      </c>
      <c r="W2577" s="15" t="s">
        <v>13158</v>
      </c>
      <c r="X2577" s="15" t="s">
        <v>13159</v>
      </c>
      <c r="Y2577" s="15" t="s">
        <v>35</v>
      </c>
      <c r="Z2577" s="19">
        <v>0</v>
      </c>
      <c r="AA2577" s="15">
        <v>0</v>
      </c>
      <c r="AB2577" s="15" t="s">
        <v>35</v>
      </c>
    </row>
    <row r="2578">
      <c r="A2578" s="15">
        <v>2574</v>
      </c>
      <c r="B2578" s="15" t="s">
        <v>343</v>
      </c>
      <c r="C2578" s="15" t="s">
        <v>344</v>
      </c>
      <c r="D2578" s="15" t="s">
        <v>878</v>
      </c>
      <c r="E2578" s="15" t="s">
        <v>35</v>
      </c>
      <c r="F2578" s="15" t="s">
        <v>35</v>
      </c>
      <c r="G2578" s="15" t="s">
        <v>74</v>
      </c>
      <c r="H2578" s="15" t="s">
        <v>13160</v>
      </c>
      <c r="I2578" s="15" t="s">
        <v>1760</v>
      </c>
      <c r="J2578" s="15" t="s">
        <v>13161</v>
      </c>
      <c r="K2578" s="15" t="s">
        <v>584</v>
      </c>
      <c r="L2578" s="15" t="s">
        <v>585</v>
      </c>
      <c r="M2578" s="15" t="s">
        <v>586</v>
      </c>
      <c r="N2578" s="15" t="s">
        <v>587</v>
      </c>
      <c r="O2578" s="15" t="s">
        <v>82</v>
      </c>
      <c r="P2578" s="15" t="s">
        <v>2312</v>
      </c>
      <c r="Q2578" s="15" t="s">
        <v>2313</v>
      </c>
      <c r="R2578" s="16">
        <v>44329</v>
      </c>
      <c r="S2578" s="17" t="s">
        <v>70</v>
      </c>
      <c r="T2578" s="20">
        <f>HYPERLINK("https://vnm.spiral.com.vn//uploaded/20210513/75692822-03f5-453d-b4a2-7f9eb2e61f42.JPEG","07:57:22")</f>
      </c>
      <c r="U2578" s="20">
        <f>HYPERLINK("https://vnm.spiral.com.vn//uploaded/20210513/3649270f-565e-415c-8613-eb666835b350.JPEG","09:23:16")</f>
      </c>
      <c r="V2578" s="18">
        <v>0.05965277777777778</v>
      </c>
      <c r="W2578" s="15" t="s">
        <v>13162</v>
      </c>
      <c r="X2578" s="15" t="s">
        <v>13163</v>
      </c>
      <c r="Y2578" s="15" t="s">
        <v>35</v>
      </c>
      <c r="Z2578" s="19">
        <v>0</v>
      </c>
      <c r="AA2578" s="15">
        <v>0</v>
      </c>
      <c r="AB2578" s="15" t="s">
        <v>35</v>
      </c>
    </row>
    <row r="2579">
      <c r="A2579" s="15">
        <v>2575</v>
      </c>
      <c r="B2579" s="15" t="s">
        <v>87</v>
      </c>
      <c r="C2579" s="15" t="s">
        <v>88</v>
      </c>
      <c r="D2579" s="15" t="s">
        <v>135</v>
      </c>
      <c r="E2579" s="15" t="s">
        <v>116</v>
      </c>
      <c r="F2579" s="15" t="s">
        <v>35</v>
      </c>
      <c r="G2579" s="15" t="s">
        <v>74</v>
      </c>
      <c r="H2579" s="15" t="s">
        <v>13164</v>
      </c>
      <c r="I2579" s="15" t="s">
        <v>13165</v>
      </c>
      <c r="J2579" s="15" t="s">
        <v>13166</v>
      </c>
      <c r="K2579" s="15" t="s">
        <v>390</v>
      </c>
      <c r="L2579" s="15" t="s">
        <v>391</v>
      </c>
      <c r="M2579" s="15" t="s">
        <v>392</v>
      </c>
      <c r="N2579" s="15" t="s">
        <v>393</v>
      </c>
      <c r="O2579" s="15" t="s">
        <v>82</v>
      </c>
      <c r="P2579" s="15" t="s">
        <v>481</v>
      </c>
      <c r="Q2579" s="15" t="s">
        <v>482</v>
      </c>
      <c r="R2579" s="16">
        <v>44329</v>
      </c>
      <c r="S2579" s="17" t="s">
        <v>70</v>
      </c>
      <c r="T2579" s="20">
        <f>HYPERLINK("https://vnm.spiral.com.vn//uploaded/20210513/c4527633-8b3a-471b-985a-de54eaae6af4.JPEG","07:59:33")</f>
      </c>
      <c r="U2579" s="20">
        <f>HYPERLINK("https://vnm.spiral.com.vn//uploaded/20210513/0d572e9e-1a3a-4d06-8c83-6d6d126c39e6.JPEG","09:23:14")</f>
      </c>
      <c r="V2579" s="18">
        <v>0.05811342592592592</v>
      </c>
      <c r="W2579" s="15" t="s">
        <v>13167</v>
      </c>
      <c r="X2579" s="15" t="s">
        <v>13168</v>
      </c>
      <c r="Y2579" s="15" t="s">
        <v>35</v>
      </c>
      <c r="Z2579" s="19">
        <v>0</v>
      </c>
      <c r="AA2579" s="15">
        <v>0</v>
      </c>
      <c r="AB2579" s="15" t="s">
        <v>35</v>
      </c>
    </row>
    <row r="2580">
      <c r="A2580" s="15">
        <v>2576</v>
      </c>
      <c r="B2580" s="15" t="s">
        <v>61</v>
      </c>
      <c r="C2580" s="15" t="s">
        <v>320</v>
      </c>
      <c r="D2580" s="15" t="s">
        <v>35</v>
      </c>
      <c r="E2580" s="15" t="s">
        <v>35</v>
      </c>
      <c r="F2580" s="15" t="s">
        <v>35</v>
      </c>
      <c r="G2580" s="15" t="s">
        <v>36</v>
      </c>
      <c r="H2580" s="15" t="s">
        <v>13169</v>
      </c>
      <c r="I2580" s="15" t="s">
        <v>13170</v>
      </c>
      <c r="J2580" s="15" t="s">
        <v>13171</v>
      </c>
      <c r="K2580" s="15" t="s">
        <v>40</v>
      </c>
      <c r="L2580" s="15" t="s">
        <v>41</v>
      </c>
      <c r="M2580" s="15" t="s">
        <v>205</v>
      </c>
      <c r="N2580" s="15" t="s">
        <v>206</v>
      </c>
      <c r="O2580" s="15" t="s">
        <v>44</v>
      </c>
      <c r="P2580" s="15" t="s">
        <v>13172</v>
      </c>
      <c r="Q2580" s="15" t="s">
        <v>587</v>
      </c>
      <c r="R2580" s="16">
        <v>44329</v>
      </c>
      <c r="S2580" s="17" t="s">
        <v>718</v>
      </c>
      <c r="T2580" s="20">
        <f>HYPERLINK("https://vnm.spiral.com.vn//uploaded/20210513/3104A438-D9D6-44D5-B491-E4A4C426B829.jpg","09:22:36")</f>
      </c>
      <c r="U2580" s="18"/>
      <c r="V2580" s="18" t="s">
        <v>35</v>
      </c>
      <c r="W2580" s="15" t="s">
        <v>13173</v>
      </c>
      <c r="X2580" s="15" t="s">
        <v>35</v>
      </c>
      <c r="Y2580" s="15" t="s">
        <v>35</v>
      </c>
      <c r="Z2580" s="19">
        <v>0</v>
      </c>
      <c r="AA2580" s="15">
        <v>0</v>
      </c>
      <c r="AB2580" s="15" t="s">
        <v>35</v>
      </c>
    </row>
    <row r="2581">
      <c r="A2581" s="15">
        <v>2577</v>
      </c>
      <c r="B2581" s="15" t="s">
        <v>61</v>
      </c>
      <c r="C2581" s="15" t="s">
        <v>904</v>
      </c>
      <c r="D2581" s="15" t="s">
        <v>135</v>
      </c>
      <c r="E2581" s="15" t="s">
        <v>116</v>
      </c>
      <c r="F2581" s="15" t="s">
        <v>35</v>
      </c>
      <c r="G2581" s="15" t="s">
        <v>74</v>
      </c>
      <c r="H2581" s="15" t="s">
        <v>13174</v>
      </c>
      <c r="I2581" s="15" t="s">
        <v>13175</v>
      </c>
      <c r="J2581" s="15" t="s">
        <v>13176</v>
      </c>
      <c r="K2581" s="15" t="s">
        <v>1586</v>
      </c>
      <c r="L2581" s="15" t="s">
        <v>1587</v>
      </c>
      <c r="M2581" s="15" t="s">
        <v>1588</v>
      </c>
      <c r="N2581" s="15" t="s">
        <v>1589</v>
      </c>
      <c r="O2581" s="15" t="s">
        <v>82</v>
      </c>
      <c r="P2581" s="15" t="s">
        <v>3609</v>
      </c>
      <c r="Q2581" s="15" t="s">
        <v>3610</v>
      </c>
      <c r="R2581" s="16">
        <v>44329</v>
      </c>
      <c r="S2581" s="17" t="s">
        <v>70</v>
      </c>
      <c r="T2581" s="20">
        <f>HYPERLINK("https://vnm.spiral.com.vn//uploaded/20210513/817F02F5-5DB8-4F50-B723-B2AD943A3891.jpg","08:36:55")</f>
      </c>
      <c r="U2581" s="20">
        <f>HYPERLINK("https://vnm.spiral.com.vn//uploaded/20210513/7571334B-E7ED-4D6D-A95F-119677F5C756.jpg","09:22:28")</f>
      </c>
      <c r="V2581" s="18">
        <v>0.03163194444444444</v>
      </c>
      <c r="W2581" s="15" t="s">
        <v>13177</v>
      </c>
      <c r="X2581" s="15" t="s">
        <v>13178</v>
      </c>
      <c r="Y2581" s="15" t="s">
        <v>35</v>
      </c>
      <c r="Z2581" s="19">
        <v>0</v>
      </c>
      <c r="AA2581" s="15">
        <v>0</v>
      </c>
      <c r="AB2581" s="15" t="s">
        <v>35</v>
      </c>
    </row>
    <row r="2582">
      <c r="A2582" s="15">
        <v>2578</v>
      </c>
      <c r="B2582" s="15" t="s">
        <v>87</v>
      </c>
      <c r="C2582" s="15" t="s">
        <v>88</v>
      </c>
      <c r="D2582" s="15" t="s">
        <v>135</v>
      </c>
      <c r="E2582" s="15" t="s">
        <v>116</v>
      </c>
      <c r="F2582" s="15" t="s">
        <v>35</v>
      </c>
      <c r="G2582" s="15" t="s">
        <v>74</v>
      </c>
      <c r="H2582" s="15" t="s">
        <v>13179</v>
      </c>
      <c r="I2582" s="15" t="s">
        <v>13180</v>
      </c>
      <c r="J2582" s="15" t="s">
        <v>13181</v>
      </c>
      <c r="K2582" s="15" t="s">
        <v>390</v>
      </c>
      <c r="L2582" s="15" t="s">
        <v>391</v>
      </c>
      <c r="M2582" s="15" t="s">
        <v>392</v>
      </c>
      <c r="N2582" s="15" t="s">
        <v>393</v>
      </c>
      <c r="O2582" s="15" t="s">
        <v>82</v>
      </c>
      <c r="P2582" s="15" t="s">
        <v>5400</v>
      </c>
      <c r="Q2582" s="15" t="s">
        <v>5401</v>
      </c>
      <c r="R2582" s="16">
        <v>44329</v>
      </c>
      <c r="S2582" s="17" t="s">
        <v>70</v>
      </c>
      <c r="T2582" s="20">
        <f>HYPERLINK("https://vnm.spiral.com.vn//uploaded/20210513/3E6CA77C-4D3E-4C63-8120-D47E0142BA92.jpg","08:05:43")</f>
      </c>
      <c r="U2582" s="20">
        <f>HYPERLINK("https://vnm.spiral.com.vn//uploaded/20210513/B904E280-EA86-4A30-A970-83FC8F3DF69D.jpg","09:22:06")</f>
      </c>
      <c r="V2582" s="18">
        <v>0.053043981481481484</v>
      </c>
      <c r="W2582" s="15" t="s">
        <v>13182</v>
      </c>
      <c r="X2582" s="15" t="s">
        <v>13183</v>
      </c>
      <c r="Y2582" s="15" t="s">
        <v>35</v>
      </c>
      <c r="Z2582" s="19">
        <v>0</v>
      </c>
      <c r="AA2582" s="15">
        <v>0</v>
      </c>
      <c r="AB2582" s="15" t="s">
        <v>35</v>
      </c>
    </row>
    <row r="2583">
      <c r="A2583" s="15">
        <v>2579</v>
      </c>
      <c r="B2583" s="15" t="s">
        <v>87</v>
      </c>
      <c r="C2583" s="15" t="s">
        <v>88</v>
      </c>
      <c r="D2583" s="15" t="s">
        <v>432</v>
      </c>
      <c r="E2583" s="15" t="s">
        <v>116</v>
      </c>
      <c r="F2583" s="15" t="s">
        <v>35</v>
      </c>
      <c r="G2583" s="15" t="s">
        <v>74</v>
      </c>
      <c r="H2583" s="15" t="s">
        <v>13184</v>
      </c>
      <c r="I2583" s="15" t="s">
        <v>13185</v>
      </c>
      <c r="J2583" s="15" t="s">
        <v>13186</v>
      </c>
      <c r="K2583" s="15" t="s">
        <v>625</v>
      </c>
      <c r="L2583" s="15" t="s">
        <v>626</v>
      </c>
      <c r="M2583" s="15" t="s">
        <v>627</v>
      </c>
      <c r="N2583" s="15" t="s">
        <v>628</v>
      </c>
      <c r="O2583" s="15" t="s">
        <v>82</v>
      </c>
      <c r="P2583" s="15" t="s">
        <v>1804</v>
      </c>
      <c r="Q2583" s="15" t="s">
        <v>1805</v>
      </c>
      <c r="R2583" s="16">
        <v>44329</v>
      </c>
      <c r="S2583" s="17" t="s">
        <v>70</v>
      </c>
      <c r="T2583" s="20">
        <f>HYPERLINK("https://vnm.spiral.com.vn//uploaded/20210513/c399ba56-21f7-4238-aeee-90162868390b.JPEG","08:36:55")</f>
      </c>
      <c r="U2583" s="20">
        <f>HYPERLINK("https://vnm.spiral.com.vn//uploaded/20210513/cbdbd239-3568-4d48-9c25-fce42275192b.JPEG","09:22:03")</f>
      </c>
      <c r="V2583" s="18">
        <v>0.031342592592592596</v>
      </c>
      <c r="W2583" s="15" t="s">
        <v>13187</v>
      </c>
      <c r="X2583" s="15" t="s">
        <v>13188</v>
      </c>
      <c r="Y2583" s="15" t="s">
        <v>35</v>
      </c>
      <c r="Z2583" s="19">
        <v>0</v>
      </c>
      <c r="AA2583" s="15">
        <v>0</v>
      </c>
      <c r="AB2583" s="15" t="s">
        <v>35</v>
      </c>
    </row>
    <row r="2584">
      <c r="A2584" s="15">
        <v>2580</v>
      </c>
      <c r="B2584" s="15" t="s">
        <v>87</v>
      </c>
      <c r="C2584" s="15" t="s">
        <v>88</v>
      </c>
      <c r="D2584" s="15" t="s">
        <v>357</v>
      </c>
      <c r="E2584" s="15" t="s">
        <v>90</v>
      </c>
      <c r="F2584" s="15" t="s">
        <v>35</v>
      </c>
      <c r="G2584" s="15" t="s">
        <v>74</v>
      </c>
      <c r="H2584" s="15" t="s">
        <v>13189</v>
      </c>
      <c r="I2584" s="15" t="s">
        <v>13190</v>
      </c>
      <c r="J2584" s="15" t="s">
        <v>13191</v>
      </c>
      <c r="K2584" s="15" t="s">
        <v>1570</v>
      </c>
      <c r="L2584" s="15" t="s">
        <v>1571</v>
      </c>
      <c r="M2584" s="15" t="s">
        <v>2024</v>
      </c>
      <c r="N2584" s="15" t="s">
        <v>2025</v>
      </c>
      <c r="O2584" s="15" t="s">
        <v>82</v>
      </c>
      <c r="P2584" s="15" t="s">
        <v>2026</v>
      </c>
      <c r="Q2584" s="15" t="s">
        <v>2027</v>
      </c>
      <c r="R2584" s="16">
        <v>44329</v>
      </c>
      <c r="S2584" s="17" t="s">
        <v>70</v>
      </c>
      <c r="T2584" s="20">
        <f>HYPERLINK("https://vnm.spiral.com.vn//uploaded/20210513/1d2cc227-48ab-4790-8a51-9a587142344e.JPEG","09:01:28")</f>
      </c>
      <c r="U2584" s="20">
        <f>HYPERLINK("https://vnm.spiral.com.vn//uploaded/20210513/8d73b294-9646-42f0-96af-54f99b68b314.JPEG","09:21:36")</f>
      </c>
      <c r="V2584" s="18">
        <v>0.013981481481481482</v>
      </c>
      <c r="W2584" s="15" t="s">
        <v>13192</v>
      </c>
      <c r="X2584" s="15" t="s">
        <v>13193</v>
      </c>
      <c r="Y2584" s="15" t="s">
        <v>35</v>
      </c>
      <c r="Z2584" s="19">
        <v>0</v>
      </c>
      <c r="AA2584" s="15">
        <v>0</v>
      </c>
      <c r="AB2584" s="15" t="s">
        <v>35</v>
      </c>
    </row>
    <row r="2585">
      <c r="A2585" s="15">
        <v>2581</v>
      </c>
      <c r="B2585" s="15" t="s">
        <v>87</v>
      </c>
      <c r="C2585" s="15" t="s">
        <v>88</v>
      </c>
      <c r="D2585" s="15" t="s">
        <v>357</v>
      </c>
      <c r="E2585" s="15" t="s">
        <v>90</v>
      </c>
      <c r="F2585" s="15" t="s">
        <v>35</v>
      </c>
      <c r="G2585" s="15" t="s">
        <v>74</v>
      </c>
      <c r="H2585" s="15" t="s">
        <v>13194</v>
      </c>
      <c r="I2585" s="15" t="s">
        <v>13195</v>
      </c>
      <c r="J2585" s="15" t="s">
        <v>13196</v>
      </c>
      <c r="K2585" s="15" t="s">
        <v>1570</v>
      </c>
      <c r="L2585" s="15" t="s">
        <v>1571</v>
      </c>
      <c r="M2585" s="15" t="s">
        <v>2024</v>
      </c>
      <c r="N2585" s="15" t="s">
        <v>2025</v>
      </c>
      <c r="O2585" s="15" t="s">
        <v>82</v>
      </c>
      <c r="P2585" s="15" t="s">
        <v>2172</v>
      </c>
      <c r="Q2585" s="15" t="s">
        <v>2173</v>
      </c>
      <c r="R2585" s="16">
        <v>44329</v>
      </c>
      <c r="S2585" s="17" t="s">
        <v>70</v>
      </c>
      <c r="T2585" s="20">
        <f>HYPERLINK("https://vnm.spiral.com.vn//uploaded/20210513/9b61d1b4-dcbf-46b6-93f5-30a13b07541b.JPEG","07:56:47")</f>
      </c>
      <c r="U2585" s="20">
        <f>HYPERLINK("https://vnm.spiral.com.vn//uploaded/20210513/e0a3c959-2262-4f36-bf68-901b07b0e816.JPEG","09:21:29")</f>
      </c>
      <c r="V2585" s="18">
        <v>0.058819444444444445</v>
      </c>
      <c r="W2585" s="15" t="s">
        <v>13197</v>
      </c>
      <c r="X2585" s="15" t="s">
        <v>13198</v>
      </c>
      <c r="Y2585" s="15" t="s">
        <v>35</v>
      </c>
      <c r="Z2585" s="19">
        <v>0</v>
      </c>
      <c r="AA2585" s="15">
        <v>0</v>
      </c>
      <c r="AB2585" s="15" t="s">
        <v>35</v>
      </c>
    </row>
    <row r="2586">
      <c r="A2586" s="15">
        <v>2582</v>
      </c>
      <c r="B2586" s="15" t="s">
        <v>61</v>
      </c>
      <c r="C2586" s="15" t="s">
        <v>62</v>
      </c>
      <c r="D2586" s="15" t="s">
        <v>135</v>
      </c>
      <c r="E2586" s="15" t="s">
        <v>116</v>
      </c>
      <c r="F2586" s="15" t="s">
        <v>35</v>
      </c>
      <c r="G2586" s="15" t="s">
        <v>74</v>
      </c>
      <c r="H2586" s="15" t="s">
        <v>13199</v>
      </c>
      <c r="I2586" s="15" t="s">
        <v>13200</v>
      </c>
      <c r="J2586" s="15" t="s">
        <v>13201</v>
      </c>
      <c r="K2586" s="15" t="s">
        <v>1586</v>
      </c>
      <c r="L2586" s="15" t="s">
        <v>1587</v>
      </c>
      <c r="M2586" s="15" t="s">
        <v>1588</v>
      </c>
      <c r="N2586" s="15" t="s">
        <v>1589</v>
      </c>
      <c r="O2586" s="15" t="s">
        <v>82</v>
      </c>
      <c r="P2586" s="15" t="s">
        <v>8743</v>
      </c>
      <c r="Q2586" s="15" t="s">
        <v>8744</v>
      </c>
      <c r="R2586" s="16">
        <v>44329</v>
      </c>
      <c r="S2586" s="17" t="s">
        <v>70</v>
      </c>
      <c r="T2586" s="20">
        <f>HYPERLINK("https://vnm.spiral.com.vn//uploaded/20210513/83DA272B-DC8C-4614-98D0-30BF08AC0050.jpg","08:51:10")</f>
      </c>
      <c r="U2586" s="20">
        <f>HYPERLINK("https://vnm.spiral.com.vn//uploaded/20210513/0AC08B34-316F-44C1-916B-19281ACA9662.jpg","09:21:15")</f>
      </c>
      <c r="V2586" s="18">
        <v>0.020891203703703703</v>
      </c>
      <c r="W2586" s="15" t="s">
        <v>13202</v>
      </c>
      <c r="X2586" s="15" t="s">
        <v>13203</v>
      </c>
      <c r="Y2586" s="15" t="s">
        <v>35</v>
      </c>
      <c r="Z2586" s="19">
        <v>0</v>
      </c>
      <c r="AA2586" s="15">
        <v>0</v>
      </c>
      <c r="AB2586" s="15" t="s">
        <v>35</v>
      </c>
    </row>
    <row r="2587">
      <c r="A2587" s="15">
        <v>2583</v>
      </c>
      <c r="B2587" s="15" t="s">
        <v>343</v>
      </c>
      <c r="C2587" s="15" t="s">
        <v>344</v>
      </c>
      <c r="D2587" s="15" t="s">
        <v>432</v>
      </c>
      <c r="E2587" s="15" t="s">
        <v>116</v>
      </c>
      <c r="F2587" s="15" t="s">
        <v>35</v>
      </c>
      <c r="G2587" s="15" t="s">
        <v>74</v>
      </c>
      <c r="H2587" s="15" t="s">
        <v>13204</v>
      </c>
      <c r="I2587" s="15" t="s">
        <v>13205</v>
      </c>
      <c r="J2587" s="15" t="s">
        <v>13206</v>
      </c>
      <c r="K2587" s="15" t="s">
        <v>1168</v>
      </c>
      <c r="L2587" s="15" t="s">
        <v>1169</v>
      </c>
      <c r="M2587" s="15" t="s">
        <v>1170</v>
      </c>
      <c r="N2587" s="15" t="s">
        <v>1171</v>
      </c>
      <c r="O2587" s="15" t="s">
        <v>82</v>
      </c>
      <c r="P2587" s="15" t="s">
        <v>1258</v>
      </c>
      <c r="Q2587" s="15" t="s">
        <v>1259</v>
      </c>
      <c r="R2587" s="16">
        <v>44329</v>
      </c>
      <c r="S2587" s="17" t="s">
        <v>70</v>
      </c>
      <c r="T2587" s="20">
        <f>HYPERLINK("https://vnm.spiral.com.vn//uploaded/20210513/3ff74c3e-13be-426a-b751-43a938753156.JPEG","08:42:37")</f>
      </c>
      <c r="U2587" s="20">
        <f>HYPERLINK("https://vnm.spiral.com.vn//uploaded/20210513/2dca75dc-0ef6-4989-8900-27ea491b426e.JPEG","09:20:58")</f>
      </c>
      <c r="V2587" s="18">
        <v>0.026631944444444444</v>
      </c>
      <c r="W2587" s="15" t="s">
        <v>13207</v>
      </c>
      <c r="X2587" s="15" t="s">
        <v>13208</v>
      </c>
      <c r="Y2587" s="15" t="s">
        <v>35</v>
      </c>
      <c r="Z2587" s="19">
        <v>0</v>
      </c>
      <c r="AA2587" s="15">
        <v>0</v>
      </c>
      <c r="AB2587" s="15" t="s">
        <v>35</v>
      </c>
    </row>
    <row r="2588">
      <c r="A2588" s="15">
        <v>2584</v>
      </c>
      <c r="B2588" s="15" t="s">
        <v>61</v>
      </c>
      <c r="C2588" s="15" t="s">
        <v>442</v>
      </c>
      <c r="D2588" s="15" t="s">
        <v>135</v>
      </c>
      <c r="E2588" s="15" t="s">
        <v>116</v>
      </c>
      <c r="F2588" s="15" t="s">
        <v>35</v>
      </c>
      <c r="G2588" s="15" t="s">
        <v>74</v>
      </c>
      <c r="H2588" s="15" t="s">
        <v>13209</v>
      </c>
      <c r="I2588" s="15" t="s">
        <v>13210</v>
      </c>
      <c r="J2588" s="15" t="s">
        <v>13211</v>
      </c>
      <c r="K2588" s="15" t="s">
        <v>152</v>
      </c>
      <c r="L2588" s="15" t="s">
        <v>153</v>
      </c>
      <c r="M2588" s="15" t="s">
        <v>232</v>
      </c>
      <c r="N2588" s="15" t="s">
        <v>233</v>
      </c>
      <c r="O2588" s="15" t="s">
        <v>82</v>
      </c>
      <c r="P2588" s="15" t="s">
        <v>446</v>
      </c>
      <c r="Q2588" s="15" t="s">
        <v>447</v>
      </c>
      <c r="R2588" s="16">
        <v>44329</v>
      </c>
      <c r="S2588" s="17" t="s">
        <v>70</v>
      </c>
      <c r="T2588" s="20">
        <f>HYPERLINK("https://vnm.spiral.com.vn//uploaded/20210513/0fbf5e19-ea16-49d5-aa9d-cf374f59af86.JPEG","08:46:48")</f>
      </c>
      <c r="U2588" s="20">
        <f>HYPERLINK("https://vnm.spiral.com.vn//uploaded/20210513/7ae74507-d8ad-4a12-93f2-49f33ae81491.JPEG","09:20:51")</f>
      </c>
      <c r="V2588" s="18">
        <v>0.023645833333333335</v>
      </c>
      <c r="W2588" s="15" t="s">
        <v>13212</v>
      </c>
      <c r="X2588" s="15" t="s">
        <v>13213</v>
      </c>
      <c r="Y2588" s="15" t="s">
        <v>35</v>
      </c>
      <c r="Z2588" s="19">
        <v>0</v>
      </c>
      <c r="AA2588" s="15">
        <v>0</v>
      </c>
      <c r="AB2588" s="15" t="s">
        <v>35</v>
      </c>
    </row>
    <row r="2589">
      <c r="A2589" s="15">
        <v>2585</v>
      </c>
      <c r="B2589" s="15" t="s">
        <v>87</v>
      </c>
      <c r="C2589" s="15" t="s">
        <v>88</v>
      </c>
      <c r="D2589" s="15" t="s">
        <v>610</v>
      </c>
      <c r="E2589" s="15" t="s">
        <v>90</v>
      </c>
      <c r="F2589" s="15" t="s">
        <v>35</v>
      </c>
      <c r="G2589" s="15" t="s">
        <v>74</v>
      </c>
      <c r="H2589" s="15" t="s">
        <v>13214</v>
      </c>
      <c r="I2589" s="15" t="s">
        <v>13215</v>
      </c>
      <c r="J2589" s="15" t="s">
        <v>13216</v>
      </c>
      <c r="K2589" s="15" t="s">
        <v>614</v>
      </c>
      <c r="L2589" s="15" t="s">
        <v>615</v>
      </c>
      <c r="M2589" s="15" t="s">
        <v>616</v>
      </c>
      <c r="N2589" s="15" t="s">
        <v>617</v>
      </c>
      <c r="O2589" s="15" t="s">
        <v>82</v>
      </c>
      <c r="P2589" s="15" t="s">
        <v>1251</v>
      </c>
      <c r="Q2589" s="15" t="s">
        <v>1252</v>
      </c>
      <c r="R2589" s="16">
        <v>44329</v>
      </c>
      <c r="S2589" s="17" t="s">
        <v>70</v>
      </c>
      <c r="T2589" s="20">
        <f>HYPERLINK("https://vnm.spiral.com.vn//uploaded/20210513/F9D32641-D6D2-4696-BC7B-B7F049A060FC.jpg","08:50:15")</f>
      </c>
      <c r="U2589" s="20">
        <f>HYPERLINK("https://vnm.spiral.com.vn//uploaded/20210513/DFB092DC-E142-4586-9B93-85875C63A993.jpg","09:20:42")</f>
      </c>
      <c r="V2589" s="18">
        <v>0.021145833333333332</v>
      </c>
      <c r="W2589" s="15" t="s">
        <v>13217</v>
      </c>
      <c r="X2589" s="15" t="s">
        <v>13218</v>
      </c>
      <c r="Y2589" s="15" t="s">
        <v>35</v>
      </c>
      <c r="Z2589" s="19">
        <v>0</v>
      </c>
      <c r="AA2589" s="15">
        <v>0</v>
      </c>
      <c r="AB2589" s="15" t="s">
        <v>35</v>
      </c>
    </row>
    <row r="2590">
      <c r="A2590" s="15">
        <v>2586</v>
      </c>
      <c r="B2590" s="15" t="s">
        <v>61</v>
      </c>
      <c r="C2590" s="15" t="s">
        <v>303</v>
      </c>
      <c r="D2590" s="15" t="s">
        <v>135</v>
      </c>
      <c r="E2590" s="15" t="s">
        <v>116</v>
      </c>
      <c r="F2590" s="15" t="s">
        <v>35</v>
      </c>
      <c r="G2590" s="15" t="s">
        <v>74</v>
      </c>
      <c r="H2590" s="15" t="s">
        <v>13219</v>
      </c>
      <c r="I2590" s="15" t="s">
        <v>13220</v>
      </c>
      <c r="J2590" s="15" t="s">
        <v>13221</v>
      </c>
      <c r="K2590" s="15" t="s">
        <v>232</v>
      </c>
      <c r="L2590" s="15" t="s">
        <v>233</v>
      </c>
      <c r="M2590" s="15" t="s">
        <v>503</v>
      </c>
      <c r="N2590" s="15" t="s">
        <v>504</v>
      </c>
      <c r="O2590" s="15" t="s">
        <v>82</v>
      </c>
      <c r="P2590" s="15" t="s">
        <v>2063</v>
      </c>
      <c r="Q2590" s="15" t="s">
        <v>2064</v>
      </c>
      <c r="R2590" s="16">
        <v>44329</v>
      </c>
      <c r="S2590" s="17" t="s">
        <v>70</v>
      </c>
      <c r="T2590" s="20">
        <f>HYPERLINK("https://vnm.spiral.com.vn//uploaded/20210513/BDD3C9AB-492A-4EAB-A4C0-A80DA9379F61.jpg","08:49:59")</f>
      </c>
      <c r="U2590" s="20">
        <f>HYPERLINK("https://vnm.spiral.com.vn//uploaded/20210513/4EB2B520-EB19-47E1-86FE-B1FE61ABB67F.jpg","09:20:37")</f>
      </c>
      <c r="V2590" s="18">
        <v>0.02127314814814815</v>
      </c>
      <c r="W2590" s="15" t="s">
        <v>13222</v>
      </c>
      <c r="X2590" s="15" t="s">
        <v>13223</v>
      </c>
      <c r="Y2590" s="15" t="s">
        <v>35</v>
      </c>
      <c r="Z2590" s="19">
        <v>0</v>
      </c>
      <c r="AA2590" s="15">
        <v>0</v>
      </c>
      <c r="AB2590" s="15" t="s">
        <v>35</v>
      </c>
    </row>
    <row r="2591">
      <c r="A2591" s="15">
        <v>2587</v>
      </c>
      <c r="B2591" s="15" t="s">
        <v>87</v>
      </c>
      <c r="C2591" s="15" t="s">
        <v>88</v>
      </c>
      <c r="D2591" s="15" t="s">
        <v>432</v>
      </c>
      <c r="E2591" s="15" t="s">
        <v>116</v>
      </c>
      <c r="F2591" s="15" t="s">
        <v>35</v>
      </c>
      <c r="G2591" s="15" t="s">
        <v>74</v>
      </c>
      <c r="H2591" s="15" t="s">
        <v>13224</v>
      </c>
      <c r="I2591" s="15" t="s">
        <v>13225</v>
      </c>
      <c r="J2591" s="15" t="s">
        <v>13226</v>
      </c>
      <c r="K2591" s="15" t="s">
        <v>625</v>
      </c>
      <c r="L2591" s="15" t="s">
        <v>626</v>
      </c>
      <c r="M2591" s="15" t="s">
        <v>1022</v>
      </c>
      <c r="N2591" s="15" t="s">
        <v>1023</v>
      </c>
      <c r="O2591" s="15" t="s">
        <v>82</v>
      </c>
      <c r="P2591" s="15" t="s">
        <v>2209</v>
      </c>
      <c r="Q2591" s="15" t="s">
        <v>2210</v>
      </c>
      <c r="R2591" s="16">
        <v>44329</v>
      </c>
      <c r="S2591" s="17" t="s">
        <v>70</v>
      </c>
      <c r="T2591" s="20">
        <f>HYPERLINK("https://vnm.spiral.com.vn//uploaded/20210513/7825d61a-2a75-45cd-9443-02cfabe64f12.jpg","08:48:41")</f>
      </c>
      <c r="U2591" s="20">
        <f>HYPERLINK("https://vnm.spiral.com.vn//uploaded/20210513/11cf8158-cdea-425e-a116-fc94872eee66.jpg","09:20:27")</f>
      </c>
      <c r="V2591" s="18">
        <v>0.022060185185185186</v>
      </c>
      <c r="W2591" s="15" t="s">
        <v>13227</v>
      </c>
      <c r="X2591" s="15" t="s">
        <v>13228</v>
      </c>
      <c r="Y2591" s="15" t="s">
        <v>35</v>
      </c>
      <c r="Z2591" s="19">
        <v>0</v>
      </c>
      <c r="AA2591" s="15">
        <v>0</v>
      </c>
      <c r="AB2591" s="15" t="s">
        <v>35</v>
      </c>
    </row>
    <row r="2592">
      <c r="A2592" s="15">
        <v>2588</v>
      </c>
      <c r="B2592" s="15" t="s">
        <v>87</v>
      </c>
      <c r="C2592" s="15" t="s">
        <v>88</v>
      </c>
      <c r="D2592" s="15" t="s">
        <v>432</v>
      </c>
      <c r="E2592" s="15" t="s">
        <v>116</v>
      </c>
      <c r="F2592" s="15" t="s">
        <v>35</v>
      </c>
      <c r="G2592" s="15" t="s">
        <v>74</v>
      </c>
      <c r="H2592" s="15" t="s">
        <v>13224</v>
      </c>
      <c r="I2592" s="15" t="s">
        <v>13225</v>
      </c>
      <c r="J2592" s="15" t="s">
        <v>13226</v>
      </c>
      <c r="K2592" s="15" t="s">
        <v>94</v>
      </c>
      <c r="L2592" s="15" t="s">
        <v>95</v>
      </c>
      <c r="M2592" s="15" t="s">
        <v>625</v>
      </c>
      <c r="N2592" s="15" t="s">
        <v>626</v>
      </c>
      <c r="O2592" s="15" t="s">
        <v>98</v>
      </c>
      <c r="P2592" s="15" t="s">
        <v>1022</v>
      </c>
      <c r="Q2592" s="15" t="s">
        <v>1023</v>
      </c>
      <c r="R2592" s="16">
        <v>44329</v>
      </c>
      <c r="S2592" s="17" t="s">
        <v>70</v>
      </c>
      <c r="T2592" s="20">
        <f>HYPERLINK("https://vnm.spiral.com.vn//uploaded/20210513/273a8257-5eec-4c3d-8343-ab73d6bd836d.JPEG","08:48:52")</f>
      </c>
      <c r="U2592" s="20">
        <f>HYPERLINK("https://vnm.spiral.com.vn//uploaded/20210513/a0afdaf0-edcf-4731-958e-a060498b4e0d.JPEG","09:20:12")</f>
      </c>
      <c r="V2592" s="18">
        <v>0.02175925925925926</v>
      </c>
      <c r="W2592" s="15" t="s">
        <v>13229</v>
      </c>
      <c r="X2592" s="15" t="s">
        <v>13230</v>
      </c>
      <c r="Y2592" s="15" t="s">
        <v>35</v>
      </c>
      <c r="Z2592" s="19">
        <v>0</v>
      </c>
      <c r="AA2592" s="15">
        <v>0</v>
      </c>
      <c r="AB2592" s="15" t="s">
        <v>35</v>
      </c>
    </row>
    <row r="2593">
      <c r="A2593" s="15">
        <v>2589</v>
      </c>
      <c r="B2593" s="15" t="s">
        <v>87</v>
      </c>
      <c r="C2593" s="15" t="s">
        <v>88</v>
      </c>
      <c r="D2593" s="15" t="s">
        <v>35</v>
      </c>
      <c r="E2593" s="15" t="s">
        <v>35</v>
      </c>
      <c r="F2593" s="15" t="s">
        <v>35</v>
      </c>
      <c r="G2593" s="15" t="s">
        <v>74</v>
      </c>
      <c r="H2593" s="15" t="s">
        <v>13231</v>
      </c>
      <c r="I2593" s="15" t="s">
        <v>13232</v>
      </c>
      <c r="J2593" s="15" t="s">
        <v>13233</v>
      </c>
      <c r="K2593" s="15" t="s">
        <v>888</v>
      </c>
      <c r="L2593" s="15" t="s">
        <v>889</v>
      </c>
      <c r="M2593" s="15" t="s">
        <v>924</v>
      </c>
      <c r="N2593" s="15" t="s">
        <v>925</v>
      </c>
      <c r="O2593" s="15" t="s">
        <v>82</v>
      </c>
      <c r="P2593" s="15" t="s">
        <v>1987</v>
      </c>
      <c r="Q2593" s="15" t="s">
        <v>1988</v>
      </c>
      <c r="R2593" s="16">
        <v>44329</v>
      </c>
      <c r="S2593" s="17" t="s">
        <v>70</v>
      </c>
      <c r="T2593" s="20">
        <f>HYPERLINK("https://vnm.spiral.com.vn//uploaded/20210513/63e96d4c-74b7-402e-b8c6-023a0e8adb0c.JPEG","09:03:48")</f>
      </c>
      <c r="U2593" s="20">
        <f>HYPERLINK("https://vnm.spiral.com.vn//uploaded/20210513/c7f7aed6-f26a-4386-9889-df3f193ad459.JPEG","09:19:41")</f>
      </c>
      <c r="V2593" s="18">
        <v>0.011030092592592593</v>
      </c>
      <c r="W2593" s="15" t="s">
        <v>13234</v>
      </c>
      <c r="X2593" s="15" t="s">
        <v>13235</v>
      </c>
      <c r="Y2593" s="15" t="s">
        <v>35</v>
      </c>
      <c r="Z2593" s="19">
        <v>0</v>
      </c>
      <c r="AA2593" s="15">
        <v>0</v>
      </c>
      <c r="AB2593" s="15" t="s">
        <v>35</v>
      </c>
    </row>
    <row r="2594">
      <c r="A2594" s="15">
        <v>2590</v>
      </c>
      <c r="B2594" s="15" t="s">
        <v>61</v>
      </c>
      <c r="C2594" s="15" t="s">
        <v>712</v>
      </c>
      <c r="D2594" s="15" t="s">
        <v>35</v>
      </c>
      <c r="E2594" s="15" t="s">
        <v>35</v>
      </c>
      <c r="F2594" s="15" t="s">
        <v>35</v>
      </c>
      <c r="G2594" s="15" t="s">
        <v>36</v>
      </c>
      <c r="H2594" s="15" t="s">
        <v>13236</v>
      </c>
      <c r="I2594" s="15" t="s">
        <v>13237</v>
      </c>
      <c r="J2594" s="15" t="s">
        <v>13238</v>
      </c>
      <c r="K2594" s="15" t="s">
        <v>40</v>
      </c>
      <c r="L2594" s="15" t="s">
        <v>41</v>
      </c>
      <c r="M2594" s="15" t="s">
        <v>205</v>
      </c>
      <c r="N2594" s="15" t="s">
        <v>206</v>
      </c>
      <c r="O2594" s="15" t="s">
        <v>44</v>
      </c>
      <c r="P2594" s="15" t="s">
        <v>13239</v>
      </c>
      <c r="Q2594" s="15" t="s">
        <v>13240</v>
      </c>
      <c r="R2594" s="16">
        <v>44329</v>
      </c>
      <c r="S2594" s="17" t="s">
        <v>718</v>
      </c>
      <c r="T2594" s="20">
        <f>HYPERLINK("https://vnm.spiral.com.vn//uploaded/20210513/3a4d9af7-5456-42d7-90a2-09d33c47e5fc.JPEG","09:19:24")</f>
      </c>
      <c r="U2594" s="18"/>
      <c r="V2594" s="18" t="s">
        <v>35</v>
      </c>
      <c r="W2594" s="15" t="s">
        <v>13241</v>
      </c>
      <c r="X2594" s="15" t="s">
        <v>35</v>
      </c>
      <c r="Y2594" s="15" t="s">
        <v>35</v>
      </c>
      <c r="Z2594" s="19">
        <v>0</v>
      </c>
      <c r="AA2594" s="15">
        <v>0</v>
      </c>
      <c r="AB2594" s="15" t="s">
        <v>35</v>
      </c>
    </row>
    <row r="2595">
      <c r="A2595" s="15">
        <v>2591</v>
      </c>
      <c r="B2595" s="15" t="s">
        <v>343</v>
      </c>
      <c r="C2595" s="15" t="s">
        <v>344</v>
      </c>
      <c r="D2595" s="15" t="s">
        <v>35</v>
      </c>
      <c r="E2595" s="15" t="s">
        <v>35</v>
      </c>
      <c r="F2595" s="15" t="s">
        <v>35</v>
      </c>
      <c r="G2595" s="15" t="s">
        <v>36</v>
      </c>
      <c r="H2595" s="15" t="s">
        <v>13242</v>
      </c>
      <c r="I2595" s="15" t="s">
        <v>13243</v>
      </c>
      <c r="J2595" s="15" t="s">
        <v>13244</v>
      </c>
      <c r="K2595" s="15" t="s">
        <v>40</v>
      </c>
      <c r="L2595" s="15" t="s">
        <v>41</v>
      </c>
      <c r="M2595" s="15" t="s">
        <v>42</v>
      </c>
      <c r="N2595" s="15" t="s">
        <v>43</v>
      </c>
      <c r="O2595" s="15" t="s">
        <v>44</v>
      </c>
      <c r="P2595" s="15" t="s">
        <v>13245</v>
      </c>
      <c r="Q2595" s="15" t="s">
        <v>3122</v>
      </c>
      <c r="R2595" s="16">
        <v>44329</v>
      </c>
      <c r="S2595" s="17" t="s">
        <v>9350</v>
      </c>
      <c r="T2595" s="20">
        <f>HYPERLINK("https://vnm.spiral.com.vn//uploaded/20210513/0fd909ab-293c-4443-8211-76c5118d3ad3.JPEG","09:18:54")</f>
      </c>
      <c r="U2595" s="18"/>
      <c r="V2595" s="18" t="s">
        <v>35</v>
      </c>
      <c r="W2595" s="15" t="s">
        <v>13246</v>
      </c>
      <c r="X2595" s="15" t="s">
        <v>35</v>
      </c>
      <c r="Y2595" s="15" t="s">
        <v>35</v>
      </c>
      <c r="Z2595" s="19">
        <v>0</v>
      </c>
      <c r="AA2595" s="15">
        <v>0</v>
      </c>
      <c r="AB2595" s="15" t="s">
        <v>35</v>
      </c>
    </row>
    <row r="2596">
      <c r="A2596" s="15">
        <v>2592</v>
      </c>
      <c r="B2596" s="15" t="s">
        <v>87</v>
      </c>
      <c r="C2596" s="15" t="s">
        <v>88</v>
      </c>
      <c r="D2596" s="15" t="s">
        <v>1910</v>
      </c>
      <c r="E2596" s="15" t="s">
        <v>1910</v>
      </c>
      <c r="F2596" s="15" t="s">
        <v>35</v>
      </c>
      <c r="G2596" s="15" t="s">
        <v>74</v>
      </c>
      <c r="H2596" s="15" t="s">
        <v>13247</v>
      </c>
      <c r="I2596" s="15" t="s">
        <v>13248</v>
      </c>
      <c r="J2596" s="15" t="s">
        <v>13249</v>
      </c>
      <c r="K2596" s="15" t="s">
        <v>888</v>
      </c>
      <c r="L2596" s="15" t="s">
        <v>889</v>
      </c>
      <c r="M2596" s="15" t="s">
        <v>890</v>
      </c>
      <c r="N2596" s="15" t="s">
        <v>891</v>
      </c>
      <c r="O2596" s="15" t="s">
        <v>82</v>
      </c>
      <c r="P2596" s="15" t="s">
        <v>1914</v>
      </c>
      <c r="Q2596" s="15" t="s">
        <v>1915</v>
      </c>
      <c r="R2596" s="16">
        <v>44329</v>
      </c>
      <c r="S2596" s="17" t="s">
        <v>70</v>
      </c>
      <c r="T2596" s="20">
        <f>HYPERLINK("https://vnm.spiral.com.vn//uploaded/20210513/28282A7F-1A2A-47DB-B068-E35DFA51B230.jpg","08:56:39")</f>
      </c>
      <c r="U2596" s="20">
        <f>HYPERLINK("https://vnm.spiral.com.vn//uploaded/20210513/EC6CBF8A-4962-426C-88E4-6B9F572A7A55.jpg","09:18:36")</f>
      </c>
      <c r="V2596" s="18">
        <v>0.015243055555555555</v>
      </c>
      <c r="W2596" s="15" t="s">
        <v>12566</v>
      </c>
      <c r="X2596" s="15" t="s">
        <v>12566</v>
      </c>
      <c r="Y2596" s="15" t="s">
        <v>35</v>
      </c>
      <c r="Z2596" s="19">
        <v>0</v>
      </c>
      <c r="AA2596" s="15">
        <v>0</v>
      </c>
      <c r="AB2596" s="15" t="s">
        <v>35</v>
      </c>
    </row>
    <row r="2597">
      <c r="A2597" s="15">
        <v>2593</v>
      </c>
      <c r="B2597" s="15" t="s">
        <v>87</v>
      </c>
      <c r="C2597" s="15" t="s">
        <v>88</v>
      </c>
      <c r="D2597" s="15" t="s">
        <v>35</v>
      </c>
      <c r="E2597" s="15" t="s">
        <v>35</v>
      </c>
      <c r="F2597" s="15" t="s">
        <v>35</v>
      </c>
      <c r="G2597" s="15" t="s">
        <v>74</v>
      </c>
      <c r="H2597" s="15" t="s">
        <v>13250</v>
      </c>
      <c r="I2597" s="15" t="s">
        <v>13251</v>
      </c>
      <c r="J2597" s="15" t="s">
        <v>13252</v>
      </c>
      <c r="K2597" s="15" t="s">
        <v>190</v>
      </c>
      <c r="L2597" s="15" t="s">
        <v>191</v>
      </c>
      <c r="M2597" s="15" t="s">
        <v>888</v>
      </c>
      <c r="N2597" s="15" t="s">
        <v>889</v>
      </c>
      <c r="O2597" s="15" t="s">
        <v>98</v>
      </c>
      <c r="P2597" s="15" t="s">
        <v>890</v>
      </c>
      <c r="Q2597" s="15" t="s">
        <v>891</v>
      </c>
      <c r="R2597" s="16">
        <v>44329</v>
      </c>
      <c r="S2597" s="17" t="s">
        <v>35</v>
      </c>
      <c r="T2597" s="20">
        <f>HYPERLINK("https://vnm.spiral.com.vn//uploaded/20210513/EE29BD59-6E9E-441A-B198-505A4E235E91.jpg","08:59:43")</f>
      </c>
      <c r="U2597" s="20">
        <f>HYPERLINK("https://vnm.spiral.com.vn//uploaded/20210513/BE49DDDE-6188-46ED-8C9C-41801E388856.jpg","09:18:23")</f>
      </c>
      <c r="V2597" s="18">
        <v>0.012962962962962963</v>
      </c>
      <c r="W2597" s="15" t="s">
        <v>13253</v>
      </c>
      <c r="X2597" s="15" t="s">
        <v>13254</v>
      </c>
      <c r="Y2597" s="15" t="s">
        <v>35</v>
      </c>
      <c r="Z2597" s="19">
        <v>0</v>
      </c>
      <c r="AA2597" s="15">
        <v>0</v>
      </c>
      <c r="AB2597" s="15" t="s">
        <v>35</v>
      </c>
    </row>
    <row r="2598">
      <c r="A2598" s="15">
        <v>2594</v>
      </c>
      <c r="B2598" s="15" t="s">
        <v>61</v>
      </c>
      <c r="C2598" s="15" t="s">
        <v>442</v>
      </c>
      <c r="D2598" s="15" t="s">
        <v>35</v>
      </c>
      <c r="E2598" s="15" t="s">
        <v>35</v>
      </c>
      <c r="F2598" s="15" t="s">
        <v>35</v>
      </c>
      <c r="G2598" s="15" t="s">
        <v>36</v>
      </c>
      <c r="H2598" s="15" t="s">
        <v>13255</v>
      </c>
      <c r="I2598" s="15" t="s">
        <v>13256</v>
      </c>
      <c r="J2598" s="15" t="s">
        <v>13257</v>
      </c>
      <c r="K2598" s="15" t="s">
        <v>40</v>
      </c>
      <c r="L2598" s="15" t="s">
        <v>41</v>
      </c>
      <c r="M2598" s="15" t="s">
        <v>205</v>
      </c>
      <c r="N2598" s="15" t="s">
        <v>206</v>
      </c>
      <c r="O2598" s="15" t="s">
        <v>44</v>
      </c>
      <c r="P2598" s="15" t="s">
        <v>13258</v>
      </c>
      <c r="Q2598" s="15" t="s">
        <v>3425</v>
      </c>
      <c r="R2598" s="16">
        <v>44329</v>
      </c>
      <c r="S2598" s="17" t="s">
        <v>35</v>
      </c>
      <c r="T2598" s="20">
        <f>HYPERLINK("https://vnm.spiral.com.vn//uploaded/20210513/5f1ef6b1-cc9f-4550-acdd-5518bf0886e4.JPEG","09:17:31")</f>
      </c>
      <c r="U2598" s="18"/>
      <c r="V2598" s="18" t="s">
        <v>35</v>
      </c>
      <c r="W2598" s="15" t="s">
        <v>13259</v>
      </c>
      <c r="X2598" s="15" t="s">
        <v>35</v>
      </c>
      <c r="Y2598" s="15" t="s">
        <v>35</v>
      </c>
      <c r="Z2598" s="19">
        <v>0</v>
      </c>
      <c r="AA2598" s="15">
        <v>0</v>
      </c>
      <c r="AB2598" s="15" t="s">
        <v>35</v>
      </c>
    </row>
    <row r="2599">
      <c r="A2599" s="15">
        <v>2595</v>
      </c>
      <c r="B2599" s="15" t="s">
        <v>87</v>
      </c>
      <c r="C2599" s="15" t="s">
        <v>88</v>
      </c>
      <c r="D2599" s="15" t="s">
        <v>74</v>
      </c>
      <c r="E2599" s="15" t="s">
        <v>90</v>
      </c>
      <c r="F2599" s="15" t="s">
        <v>35</v>
      </c>
      <c r="G2599" s="15" t="s">
        <v>74</v>
      </c>
      <c r="H2599" s="15" t="s">
        <v>13260</v>
      </c>
      <c r="I2599" s="15" t="s">
        <v>13261</v>
      </c>
      <c r="J2599" s="15" t="s">
        <v>13262</v>
      </c>
      <c r="K2599" s="15" t="s">
        <v>190</v>
      </c>
      <c r="L2599" s="15" t="s">
        <v>191</v>
      </c>
      <c r="M2599" s="15" t="s">
        <v>1031</v>
      </c>
      <c r="N2599" s="15" t="s">
        <v>1032</v>
      </c>
      <c r="O2599" s="15" t="s">
        <v>82</v>
      </c>
      <c r="P2599" s="15" t="s">
        <v>2961</v>
      </c>
      <c r="Q2599" s="15" t="s">
        <v>2962</v>
      </c>
      <c r="R2599" s="16">
        <v>44329</v>
      </c>
      <c r="S2599" s="17" t="s">
        <v>70</v>
      </c>
      <c r="T2599" s="20">
        <f>HYPERLINK("https://vnm.spiral.com.vn//uploaded/20210513/1ACC7C6D-7816-41CC-9BC9-E90E130E6986.jpg","09:01:32")</f>
      </c>
      <c r="U2599" s="20">
        <f>HYPERLINK("https://vnm.spiral.com.vn//uploaded/20210513/D17322D0-7C0F-4DC4-B835-151EE73D841D.jpg","09:17:11")</f>
      </c>
      <c r="V2599" s="18">
        <v>0.010868055555555556</v>
      </c>
      <c r="W2599" s="15" t="s">
        <v>13263</v>
      </c>
      <c r="X2599" s="15" t="s">
        <v>13264</v>
      </c>
      <c r="Y2599" s="15" t="s">
        <v>35</v>
      </c>
      <c r="Z2599" s="19">
        <v>0</v>
      </c>
      <c r="AA2599" s="15">
        <v>0</v>
      </c>
      <c r="AB2599" s="15" t="s">
        <v>35</v>
      </c>
    </row>
    <row r="2600">
      <c r="A2600" s="15">
        <v>2596</v>
      </c>
      <c r="B2600" s="15" t="s">
        <v>343</v>
      </c>
      <c r="C2600" s="15" t="s">
        <v>344</v>
      </c>
      <c r="D2600" s="15" t="s">
        <v>432</v>
      </c>
      <c r="E2600" s="15" t="s">
        <v>116</v>
      </c>
      <c r="F2600" s="15" t="s">
        <v>35</v>
      </c>
      <c r="G2600" s="15" t="s">
        <v>74</v>
      </c>
      <c r="H2600" s="15" t="s">
        <v>13265</v>
      </c>
      <c r="I2600" s="15" t="s">
        <v>13266</v>
      </c>
      <c r="J2600" s="15" t="s">
        <v>13267</v>
      </c>
      <c r="K2600" s="15" t="s">
        <v>1168</v>
      </c>
      <c r="L2600" s="15" t="s">
        <v>1169</v>
      </c>
      <c r="M2600" s="15" t="s">
        <v>1170</v>
      </c>
      <c r="N2600" s="15" t="s">
        <v>1171</v>
      </c>
      <c r="O2600" s="15" t="s">
        <v>82</v>
      </c>
      <c r="P2600" s="15" t="s">
        <v>11579</v>
      </c>
      <c r="Q2600" s="15" t="s">
        <v>11580</v>
      </c>
      <c r="R2600" s="16">
        <v>44329</v>
      </c>
      <c r="S2600" s="17" t="s">
        <v>70</v>
      </c>
      <c r="T2600" s="20">
        <f>HYPERLINK("https://vnm.spiral.com.vn//uploaded/20210513/fc9374b3-0ac4-4462-9630-9bc2f0a53d2a.JPEG","08:27:42")</f>
      </c>
      <c r="U2600" s="20">
        <f>HYPERLINK("https://vnm.spiral.com.vn//uploaded/20210513/8d877772-ec21-4e8c-9271-08e0c91c4bd8.JPEG","09:16:53")</f>
      </c>
      <c r="V2600" s="18">
        <v>0.03415509259259259</v>
      </c>
      <c r="W2600" s="15" t="s">
        <v>13268</v>
      </c>
      <c r="X2600" s="15" t="s">
        <v>13269</v>
      </c>
      <c r="Y2600" s="15" t="s">
        <v>35</v>
      </c>
      <c r="Z2600" s="19">
        <v>0</v>
      </c>
      <c r="AA2600" s="15">
        <v>0</v>
      </c>
      <c r="AB2600" s="15" t="s">
        <v>35</v>
      </c>
    </row>
    <row r="2601">
      <c r="A2601" s="15">
        <v>2597</v>
      </c>
      <c r="B2601" s="15" t="s">
        <v>87</v>
      </c>
      <c r="C2601" s="15" t="s">
        <v>88</v>
      </c>
      <c r="D2601" s="15" t="s">
        <v>135</v>
      </c>
      <c r="E2601" s="15" t="s">
        <v>116</v>
      </c>
      <c r="F2601" s="15" t="s">
        <v>35</v>
      </c>
      <c r="G2601" s="15" t="s">
        <v>74</v>
      </c>
      <c r="H2601" s="15" t="s">
        <v>13270</v>
      </c>
      <c r="I2601" s="15" t="s">
        <v>13271</v>
      </c>
      <c r="J2601" s="15" t="s">
        <v>13272</v>
      </c>
      <c r="K2601" s="15" t="s">
        <v>390</v>
      </c>
      <c r="L2601" s="15" t="s">
        <v>391</v>
      </c>
      <c r="M2601" s="15" t="s">
        <v>392</v>
      </c>
      <c r="N2601" s="15" t="s">
        <v>393</v>
      </c>
      <c r="O2601" s="15" t="s">
        <v>82</v>
      </c>
      <c r="P2601" s="15" t="s">
        <v>394</v>
      </c>
      <c r="Q2601" s="15" t="s">
        <v>395</v>
      </c>
      <c r="R2601" s="16">
        <v>44329</v>
      </c>
      <c r="S2601" s="17" t="s">
        <v>70</v>
      </c>
      <c r="T2601" s="20">
        <f>HYPERLINK("https://vnm.spiral.com.vn//uploaded/20210513/a0557076-cb64-4efb-a005-8c965d76b588.JPEG","07:54:24")</f>
      </c>
      <c r="U2601" s="20">
        <f>HYPERLINK("https://vnm.spiral.com.vn//uploaded/20210513/c8e6f9fa-d132-4788-9949-78adcf15a9da.JPEG","09:16:44")</f>
      </c>
      <c r="V2601" s="18">
        <v>0.05717592592592593</v>
      </c>
      <c r="W2601" s="15" t="s">
        <v>13273</v>
      </c>
      <c r="X2601" s="15" t="s">
        <v>13274</v>
      </c>
      <c r="Y2601" s="15" t="s">
        <v>35</v>
      </c>
      <c r="Z2601" s="19">
        <v>0</v>
      </c>
      <c r="AA2601" s="15">
        <v>0</v>
      </c>
      <c r="AB2601" s="15" t="s">
        <v>35</v>
      </c>
    </row>
    <row r="2602">
      <c r="A2602" s="15">
        <v>2598</v>
      </c>
      <c r="B2602" s="15" t="s">
        <v>343</v>
      </c>
      <c r="C2602" s="15" t="s">
        <v>344</v>
      </c>
      <c r="D2602" s="15" t="s">
        <v>432</v>
      </c>
      <c r="E2602" s="15" t="s">
        <v>116</v>
      </c>
      <c r="F2602" s="15" t="s">
        <v>35</v>
      </c>
      <c r="G2602" s="15" t="s">
        <v>74</v>
      </c>
      <c r="H2602" s="15" t="s">
        <v>13275</v>
      </c>
      <c r="I2602" s="15" t="s">
        <v>13276</v>
      </c>
      <c r="J2602" s="15" t="s">
        <v>13277</v>
      </c>
      <c r="K2602" s="15" t="s">
        <v>512</v>
      </c>
      <c r="L2602" s="15" t="s">
        <v>513</v>
      </c>
      <c r="M2602" s="15" t="s">
        <v>514</v>
      </c>
      <c r="N2602" s="15" t="s">
        <v>515</v>
      </c>
      <c r="O2602" s="15" t="s">
        <v>82</v>
      </c>
      <c r="P2602" s="15" t="s">
        <v>1334</v>
      </c>
      <c r="Q2602" s="15" t="s">
        <v>1335</v>
      </c>
      <c r="R2602" s="16">
        <v>44329</v>
      </c>
      <c r="S2602" s="17" t="s">
        <v>70</v>
      </c>
      <c r="T2602" s="20">
        <f>HYPERLINK("https://vnm.spiral.com.vn//uploaded/20210513/A1DE9964-13FE-4E70-B6EE-6E2CA2F1B533.jpg","07:50:28")</f>
      </c>
      <c r="U2602" s="20">
        <f>HYPERLINK("https://vnm.spiral.com.vn//uploaded/20210513/1D5A792E-D97C-461B-8AB6-FA6DD6DBF85B.jpg","09:16:32")</f>
      </c>
      <c r="V2602" s="18">
        <v>0.05976851851851852</v>
      </c>
      <c r="W2602" s="15" t="s">
        <v>13278</v>
      </c>
      <c r="X2602" s="15" t="s">
        <v>11645</v>
      </c>
      <c r="Y2602" s="15" t="s">
        <v>35</v>
      </c>
      <c r="Z2602" s="19">
        <v>0</v>
      </c>
      <c r="AA2602" s="15">
        <v>0</v>
      </c>
      <c r="AB2602" s="15" t="s">
        <v>35</v>
      </c>
    </row>
    <row r="2603">
      <c r="A2603" s="15">
        <v>2599</v>
      </c>
      <c r="B2603" s="15" t="s">
        <v>87</v>
      </c>
      <c r="C2603" s="15" t="s">
        <v>88</v>
      </c>
      <c r="D2603" s="15" t="s">
        <v>610</v>
      </c>
      <c r="E2603" s="15" t="s">
        <v>90</v>
      </c>
      <c r="F2603" s="15" t="s">
        <v>35</v>
      </c>
      <c r="G2603" s="15" t="s">
        <v>74</v>
      </c>
      <c r="H2603" s="15" t="s">
        <v>13279</v>
      </c>
      <c r="I2603" s="15" t="s">
        <v>13280</v>
      </c>
      <c r="J2603" s="15" t="s">
        <v>13281</v>
      </c>
      <c r="K2603" s="15" t="s">
        <v>614</v>
      </c>
      <c r="L2603" s="15" t="s">
        <v>615</v>
      </c>
      <c r="M2603" s="15" t="s">
        <v>616</v>
      </c>
      <c r="N2603" s="15" t="s">
        <v>617</v>
      </c>
      <c r="O2603" s="15" t="s">
        <v>82</v>
      </c>
      <c r="P2603" s="15" t="s">
        <v>1846</v>
      </c>
      <c r="Q2603" s="15" t="s">
        <v>1847</v>
      </c>
      <c r="R2603" s="16">
        <v>44329</v>
      </c>
      <c r="S2603" s="17" t="s">
        <v>70</v>
      </c>
      <c r="T2603" s="20">
        <f>HYPERLINK("https://vnm.spiral.com.vn//uploaded/20210513/dd46c0c7-0f00-4bc0-9d35-443c06a624b3.JPEG","08:57:12")</f>
      </c>
      <c r="U2603" s="20">
        <f>HYPERLINK("https://vnm.spiral.com.vn//uploaded/20210513/aee2a570-f028-4d61-b00f-dcb848910753.JPEG","09:16:27")</f>
      </c>
      <c r="V2603" s="18">
        <v>0.013368055555555555</v>
      </c>
      <c r="W2603" s="15" t="s">
        <v>13282</v>
      </c>
      <c r="X2603" s="15" t="s">
        <v>13283</v>
      </c>
      <c r="Y2603" s="15" t="s">
        <v>35</v>
      </c>
      <c r="Z2603" s="19">
        <v>0</v>
      </c>
      <c r="AA2603" s="15">
        <v>0</v>
      </c>
      <c r="AB2603" s="15" t="s">
        <v>35</v>
      </c>
    </row>
    <row r="2604">
      <c r="A2604" s="15">
        <v>2600</v>
      </c>
      <c r="B2604" s="15" t="s">
        <v>33</v>
      </c>
      <c r="C2604" s="15" t="s">
        <v>2999</v>
      </c>
      <c r="D2604" s="15" t="s">
        <v>35</v>
      </c>
      <c r="E2604" s="15" t="s">
        <v>35</v>
      </c>
      <c r="F2604" s="15" t="s">
        <v>35</v>
      </c>
      <c r="G2604" s="15" t="s">
        <v>74</v>
      </c>
      <c r="H2604" s="15" t="s">
        <v>13284</v>
      </c>
      <c r="I2604" s="15" t="s">
        <v>13285</v>
      </c>
      <c r="J2604" s="15" t="s">
        <v>13286</v>
      </c>
      <c r="K2604" s="15" t="s">
        <v>2887</v>
      </c>
      <c r="L2604" s="15" t="s">
        <v>2888</v>
      </c>
      <c r="M2604" s="15" t="s">
        <v>2889</v>
      </c>
      <c r="N2604" s="15" t="s">
        <v>2890</v>
      </c>
      <c r="O2604" s="15" t="s">
        <v>82</v>
      </c>
      <c r="P2604" s="15" t="s">
        <v>3003</v>
      </c>
      <c r="Q2604" s="15" t="s">
        <v>1155</v>
      </c>
      <c r="R2604" s="16">
        <v>44329</v>
      </c>
      <c r="S2604" s="17" t="s">
        <v>70</v>
      </c>
      <c r="T2604" s="20">
        <f>HYPERLINK("https://vnm.spiral.com.vn//uploaded/20210513/1a8fc336-c054-4366-bd1a-471c89d3943d.JPEG","08:35:29")</f>
      </c>
      <c r="U2604" s="20">
        <f>HYPERLINK("https://vnm.spiral.com.vn//uploaded/20210513/6fdab0b9-0ef5-49bb-8b11-d506d3165020.JPEG","09:16:09")</f>
      </c>
      <c r="V2604" s="18">
        <v>0.02824074074074074</v>
      </c>
      <c r="W2604" s="15" t="s">
        <v>13287</v>
      </c>
      <c r="X2604" s="15" t="s">
        <v>13288</v>
      </c>
      <c r="Y2604" s="15" t="s">
        <v>35</v>
      </c>
      <c r="Z2604" s="19">
        <v>0</v>
      </c>
      <c r="AA2604" s="15">
        <v>0</v>
      </c>
      <c r="AB2604" s="15" t="s">
        <v>35</v>
      </c>
    </row>
    <row r="2605">
      <c r="A2605" s="15">
        <v>2601</v>
      </c>
      <c r="B2605" s="15" t="s">
        <v>87</v>
      </c>
      <c r="C2605" s="15" t="s">
        <v>88</v>
      </c>
      <c r="D2605" s="15" t="s">
        <v>135</v>
      </c>
      <c r="E2605" s="15" t="s">
        <v>116</v>
      </c>
      <c r="F2605" s="15" t="s">
        <v>35</v>
      </c>
      <c r="G2605" s="15" t="s">
        <v>74</v>
      </c>
      <c r="H2605" s="15" t="s">
        <v>13289</v>
      </c>
      <c r="I2605" s="15" t="s">
        <v>13290</v>
      </c>
      <c r="J2605" s="15" t="s">
        <v>13291</v>
      </c>
      <c r="K2605" s="15" t="s">
        <v>390</v>
      </c>
      <c r="L2605" s="15" t="s">
        <v>391</v>
      </c>
      <c r="M2605" s="15" t="s">
        <v>392</v>
      </c>
      <c r="N2605" s="15" t="s">
        <v>393</v>
      </c>
      <c r="O2605" s="15" t="s">
        <v>82</v>
      </c>
      <c r="P2605" s="15" t="s">
        <v>1497</v>
      </c>
      <c r="Q2605" s="15" t="s">
        <v>1498</v>
      </c>
      <c r="R2605" s="16">
        <v>44329</v>
      </c>
      <c r="S2605" s="17" t="s">
        <v>70</v>
      </c>
      <c r="T2605" s="20">
        <f>HYPERLINK("https://vnm.spiral.com.vn//uploaded/20210513/111269da-4f91-470d-be07-7ce81dc5a1f4.JPEG","07:53:59")</f>
      </c>
      <c r="U2605" s="20">
        <f>HYPERLINK("https://vnm.spiral.com.vn//uploaded/20210513/09d23b14-58ea-4f1d-8ce6-8281f5e85c2f.JPEG","09:15:48")</f>
      </c>
      <c r="V2605" s="18">
        <v>0.05681712962962963</v>
      </c>
      <c r="W2605" s="15" t="s">
        <v>13292</v>
      </c>
      <c r="X2605" s="15" t="s">
        <v>13293</v>
      </c>
      <c r="Y2605" s="15" t="s">
        <v>35</v>
      </c>
      <c r="Z2605" s="19">
        <v>0</v>
      </c>
      <c r="AA2605" s="15">
        <v>0</v>
      </c>
      <c r="AB2605" s="15" t="s">
        <v>35</v>
      </c>
    </row>
    <row r="2606">
      <c r="A2606" s="15">
        <v>2602</v>
      </c>
      <c r="B2606" s="15" t="s">
        <v>246</v>
      </c>
      <c r="C2606" s="15" t="s">
        <v>259</v>
      </c>
      <c r="D2606" s="15" t="s">
        <v>432</v>
      </c>
      <c r="E2606" s="15" t="s">
        <v>116</v>
      </c>
      <c r="F2606" s="15" t="s">
        <v>35</v>
      </c>
      <c r="G2606" s="15" t="s">
        <v>74</v>
      </c>
      <c r="H2606" s="15" t="s">
        <v>13294</v>
      </c>
      <c r="I2606" s="15" t="s">
        <v>13295</v>
      </c>
      <c r="J2606" s="15" t="s">
        <v>13296</v>
      </c>
      <c r="K2606" s="15" t="s">
        <v>166</v>
      </c>
      <c r="L2606" s="15" t="s">
        <v>167</v>
      </c>
      <c r="M2606" s="15" t="s">
        <v>263</v>
      </c>
      <c r="N2606" s="15" t="s">
        <v>264</v>
      </c>
      <c r="O2606" s="15" t="s">
        <v>82</v>
      </c>
      <c r="P2606" s="15" t="s">
        <v>2514</v>
      </c>
      <c r="Q2606" s="15" t="s">
        <v>2515</v>
      </c>
      <c r="R2606" s="16">
        <v>44329</v>
      </c>
      <c r="S2606" s="17" t="s">
        <v>70</v>
      </c>
      <c r="T2606" s="20">
        <f>HYPERLINK("https://vnm.spiral.com.vn//uploaded/20210513/d4491871-507f-4941-b3b1-a605cc729f73.JPEG","08:23:10")</f>
      </c>
      <c r="U2606" s="20">
        <f>HYPERLINK("https://vnm.spiral.com.vn//uploaded/20210513/e0a90d7c-ebc9-42b0-9c8a-b03514daa7ff.JPEG","09:15:16")</f>
      </c>
      <c r="V2606" s="18">
        <v>0.036180555555555556</v>
      </c>
      <c r="W2606" s="15" t="s">
        <v>13297</v>
      </c>
      <c r="X2606" s="15" t="s">
        <v>13298</v>
      </c>
      <c r="Y2606" s="15" t="s">
        <v>35</v>
      </c>
      <c r="Z2606" s="19">
        <v>0</v>
      </c>
      <c r="AA2606" s="15">
        <v>0</v>
      </c>
      <c r="AB2606" s="15" t="s">
        <v>35</v>
      </c>
    </row>
    <row r="2607">
      <c r="A2607" s="15">
        <v>2603</v>
      </c>
      <c r="B2607" s="15" t="s">
        <v>87</v>
      </c>
      <c r="C2607" s="15" t="s">
        <v>88</v>
      </c>
      <c r="D2607" s="15" t="s">
        <v>35</v>
      </c>
      <c r="E2607" s="15" t="s">
        <v>35</v>
      </c>
      <c r="F2607" s="15" t="s">
        <v>35</v>
      </c>
      <c r="G2607" s="15" t="s">
        <v>74</v>
      </c>
      <c r="H2607" s="15" t="s">
        <v>13299</v>
      </c>
      <c r="I2607" s="15" t="s">
        <v>13300</v>
      </c>
      <c r="J2607" s="15" t="s">
        <v>13301</v>
      </c>
      <c r="K2607" s="15" t="s">
        <v>888</v>
      </c>
      <c r="L2607" s="15" t="s">
        <v>889</v>
      </c>
      <c r="M2607" s="15" t="s">
        <v>1666</v>
      </c>
      <c r="N2607" s="15" t="s">
        <v>1667</v>
      </c>
      <c r="O2607" s="15" t="s">
        <v>82</v>
      </c>
      <c r="P2607" s="15" t="s">
        <v>1668</v>
      </c>
      <c r="Q2607" s="15" t="s">
        <v>1669</v>
      </c>
      <c r="R2607" s="16">
        <v>44329</v>
      </c>
      <c r="S2607" s="17" t="s">
        <v>70</v>
      </c>
      <c r="T2607" s="20">
        <f>HYPERLINK("https://vnm.spiral.com.vn//uploaded/20210513/2FB96BFE-AAFC-4EA4-9686-18D4910958F9.jpg","08:59:29")</f>
      </c>
      <c r="U2607" s="20">
        <f>HYPERLINK("https://vnm.spiral.com.vn//uploaded/20210513/DDCF3816-65D7-4936-AC2C-6ED37B04FF3D.jpg","09:15:06")</f>
      </c>
      <c r="V2607" s="18">
        <v>0.010844907407407407</v>
      </c>
      <c r="W2607" s="15" t="s">
        <v>13302</v>
      </c>
      <c r="X2607" s="15" t="s">
        <v>13303</v>
      </c>
      <c r="Y2607" s="15" t="s">
        <v>35</v>
      </c>
      <c r="Z2607" s="19">
        <v>0</v>
      </c>
      <c r="AA2607" s="15">
        <v>0</v>
      </c>
      <c r="AB2607" s="15" t="s">
        <v>35</v>
      </c>
    </row>
    <row r="2608">
      <c r="A2608" s="15">
        <v>2604</v>
      </c>
      <c r="B2608" s="15" t="s">
        <v>61</v>
      </c>
      <c r="C2608" s="15" t="s">
        <v>303</v>
      </c>
      <c r="D2608" s="15" t="s">
        <v>89</v>
      </c>
      <c r="E2608" s="15" t="s">
        <v>90</v>
      </c>
      <c r="F2608" s="15" t="s">
        <v>35</v>
      </c>
      <c r="G2608" s="15" t="s">
        <v>74</v>
      </c>
      <c r="H2608" s="15" t="s">
        <v>2126</v>
      </c>
      <c r="I2608" s="15" t="s">
        <v>2127</v>
      </c>
      <c r="J2608" s="15" t="s">
        <v>2128</v>
      </c>
      <c r="K2608" s="15" t="s">
        <v>152</v>
      </c>
      <c r="L2608" s="15" t="s">
        <v>153</v>
      </c>
      <c r="M2608" s="15" t="s">
        <v>232</v>
      </c>
      <c r="N2608" s="15" t="s">
        <v>233</v>
      </c>
      <c r="O2608" s="15" t="s">
        <v>98</v>
      </c>
      <c r="P2608" s="15" t="s">
        <v>503</v>
      </c>
      <c r="Q2608" s="15" t="s">
        <v>504</v>
      </c>
      <c r="R2608" s="16">
        <v>44329</v>
      </c>
      <c r="S2608" s="17" t="s">
        <v>70</v>
      </c>
      <c r="T2608" s="20">
        <f>HYPERLINK("https://vnm.spiral.com.vn//uploaded/20210513/2fb47b01-90c4-4b9d-a3a3-fb60654f5dd6.JPEG","07:45:45")</f>
      </c>
      <c r="U2608" s="20">
        <f>HYPERLINK("https://vnm.spiral.com.vn//uploaded/20210513/0272dc7f-d779-4704-b7a1-fd113f17a41d.JPEG","09:14:46")</f>
      </c>
      <c r="V2608" s="18">
        <v>0.06181712962962963</v>
      </c>
      <c r="W2608" s="15" t="s">
        <v>13304</v>
      </c>
      <c r="X2608" s="15" t="s">
        <v>13305</v>
      </c>
      <c r="Y2608" s="15" t="s">
        <v>35</v>
      </c>
      <c r="Z2608" s="19">
        <v>0</v>
      </c>
      <c r="AA2608" s="15">
        <v>0</v>
      </c>
      <c r="AB2608" s="15" t="s">
        <v>35</v>
      </c>
    </row>
    <row r="2609">
      <c r="A2609" s="15">
        <v>2605</v>
      </c>
      <c r="B2609" s="15" t="s">
        <v>343</v>
      </c>
      <c r="C2609" s="15" t="s">
        <v>344</v>
      </c>
      <c r="D2609" s="15" t="s">
        <v>2601</v>
      </c>
      <c r="E2609" s="15" t="s">
        <v>35</v>
      </c>
      <c r="F2609" s="15" t="s">
        <v>35</v>
      </c>
      <c r="G2609" s="15" t="s">
        <v>74</v>
      </c>
      <c r="H2609" s="15" t="s">
        <v>13306</v>
      </c>
      <c r="I2609" s="15" t="s">
        <v>13307</v>
      </c>
      <c r="J2609" s="15" t="s">
        <v>13308</v>
      </c>
      <c r="K2609" s="15" t="s">
        <v>584</v>
      </c>
      <c r="L2609" s="15" t="s">
        <v>585</v>
      </c>
      <c r="M2609" s="15" t="s">
        <v>586</v>
      </c>
      <c r="N2609" s="15" t="s">
        <v>587</v>
      </c>
      <c r="O2609" s="15" t="s">
        <v>82</v>
      </c>
      <c r="P2609" s="15" t="s">
        <v>1385</v>
      </c>
      <c r="Q2609" s="15" t="s">
        <v>1386</v>
      </c>
      <c r="R2609" s="16">
        <v>44329</v>
      </c>
      <c r="S2609" s="17" t="s">
        <v>70</v>
      </c>
      <c r="T2609" s="20">
        <f>HYPERLINK("https://vnm.spiral.com.vn//uploaded/20210513/1497691f-b360-4938-ac80-3eda7224eb75.JPEG","08:44:54")</f>
      </c>
      <c r="U2609" s="20">
        <f>HYPERLINK("https://vnm.spiral.com.vn//uploaded/20210513/f28819ef-e091-4472-96a5-b8be7c4552c3.JPEG","09:14:41")</f>
      </c>
      <c r="V2609" s="18">
        <v>0.02068287037037037</v>
      </c>
      <c r="W2609" s="15" t="s">
        <v>13309</v>
      </c>
      <c r="X2609" s="15" t="s">
        <v>13310</v>
      </c>
      <c r="Y2609" s="15" t="s">
        <v>35</v>
      </c>
      <c r="Z2609" s="19">
        <v>0</v>
      </c>
      <c r="AA2609" s="15">
        <v>0</v>
      </c>
      <c r="AB2609" s="15" t="s">
        <v>35</v>
      </c>
    </row>
    <row r="2610">
      <c r="A2610" s="15">
        <v>2606</v>
      </c>
      <c r="B2610" s="15" t="s">
        <v>343</v>
      </c>
      <c r="C2610" s="15" t="s">
        <v>344</v>
      </c>
      <c r="D2610" s="15" t="s">
        <v>1644</v>
      </c>
      <c r="E2610" s="15" t="s">
        <v>35</v>
      </c>
      <c r="F2610" s="15" t="s">
        <v>35</v>
      </c>
      <c r="G2610" s="15" t="s">
        <v>74</v>
      </c>
      <c r="H2610" s="15" t="s">
        <v>13311</v>
      </c>
      <c r="I2610" s="15" t="s">
        <v>13312</v>
      </c>
      <c r="J2610" s="15" t="s">
        <v>13313</v>
      </c>
      <c r="K2610" s="15" t="s">
        <v>584</v>
      </c>
      <c r="L2610" s="15" t="s">
        <v>585</v>
      </c>
      <c r="M2610" s="15" t="s">
        <v>827</v>
      </c>
      <c r="N2610" s="15" t="s">
        <v>828</v>
      </c>
      <c r="O2610" s="15" t="s">
        <v>82</v>
      </c>
      <c r="P2610" s="15" t="s">
        <v>1648</v>
      </c>
      <c r="Q2610" s="15" t="s">
        <v>1649</v>
      </c>
      <c r="R2610" s="16">
        <v>44329</v>
      </c>
      <c r="S2610" s="17" t="s">
        <v>70</v>
      </c>
      <c r="T2610" s="20">
        <f>HYPERLINK("https://vnm.spiral.com.vn//uploaded/20210513/147bc2a2-0b64-4d99-983a-6389427c4d69.JPEG","08:53:09")</f>
      </c>
      <c r="U2610" s="20">
        <f>HYPERLINK("https://vnm.spiral.com.vn//uploaded/20210513/40c5ef28-436e-4d67-9e73-349156733ec4.JPEG","09:14:34")</f>
      </c>
      <c r="V2610" s="18">
        <v>0.014872685185185185</v>
      </c>
      <c r="W2610" s="15" t="s">
        <v>13314</v>
      </c>
      <c r="X2610" s="15" t="s">
        <v>13315</v>
      </c>
      <c r="Y2610" s="15" t="s">
        <v>35</v>
      </c>
      <c r="Z2610" s="19">
        <v>0</v>
      </c>
      <c r="AA2610" s="15">
        <v>0</v>
      </c>
      <c r="AB2610" s="15" t="s">
        <v>35</v>
      </c>
    </row>
    <row r="2611">
      <c r="A2611" s="15">
        <v>2607</v>
      </c>
      <c r="B2611" s="15" t="s">
        <v>87</v>
      </c>
      <c r="C2611" s="15" t="s">
        <v>88</v>
      </c>
      <c r="D2611" s="15" t="s">
        <v>1910</v>
      </c>
      <c r="E2611" s="15" t="s">
        <v>1910</v>
      </c>
      <c r="F2611" s="15" t="s">
        <v>35</v>
      </c>
      <c r="G2611" s="15" t="s">
        <v>74</v>
      </c>
      <c r="H2611" s="15" t="s">
        <v>13316</v>
      </c>
      <c r="I2611" s="15" t="s">
        <v>13317</v>
      </c>
      <c r="J2611" s="15" t="s">
        <v>13318</v>
      </c>
      <c r="K2611" s="15" t="s">
        <v>888</v>
      </c>
      <c r="L2611" s="15" t="s">
        <v>889</v>
      </c>
      <c r="M2611" s="15" t="s">
        <v>924</v>
      </c>
      <c r="N2611" s="15" t="s">
        <v>925</v>
      </c>
      <c r="O2611" s="15" t="s">
        <v>82</v>
      </c>
      <c r="P2611" s="15" t="s">
        <v>1140</v>
      </c>
      <c r="Q2611" s="15" t="s">
        <v>69</v>
      </c>
      <c r="R2611" s="16">
        <v>44329</v>
      </c>
      <c r="S2611" s="17" t="s">
        <v>70</v>
      </c>
      <c r="T2611" s="20">
        <f>HYPERLINK("https://vnm.spiral.com.vn//uploaded/20210513/97c77124-969a-4971-a0ed-927e1298b341.JPEG","07:13:39")</f>
      </c>
      <c r="U2611" s="20">
        <f>HYPERLINK("https://vnm.spiral.com.vn//uploaded/20210513/dd520a64-f1c7-45b0-8c96-95db7fe84820.JPEG","09:14:33")</f>
      </c>
      <c r="V2611" s="18">
        <v>0.08395833333333333</v>
      </c>
      <c r="W2611" s="15" t="s">
        <v>13319</v>
      </c>
      <c r="X2611" s="15" t="s">
        <v>13320</v>
      </c>
      <c r="Y2611" s="15" t="s">
        <v>35</v>
      </c>
      <c r="Z2611" s="19">
        <v>0</v>
      </c>
      <c r="AA2611" s="15">
        <v>0</v>
      </c>
      <c r="AB2611" s="15" t="s">
        <v>35</v>
      </c>
    </row>
    <row r="2612">
      <c r="A2612" s="15">
        <v>2608</v>
      </c>
      <c r="B2612" s="15" t="s">
        <v>87</v>
      </c>
      <c r="C2612" s="15" t="s">
        <v>88</v>
      </c>
      <c r="D2612" s="15" t="s">
        <v>35</v>
      </c>
      <c r="E2612" s="15" t="s">
        <v>35</v>
      </c>
      <c r="F2612" s="15" t="s">
        <v>35</v>
      </c>
      <c r="G2612" s="15" t="s">
        <v>74</v>
      </c>
      <c r="H2612" s="15" t="s">
        <v>13321</v>
      </c>
      <c r="I2612" s="15" t="s">
        <v>13322</v>
      </c>
      <c r="J2612" s="15" t="s">
        <v>13323</v>
      </c>
      <c r="K2612" s="15" t="s">
        <v>888</v>
      </c>
      <c r="L2612" s="15" t="s">
        <v>889</v>
      </c>
      <c r="M2612" s="15" t="s">
        <v>924</v>
      </c>
      <c r="N2612" s="15" t="s">
        <v>925</v>
      </c>
      <c r="O2612" s="15" t="s">
        <v>82</v>
      </c>
      <c r="P2612" s="15" t="s">
        <v>5478</v>
      </c>
      <c r="Q2612" s="15" t="s">
        <v>5479</v>
      </c>
      <c r="R2612" s="16">
        <v>44329</v>
      </c>
      <c r="S2612" s="17" t="s">
        <v>70</v>
      </c>
      <c r="T2612" s="20">
        <f>HYPERLINK("https://vnm.spiral.com.vn//uploaded/20210513/25e6f912-fc1c-4644-94b7-7973c11a5512.JPEG","08:57:32")</f>
      </c>
      <c r="U2612" s="20">
        <f>HYPERLINK("https://vnm.spiral.com.vn//uploaded/20210513/27be8064-9ec4-401b-9ad9-4b5a981fdcf3.JPEG","09:14:19")</f>
      </c>
      <c r="V2612" s="18">
        <v>0.011655092592592592</v>
      </c>
      <c r="W2612" s="15" t="s">
        <v>13324</v>
      </c>
      <c r="X2612" s="15" t="s">
        <v>13325</v>
      </c>
      <c r="Y2612" s="15" t="s">
        <v>35</v>
      </c>
      <c r="Z2612" s="19">
        <v>0</v>
      </c>
      <c r="AA2612" s="15">
        <v>0</v>
      </c>
      <c r="AB2612" s="15" t="s">
        <v>35</v>
      </c>
    </row>
    <row r="2613">
      <c r="A2613" s="15">
        <v>2609</v>
      </c>
      <c r="B2613" s="15" t="s">
        <v>343</v>
      </c>
      <c r="C2613" s="15" t="s">
        <v>344</v>
      </c>
      <c r="D2613" s="15" t="s">
        <v>432</v>
      </c>
      <c r="E2613" s="15" t="s">
        <v>116</v>
      </c>
      <c r="F2613" s="15" t="s">
        <v>35</v>
      </c>
      <c r="G2613" s="15" t="s">
        <v>74</v>
      </c>
      <c r="H2613" s="15" t="s">
        <v>13326</v>
      </c>
      <c r="I2613" s="15" t="s">
        <v>13327</v>
      </c>
      <c r="J2613" s="15" t="s">
        <v>13328</v>
      </c>
      <c r="K2613" s="15" t="s">
        <v>1168</v>
      </c>
      <c r="L2613" s="15" t="s">
        <v>1169</v>
      </c>
      <c r="M2613" s="15" t="s">
        <v>1170</v>
      </c>
      <c r="N2613" s="15" t="s">
        <v>1171</v>
      </c>
      <c r="O2613" s="15" t="s">
        <v>82</v>
      </c>
      <c r="P2613" s="15" t="s">
        <v>2597</v>
      </c>
      <c r="Q2613" s="15" t="s">
        <v>2598</v>
      </c>
      <c r="R2613" s="16">
        <v>44329</v>
      </c>
      <c r="S2613" s="17" t="s">
        <v>70</v>
      </c>
      <c r="T2613" s="20">
        <f>HYPERLINK("https://vnm.spiral.com.vn//uploaded/20210513/97d50096-6845-4aa1-9e00-d90879e6d107.JPEG","08:00:17")</f>
      </c>
      <c r="U2613" s="20">
        <f>HYPERLINK("https://vnm.spiral.com.vn//uploaded/20210513/dd0adea9-212c-41ed-9874-e83bb199186c.JPEG","09:14:17")</f>
      </c>
      <c r="V2613" s="18">
        <v>0.05138888888888889</v>
      </c>
      <c r="W2613" s="15" t="s">
        <v>13329</v>
      </c>
      <c r="X2613" s="15" t="s">
        <v>13330</v>
      </c>
      <c r="Y2613" s="15" t="s">
        <v>35</v>
      </c>
      <c r="Z2613" s="19">
        <v>0</v>
      </c>
      <c r="AA2613" s="15">
        <v>0</v>
      </c>
      <c r="AB2613" s="15" t="s">
        <v>35</v>
      </c>
    </row>
    <row r="2614">
      <c r="A2614" s="15">
        <v>2610</v>
      </c>
      <c r="B2614" s="15" t="s">
        <v>103</v>
      </c>
      <c r="C2614" s="15" t="s">
        <v>186</v>
      </c>
      <c r="D2614" s="15" t="s">
        <v>135</v>
      </c>
      <c r="E2614" s="15" t="s">
        <v>116</v>
      </c>
      <c r="F2614" s="15" t="s">
        <v>35</v>
      </c>
      <c r="G2614" s="15" t="s">
        <v>74</v>
      </c>
      <c r="H2614" s="15" t="s">
        <v>13331</v>
      </c>
      <c r="I2614" s="15" t="s">
        <v>13332</v>
      </c>
      <c r="J2614" s="15" t="s">
        <v>13333</v>
      </c>
      <c r="K2614" s="15" t="s">
        <v>436</v>
      </c>
      <c r="L2614" s="15" t="s">
        <v>437</v>
      </c>
      <c r="M2614" s="15" t="s">
        <v>438</v>
      </c>
      <c r="N2614" s="15" t="s">
        <v>439</v>
      </c>
      <c r="O2614" s="15" t="s">
        <v>82</v>
      </c>
      <c r="P2614" s="15" t="s">
        <v>2431</v>
      </c>
      <c r="Q2614" s="15" t="s">
        <v>2432</v>
      </c>
      <c r="R2614" s="16">
        <v>44329</v>
      </c>
      <c r="S2614" s="17" t="s">
        <v>70</v>
      </c>
      <c r="T2614" s="20">
        <f>HYPERLINK("https://vnm.spiral.com.vn//uploaded/20210513/87FD619A-0BE5-4F47-8B00-298CDD6DF33E.jpg","08:32:30")</f>
      </c>
      <c r="U2614" s="20">
        <f>HYPERLINK("https://vnm.spiral.com.vn//uploaded/20210513/33676430-98C7-4BB6-88E6-E5A98FB0FC30.jpg","09:14:13")</f>
      </c>
      <c r="V2614" s="18">
        <v>0.028969907407407406</v>
      </c>
      <c r="W2614" s="15" t="s">
        <v>13334</v>
      </c>
      <c r="X2614" s="15" t="s">
        <v>12644</v>
      </c>
      <c r="Y2614" s="15" t="s">
        <v>35</v>
      </c>
      <c r="Z2614" s="19">
        <v>0</v>
      </c>
      <c r="AA2614" s="15">
        <v>0</v>
      </c>
      <c r="AB2614" s="15" t="s">
        <v>35</v>
      </c>
    </row>
    <row r="2615">
      <c r="A2615" s="15">
        <v>2611</v>
      </c>
      <c r="B2615" s="15" t="s">
        <v>61</v>
      </c>
      <c r="C2615" s="15" t="s">
        <v>1730</v>
      </c>
      <c r="D2615" s="15" t="s">
        <v>135</v>
      </c>
      <c r="E2615" s="15" t="s">
        <v>116</v>
      </c>
      <c r="F2615" s="15" t="s">
        <v>35</v>
      </c>
      <c r="G2615" s="15" t="s">
        <v>74</v>
      </c>
      <c r="H2615" s="15" t="s">
        <v>13335</v>
      </c>
      <c r="I2615" s="15" t="s">
        <v>13336</v>
      </c>
      <c r="J2615" s="15" t="s">
        <v>13337</v>
      </c>
      <c r="K2615" s="15" t="s">
        <v>309</v>
      </c>
      <c r="L2615" s="15" t="s">
        <v>310</v>
      </c>
      <c r="M2615" s="15" t="s">
        <v>778</v>
      </c>
      <c r="N2615" s="15" t="s">
        <v>779</v>
      </c>
      <c r="O2615" s="15" t="s">
        <v>82</v>
      </c>
      <c r="P2615" s="15" t="s">
        <v>4298</v>
      </c>
      <c r="Q2615" s="15" t="s">
        <v>4299</v>
      </c>
      <c r="R2615" s="16">
        <v>44329</v>
      </c>
      <c r="S2615" s="17" t="s">
        <v>70</v>
      </c>
      <c r="T2615" s="20">
        <f>HYPERLINK("https://vnm.spiral.com.vn//uploaded/20210513/9a42adaf-c91b-4611-8f5c-3565156e2ac3.JPEG","07:10:27")</f>
      </c>
      <c r="U2615" s="20">
        <f>HYPERLINK("https://vnm.spiral.com.vn//uploaded/20210513/6f0cc3c0-ebf0-4281-8a2a-2b16d01303f2.JPEG","09:14:08")</f>
      </c>
      <c r="V2615" s="18">
        <v>0.0858912037037037</v>
      </c>
      <c r="W2615" s="15" t="s">
        <v>13338</v>
      </c>
      <c r="X2615" s="15" t="s">
        <v>13339</v>
      </c>
      <c r="Y2615" s="15" t="s">
        <v>35</v>
      </c>
      <c r="Z2615" s="19">
        <v>0</v>
      </c>
      <c r="AA2615" s="15">
        <v>0</v>
      </c>
      <c r="AB2615" s="15" t="s">
        <v>35</v>
      </c>
    </row>
    <row r="2616">
      <c r="A2616" s="15">
        <v>2612</v>
      </c>
      <c r="B2616" s="15" t="s">
        <v>61</v>
      </c>
      <c r="C2616" s="15" t="s">
        <v>1106</v>
      </c>
      <c r="D2616" s="15" t="s">
        <v>35</v>
      </c>
      <c r="E2616" s="15" t="s">
        <v>35</v>
      </c>
      <c r="F2616" s="15" t="s">
        <v>10614</v>
      </c>
      <c r="G2616" s="15" t="s">
        <v>36</v>
      </c>
      <c r="H2616" s="15" t="s">
        <v>13340</v>
      </c>
      <c r="I2616" s="15" t="s">
        <v>13341</v>
      </c>
      <c r="J2616" s="15" t="s">
        <v>13342</v>
      </c>
      <c r="K2616" s="15" t="s">
        <v>40</v>
      </c>
      <c r="L2616" s="15" t="s">
        <v>41</v>
      </c>
      <c r="M2616" s="15" t="s">
        <v>66</v>
      </c>
      <c r="N2616" s="15" t="s">
        <v>67</v>
      </c>
      <c r="O2616" s="15" t="s">
        <v>44</v>
      </c>
      <c r="P2616" s="15" t="s">
        <v>13343</v>
      </c>
      <c r="Q2616" s="15" t="s">
        <v>7025</v>
      </c>
      <c r="R2616" s="16">
        <v>44329</v>
      </c>
      <c r="S2616" s="17" t="s">
        <v>13344</v>
      </c>
      <c r="T2616" s="20">
        <f>HYPERLINK("https://vnm.spiral.com.vn//uploaded/20210513/2154f129-bdf4-4013-99a1-374d7891fde4.JPEG","09:13:35")</f>
      </c>
      <c r="U2616" s="18"/>
      <c r="V2616" s="18" t="s">
        <v>35</v>
      </c>
      <c r="W2616" s="15" t="s">
        <v>13345</v>
      </c>
      <c r="X2616" s="15" t="s">
        <v>35</v>
      </c>
      <c r="Y2616" s="15" t="s">
        <v>35</v>
      </c>
      <c r="Z2616" s="19">
        <v>0</v>
      </c>
      <c r="AA2616" s="15">
        <v>0</v>
      </c>
      <c r="AB2616" s="15" t="s">
        <v>35</v>
      </c>
    </row>
    <row r="2617">
      <c r="A2617" s="15">
        <v>2613</v>
      </c>
      <c r="B2617" s="15" t="s">
        <v>343</v>
      </c>
      <c r="C2617" s="15" t="s">
        <v>344</v>
      </c>
      <c r="D2617" s="15" t="s">
        <v>1644</v>
      </c>
      <c r="E2617" s="15" t="s">
        <v>35</v>
      </c>
      <c r="F2617" s="15" t="s">
        <v>35</v>
      </c>
      <c r="G2617" s="15" t="s">
        <v>74</v>
      </c>
      <c r="H2617" s="15" t="s">
        <v>13346</v>
      </c>
      <c r="I2617" s="15" t="s">
        <v>13347</v>
      </c>
      <c r="J2617" s="15" t="s">
        <v>13348</v>
      </c>
      <c r="K2617" s="15" t="s">
        <v>584</v>
      </c>
      <c r="L2617" s="15" t="s">
        <v>585</v>
      </c>
      <c r="M2617" s="15" t="s">
        <v>827</v>
      </c>
      <c r="N2617" s="15" t="s">
        <v>828</v>
      </c>
      <c r="O2617" s="15" t="s">
        <v>82</v>
      </c>
      <c r="P2617" s="15" t="s">
        <v>2484</v>
      </c>
      <c r="Q2617" s="15" t="s">
        <v>2485</v>
      </c>
      <c r="R2617" s="16">
        <v>44329</v>
      </c>
      <c r="S2617" s="17" t="s">
        <v>70</v>
      </c>
      <c r="T2617" s="20">
        <f>HYPERLINK("https://vnm.spiral.com.vn//uploaded/20210513/9DDD0BC1-FA98-435F-8AA8-9A68202DAFB3.jpg","08:56:44")</f>
      </c>
      <c r="U2617" s="20">
        <f>HYPERLINK("https://vnm.spiral.com.vn//uploaded/20210513/7082280F-1FEA-47D1-B53A-0FA017D1DF8E.jpg","09:13:11")</f>
      </c>
      <c r="V2617" s="18">
        <v>0.011423611111111112</v>
      </c>
      <c r="W2617" s="15" t="s">
        <v>13349</v>
      </c>
      <c r="X2617" s="15" t="s">
        <v>13350</v>
      </c>
      <c r="Y2617" s="15" t="s">
        <v>35</v>
      </c>
      <c r="Z2617" s="19">
        <v>0</v>
      </c>
      <c r="AA2617" s="15">
        <v>0</v>
      </c>
      <c r="AB2617" s="15" t="s">
        <v>35</v>
      </c>
    </row>
    <row r="2618">
      <c r="A2618" s="15">
        <v>2614</v>
      </c>
      <c r="B2618" s="15" t="s">
        <v>343</v>
      </c>
      <c r="C2618" s="15" t="s">
        <v>344</v>
      </c>
      <c r="D2618" s="15" t="s">
        <v>345</v>
      </c>
      <c r="E2618" s="15" t="s">
        <v>90</v>
      </c>
      <c r="F2618" s="15" t="s">
        <v>35</v>
      </c>
      <c r="G2618" s="15" t="s">
        <v>74</v>
      </c>
      <c r="H2618" s="15" t="s">
        <v>13351</v>
      </c>
      <c r="I2618" s="15" t="s">
        <v>13352</v>
      </c>
      <c r="J2618" s="15" t="s">
        <v>13353</v>
      </c>
      <c r="K2618" s="15" t="s">
        <v>915</v>
      </c>
      <c r="L2618" s="15" t="s">
        <v>916</v>
      </c>
      <c r="M2618" s="15" t="s">
        <v>349</v>
      </c>
      <c r="N2618" s="15" t="s">
        <v>350</v>
      </c>
      <c r="O2618" s="15" t="s">
        <v>98</v>
      </c>
      <c r="P2618" s="15" t="s">
        <v>351</v>
      </c>
      <c r="Q2618" s="15" t="s">
        <v>352</v>
      </c>
      <c r="R2618" s="16">
        <v>44329</v>
      </c>
      <c r="S2618" s="17" t="s">
        <v>70</v>
      </c>
      <c r="T2618" s="20">
        <f>HYPERLINK("https://vnm.spiral.com.vn//uploaded/20210513/d053787b-556b-415d-935c-447f67ef75d0.JPEG","08:42:57")</f>
      </c>
      <c r="U2618" s="20">
        <f>HYPERLINK("https://vnm.spiral.com.vn//uploaded/20210513/9e74ed2e-075a-487c-b361-113073c942c8.JPEG","09:12:25")</f>
      </c>
      <c r="V2618" s="18">
        <v>0.020462962962962964</v>
      </c>
      <c r="W2618" s="15" t="s">
        <v>13354</v>
      </c>
      <c r="X2618" s="15" t="s">
        <v>13355</v>
      </c>
      <c r="Y2618" s="15" t="s">
        <v>35</v>
      </c>
      <c r="Z2618" s="19">
        <v>0</v>
      </c>
      <c r="AA2618" s="15">
        <v>0</v>
      </c>
      <c r="AB2618" s="15" t="s">
        <v>35</v>
      </c>
    </row>
    <row r="2619">
      <c r="A2619" s="15">
        <v>2615</v>
      </c>
      <c r="B2619" s="15" t="s">
        <v>343</v>
      </c>
      <c r="C2619" s="15" t="s">
        <v>2135</v>
      </c>
      <c r="D2619" s="15" t="s">
        <v>432</v>
      </c>
      <c r="E2619" s="15" t="s">
        <v>116</v>
      </c>
      <c r="F2619" s="15" t="s">
        <v>35</v>
      </c>
      <c r="G2619" s="15" t="s">
        <v>74</v>
      </c>
      <c r="H2619" s="15" t="s">
        <v>13356</v>
      </c>
      <c r="I2619" s="15" t="s">
        <v>13357</v>
      </c>
      <c r="J2619" s="15" t="s">
        <v>13358</v>
      </c>
      <c r="K2619" s="15" t="s">
        <v>1168</v>
      </c>
      <c r="L2619" s="15" t="s">
        <v>1169</v>
      </c>
      <c r="M2619" s="15" t="s">
        <v>1170</v>
      </c>
      <c r="N2619" s="15" t="s">
        <v>1171</v>
      </c>
      <c r="O2619" s="15" t="s">
        <v>82</v>
      </c>
      <c r="P2619" s="15" t="s">
        <v>2139</v>
      </c>
      <c r="Q2619" s="15" t="s">
        <v>2140</v>
      </c>
      <c r="R2619" s="16">
        <v>44329</v>
      </c>
      <c r="S2619" s="17" t="s">
        <v>70</v>
      </c>
      <c r="T2619" s="20">
        <f>HYPERLINK("https://vnm.spiral.com.vn//uploaded/20210513/F1D4DA8F-B8F8-49BC-A6B8-D549F393E16C.jpg","07:43:34")</f>
      </c>
      <c r="U2619" s="20">
        <f>HYPERLINK("https://vnm.spiral.com.vn//uploaded/20210513/57EB5B3F-038D-49C6-88C2-2342D33A9BB3.jpg","09:12:16")</f>
      </c>
      <c r="V2619" s="18">
        <v>0.06159722222222222</v>
      </c>
      <c r="W2619" s="15" t="s">
        <v>13359</v>
      </c>
      <c r="X2619" s="15" t="s">
        <v>13360</v>
      </c>
      <c r="Y2619" s="15" t="s">
        <v>35</v>
      </c>
      <c r="Z2619" s="19">
        <v>0</v>
      </c>
      <c r="AA2619" s="15">
        <v>0</v>
      </c>
      <c r="AB2619" s="15" t="s">
        <v>35</v>
      </c>
    </row>
    <row r="2620">
      <c r="A2620" s="15">
        <v>2616</v>
      </c>
      <c r="B2620" s="15" t="s">
        <v>343</v>
      </c>
      <c r="C2620" s="15" t="s">
        <v>344</v>
      </c>
      <c r="D2620" s="15" t="s">
        <v>35</v>
      </c>
      <c r="E2620" s="15" t="s">
        <v>35</v>
      </c>
      <c r="F2620" s="15" t="s">
        <v>35</v>
      </c>
      <c r="G2620" s="15" t="s">
        <v>36</v>
      </c>
      <c r="H2620" s="15" t="s">
        <v>13361</v>
      </c>
      <c r="I2620" s="15" t="s">
        <v>13362</v>
      </c>
      <c r="J2620" s="15" t="s">
        <v>13363</v>
      </c>
      <c r="K2620" s="15" t="s">
        <v>40</v>
      </c>
      <c r="L2620" s="15" t="s">
        <v>41</v>
      </c>
      <c r="M2620" s="15" t="s">
        <v>409</v>
      </c>
      <c r="N2620" s="15" t="s">
        <v>410</v>
      </c>
      <c r="O2620" s="15" t="s">
        <v>44</v>
      </c>
      <c r="P2620" s="15" t="s">
        <v>13364</v>
      </c>
      <c r="Q2620" s="15" t="s">
        <v>13365</v>
      </c>
      <c r="R2620" s="16">
        <v>44329</v>
      </c>
      <c r="S2620" s="17" t="s">
        <v>326</v>
      </c>
      <c r="T2620" s="20">
        <f>HYPERLINK("https://vnm.spiral.com.vn//uploaded/20210513/961D1927-8DBD-4131-A0AE-C60516BD55BF.jpg","09:11:48")</f>
      </c>
      <c r="U2620" s="18"/>
      <c r="V2620" s="18" t="s">
        <v>35</v>
      </c>
      <c r="W2620" s="15" t="s">
        <v>13366</v>
      </c>
      <c r="X2620" s="15" t="s">
        <v>35</v>
      </c>
      <c r="Y2620" s="15" t="s">
        <v>35</v>
      </c>
      <c r="Z2620" s="19">
        <v>0</v>
      </c>
      <c r="AA2620" s="15">
        <v>0</v>
      </c>
      <c r="AB2620" s="15" t="s">
        <v>35</v>
      </c>
    </row>
    <row r="2621">
      <c r="A2621" s="15">
        <v>2617</v>
      </c>
      <c r="B2621" s="15" t="s">
        <v>87</v>
      </c>
      <c r="C2621" s="15" t="s">
        <v>88</v>
      </c>
      <c r="D2621" s="15" t="s">
        <v>35</v>
      </c>
      <c r="E2621" s="15" t="s">
        <v>35</v>
      </c>
      <c r="F2621" s="15" t="s">
        <v>35</v>
      </c>
      <c r="G2621" s="15" t="s">
        <v>74</v>
      </c>
      <c r="H2621" s="15" t="s">
        <v>13367</v>
      </c>
      <c r="I2621" s="15" t="s">
        <v>13368</v>
      </c>
      <c r="J2621" s="15" t="s">
        <v>13369</v>
      </c>
      <c r="K2621" s="15" t="s">
        <v>888</v>
      </c>
      <c r="L2621" s="15" t="s">
        <v>889</v>
      </c>
      <c r="M2621" s="15" t="s">
        <v>1666</v>
      </c>
      <c r="N2621" s="15" t="s">
        <v>1667</v>
      </c>
      <c r="O2621" s="15" t="s">
        <v>82</v>
      </c>
      <c r="P2621" s="15" t="s">
        <v>6570</v>
      </c>
      <c r="Q2621" s="15" t="s">
        <v>6571</v>
      </c>
      <c r="R2621" s="16">
        <v>44329</v>
      </c>
      <c r="S2621" s="17" t="s">
        <v>70</v>
      </c>
      <c r="T2621" s="20">
        <f>HYPERLINK("https://vnm.spiral.com.vn//uploaded/20210513/F84FC773-C614-4F7B-8C6A-61148BCEC2EB.jpg","08:52:07")</f>
      </c>
      <c r="U2621" s="20">
        <f>HYPERLINK("https://vnm.spiral.com.vn//uploaded/20210513/3800F07C-15D0-4A09-A79E-35AC745A8071.jpg","09:11:37")</f>
      </c>
      <c r="V2621" s="18">
        <v>0.013541666666666667</v>
      </c>
      <c r="W2621" s="15" t="s">
        <v>13370</v>
      </c>
      <c r="X2621" s="15" t="s">
        <v>13371</v>
      </c>
      <c r="Y2621" s="15" t="s">
        <v>35</v>
      </c>
      <c r="Z2621" s="19">
        <v>0</v>
      </c>
      <c r="AA2621" s="15">
        <v>0</v>
      </c>
      <c r="AB2621" s="15" t="s">
        <v>35</v>
      </c>
    </row>
    <row r="2622">
      <c r="A2622" s="15">
        <v>2618</v>
      </c>
      <c r="B2622" s="15" t="s">
        <v>87</v>
      </c>
      <c r="C2622" s="15" t="s">
        <v>88</v>
      </c>
      <c r="D2622" s="15" t="s">
        <v>35</v>
      </c>
      <c r="E2622" s="15" t="s">
        <v>35</v>
      </c>
      <c r="F2622" s="15" t="s">
        <v>35</v>
      </c>
      <c r="G2622" s="15" t="s">
        <v>74</v>
      </c>
      <c r="H2622" s="15" t="s">
        <v>13372</v>
      </c>
      <c r="I2622" s="15" t="s">
        <v>13373</v>
      </c>
      <c r="J2622" s="15" t="s">
        <v>13374</v>
      </c>
      <c r="K2622" s="15" t="s">
        <v>190</v>
      </c>
      <c r="L2622" s="15" t="s">
        <v>191</v>
      </c>
      <c r="M2622" s="15" t="s">
        <v>888</v>
      </c>
      <c r="N2622" s="15" t="s">
        <v>889</v>
      </c>
      <c r="O2622" s="15" t="s">
        <v>98</v>
      </c>
      <c r="P2622" s="15" t="s">
        <v>924</v>
      </c>
      <c r="Q2622" s="15" t="s">
        <v>925</v>
      </c>
      <c r="R2622" s="16">
        <v>44329</v>
      </c>
      <c r="S2622" s="17" t="s">
        <v>35</v>
      </c>
      <c r="T2622" s="20">
        <f>HYPERLINK("https://vnm.spiral.com.vn//uploaded/20210513/506218e7-cde9-40f7-8015-106972202b33.JPEG","08:53:25")</f>
      </c>
      <c r="U2622" s="20">
        <f>HYPERLINK("https://vnm.spiral.com.vn//uploaded/20210513/c9919fe6-a3de-48ae-a250-e92b5eb34afb.JPEG","09:11:24")</f>
      </c>
      <c r="V2622" s="18">
        <v>0.012488425925925925</v>
      </c>
      <c r="W2622" s="15" t="s">
        <v>13375</v>
      </c>
      <c r="X2622" s="15" t="s">
        <v>13376</v>
      </c>
      <c r="Y2622" s="15" t="s">
        <v>35</v>
      </c>
      <c r="Z2622" s="19">
        <v>0</v>
      </c>
      <c r="AA2622" s="15">
        <v>0</v>
      </c>
      <c r="AB2622" s="15" t="s">
        <v>35</v>
      </c>
    </row>
    <row r="2623">
      <c r="A2623" s="15">
        <v>2619</v>
      </c>
      <c r="B2623" s="15" t="s">
        <v>61</v>
      </c>
      <c r="C2623" s="15" t="s">
        <v>1106</v>
      </c>
      <c r="D2623" s="15" t="s">
        <v>35</v>
      </c>
      <c r="E2623" s="15" t="s">
        <v>35</v>
      </c>
      <c r="F2623" s="15" t="s">
        <v>35</v>
      </c>
      <c r="G2623" s="15" t="s">
        <v>36</v>
      </c>
      <c r="H2623" s="15" t="s">
        <v>13377</v>
      </c>
      <c r="I2623" s="15" t="s">
        <v>13378</v>
      </c>
      <c r="J2623" s="15" t="s">
        <v>13379</v>
      </c>
      <c r="K2623" s="15" t="s">
        <v>40</v>
      </c>
      <c r="L2623" s="15" t="s">
        <v>41</v>
      </c>
      <c r="M2623" s="15" t="s">
        <v>66</v>
      </c>
      <c r="N2623" s="15" t="s">
        <v>67</v>
      </c>
      <c r="O2623" s="15" t="s">
        <v>44</v>
      </c>
      <c r="P2623" s="15" t="s">
        <v>13380</v>
      </c>
      <c r="Q2623" s="15" t="s">
        <v>13381</v>
      </c>
      <c r="R2623" s="16">
        <v>44329</v>
      </c>
      <c r="S2623" s="17" t="s">
        <v>12772</v>
      </c>
      <c r="T2623" s="20">
        <f>HYPERLINK("https://vnm.spiral.com.vn//uploaded/20210513/59be93d5-0ade-4167-b1aa-da7e4e7c1875.JPEG","09:11:13")</f>
      </c>
      <c r="U2623" s="18"/>
      <c r="V2623" s="18" t="s">
        <v>35</v>
      </c>
      <c r="W2623" s="15" t="s">
        <v>13382</v>
      </c>
      <c r="X2623" s="15" t="s">
        <v>35</v>
      </c>
      <c r="Y2623" s="15" t="s">
        <v>35</v>
      </c>
      <c r="Z2623" s="19">
        <v>0</v>
      </c>
      <c r="AA2623" s="15">
        <v>0</v>
      </c>
      <c r="AB2623" s="15" t="s">
        <v>35</v>
      </c>
    </row>
    <row r="2624">
      <c r="A2624" s="15">
        <v>2620</v>
      </c>
      <c r="B2624" s="15" t="s">
        <v>343</v>
      </c>
      <c r="C2624" s="15" t="s">
        <v>344</v>
      </c>
      <c r="D2624" s="15" t="s">
        <v>35</v>
      </c>
      <c r="E2624" s="15" t="s">
        <v>35</v>
      </c>
      <c r="F2624" s="15" t="s">
        <v>35</v>
      </c>
      <c r="G2624" s="15" t="s">
        <v>74</v>
      </c>
      <c r="H2624" s="15" t="s">
        <v>13383</v>
      </c>
      <c r="I2624" s="15" t="s">
        <v>13384</v>
      </c>
      <c r="J2624" s="15" t="s">
        <v>13385</v>
      </c>
      <c r="K2624" s="15" t="s">
        <v>584</v>
      </c>
      <c r="L2624" s="15" t="s">
        <v>585</v>
      </c>
      <c r="M2624" s="15" t="s">
        <v>827</v>
      </c>
      <c r="N2624" s="15" t="s">
        <v>828</v>
      </c>
      <c r="O2624" s="15" t="s">
        <v>82</v>
      </c>
      <c r="P2624" s="15" t="s">
        <v>2319</v>
      </c>
      <c r="Q2624" s="15" t="s">
        <v>2320</v>
      </c>
      <c r="R2624" s="16">
        <v>44329</v>
      </c>
      <c r="S2624" s="17" t="s">
        <v>70</v>
      </c>
      <c r="T2624" s="20">
        <f>HYPERLINK("https://vnm.spiral.com.vn//uploaded/20210513/4C5D9E5C-7692-4D78-A6B5-949313FB5311.jpg","08:53:29")</f>
      </c>
      <c r="U2624" s="20">
        <f>HYPERLINK("https://vnm.spiral.com.vn//uploaded/20210513/DF34438D-DC00-4A70-A756-6EF2211FB69C.jpg","09:10:37")</f>
      </c>
      <c r="V2624" s="18">
        <v>0.011898148148148149</v>
      </c>
      <c r="W2624" s="15" t="s">
        <v>13386</v>
      </c>
      <c r="X2624" s="15" t="s">
        <v>13387</v>
      </c>
      <c r="Y2624" s="15" t="s">
        <v>35</v>
      </c>
      <c r="Z2624" s="19">
        <v>0</v>
      </c>
      <c r="AA2624" s="15">
        <v>0</v>
      </c>
      <c r="AB2624" s="15" t="s">
        <v>35</v>
      </c>
    </row>
    <row r="2625">
      <c r="A2625" s="15">
        <v>2621</v>
      </c>
      <c r="B2625" s="15" t="s">
        <v>87</v>
      </c>
      <c r="C2625" s="15" t="s">
        <v>88</v>
      </c>
      <c r="D2625" s="15" t="s">
        <v>135</v>
      </c>
      <c r="E2625" s="15" t="s">
        <v>116</v>
      </c>
      <c r="F2625" s="15" t="s">
        <v>35</v>
      </c>
      <c r="G2625" s="15" t="s">
        <v>74</v>
      </c>
      <c r="H2625" s="15" t="s">
        <v>13388</v>
      </c>
      <c r="I2625" s="15" t="s">
        <v>13389</v>
      </c>
      <c r="J2625" s="15" t="s">
        <v>13390</v>
      </c>
      <c r="K2625" s="15" t="s">
        <v>94</v>
      </c>
      <c r="L2625" s="15" t="s">
        <v>95</v>
      </c>
      <c r="M2625" s="15" t="s">
        <v>390</v>
      </c>
      <c r="N2625" s="15" t="s">
        <v>391</v>
      </c>
      <c r="O2625" s="15" t="s">
        <v>98</v>
      </c>
      <c r="P2625" s="15" t="s">
        <v>392</v>
      </c>
      <c r="Q2625" s="15" t="s">
        <v>393</v>
      </c>
      <c r="R2625" s="16">
        <v>44329</v>
      </c>
      <c r="S2625" s="17" t="s">
        <v>35</v>
      </c>
      <c r="T2625" s="20">
        <f>HYPERLINK("https://vnm.spiral.com.vn//uploaded/20210513/f094114e-e2e2-453e-82cf-52b8f9606ff0.jpg","07:16:11")</f>
      </c>
      <c r="U2625" s="20">
        <f>HYPERLINK("https://vnm.spiral.com.vn//uploaded/20210513/1bbf4553-595e-412d-a01e-54ae936e3736.jpg","09:10:27")</f>
      </c>
      <c r="V2625" s="18">
        <v>0.07935185185185185</v>
      </c>
      <c r="W2625" s="15" t="s">
        <v>13391</v>
      </c>
      <c r="X2625" s="15" t="s">
        <v>13392</v>
      </c>
      <c r="Y2625" s="15" t="s">
        <v>35</v>
      </c>
      <c r="Z2625" s="19">
        <v>0</v>
      </c>
      <c r="AA2625" s="15">
        <v>0</v>
      </c>
      <c r="AB2625" s="15" t="s">
        <v>35</v>
      </c>
    </row>
    <row r="2626">
      <c r="A2626" s="15">
        <v>2622</v>
      </c>
      <c r="B2626" s="15" t="s">
        <v>87</v>
      </c>
      <c r="C2626" s="15" t="s">
        <v>88</v>
      </c>
      <c r="D2626" s="15" t="s">
        <v>135</v>
      </c>
      <c r="E2626" s="15" t="s">
        <v>116</v>
      </c>
      <c r="F2626" s="15" t="s">
        <v>35</v>
      </c>
      <c r="G2626" s="15" t="s">
        <v>74</v>
      </c>
      <c r="H2626" s="15" t="s">
        <v>13393</v>
      </c>
      <c r="I2626" s="15" t="s">
        <v>13394</v>
      </c>
      <c r="J2626" s="15" t="s">
        <v>13395</v>
      </c>
      <c r="K2626" s="15" t="s">
        <v>139</v>
      </c>
      <c r="L2626" s="15" t="s">
        <v>140</v>
      </c>
      <c r="M2626" s="15" t="s">
        <v>141</v>
      </c>
      <c r="N2626" s="15" t="s">
        <v>142</v>
      </c>
      <c r="O2626" s="15" t="s">
        <v>82</v>
      </c>
      <c r="P2626" s="15" t="s">
        <v>1741</v>
      </c>
      <c r="Q2626" s="15" t="s">
        <v>1742</v>
      </c>
      <c r="R2626" s="16">
        <v>44329</v>
      </c>
      <c r="S2626" s="17" t="s">
        <v>70</v>
      </c>
      <c r="T2626" s="20">
        <f>HYPERLINK("https://vnm.spiral.com.vn//uploaded/20210513/91BB28DF-919A-409F-BBA1-D636243D8500.jpg","07:55:22")</f>
      </c>
      <c r="U2626" s="20">
        <f>HYPERLINK("https://vnm.spiral.com.vn//uploaded/20210513/164AB1D8-22BF-41D3-84D2-3B50374B5D52.jpg","09:10:08")</f>
      </c>
      <c r="V2626" s="18">
        <v>0.0519212962962963</v>
      </c>
      <c r="W2626" s="15" t="s">
        <v>13396</v>
      </c>
      <c r="X2626" s="15" t="s">
        <v>13397</v>
      </c>
      <c r="Y2626" s="15" t="s">
        <v>35</v>
      </c>
      <c r="Z2626" s="19">
        <v>0</v>
      </c>
      <c r="AA2626" s="15">
        <v>0</v>
      </c>
      <c r="AB2626" s="15" t="s">
        <v>35</v>
      </c>
    </row>
    <row r="2627">
      <c r="A2627" s="15">
        <v>2623</v>
      </c>
      <c r="B2627" s="15" t="s">
        <v>33</v>
      </c>
      <c r="C2627" s="15" t="s">
        <v>765</v>
      </c>
      <c r="D2627" s="15" t="s">
        <v>35</v>
      </c>
      <c r="E2627" s="15" t="s">
        <v>35</v>
      </c>
      <c r="F2627" s="15" t="s">
        <v>35</v>
      </c>
      <c r="G2627" s="15" t="s">
        <v>74</v>
      </c>
      <c r="H2627" s="15" t="s">
        <v>13398</v>
      </c>
      <c r="I2627" s="15" t="s">
        <v>13399</v>
      </c>
      <c r="J2627" s="15" t="s">
        <v>13400</v>
      </c>
      <c r="K2627" s="15" t="s">
        <v>540</v>
      </c>
      <c r="L2627" s="15" t="s">
        <v>541</v>
      </c>
      <c r="M2627" s="15" t="s">
        <v>769</v>
      </c>
      <c r="N2627" s="15" t="s">
        <v>770</v>
      </c>
      <c r="O2627" s="15" t="s">
        <v>98</v>
      </c>
      <c r="P2627" s="15" t="s">
        <v>1532</v>
      </c>
      <c r="Q2627" s="15" t="s">
        <v>1533</v>
      </c>
      <c r="R2627" s="16">
        <v>44329</v>
      </c>
      <c r="S2627" s="17" t="s">
        <v>35</v>
      </c>
      <c r="T2627" s="20">
        <f>HYPERLINK("https://vnm.spiral.com.vn//uploaded/20210513/14135A3A-554C-4D66-917D-58E307D61766.jpg","09:09:54")</f>
      </c>
      <c r="U2627" s="18"/>
      <c r="V2627" s="18" t="s">
        <v>35</v>
      </c>
      <c r="W2627" s="15" t="s">
        <v>13401</v>
      </c>
      <c r="X2627" s="15" t="s">
        <v>35</v>
      </c>
      <c r="Y2627" s="15" t="s">
        <v>35</v>
      </c>
      <c r="Z2627" s="19">
        <v>0</v>
      </c>
      <c r="AA2627" s="15">
        <v>0</v>
      </c>
      <c r="AB2627" s="15" t="s">
        <v>35</v>
      </c>
    </row>
    <row r="2628">
      <c r="A2628" s="15">
        <v>2624</v>
      </c>
      <c r="B2628" s="15" t="s">
        <v>343</v>
      </c>
      <c r="C2628" s="15" t="s">
        <v>344</v>
      </c>
      <c r="D2628" s="15" t="s">
        <v>1644</v>
      </c>
      <c r="E2628" s="15" t="s">
        <v>35</v>
      </c>
      <c r="F2628" s="15" t="s">
        <v>35</v>
      </c>
      <c r="G2628" s="15" t="s">
        <v>74</v>
      </c>
      <c r="H2628" s="15" t="s">
        <v>13402</v>
      </c>
      <c r="I2628" s="15" t="s">
        <v>13403</v>
      </c>
      <c r="J2628" s="15" t="s">
        <v>13404</v>
      </c>
      <c r="K2628" s="15" t="s">
        <v>540</v>
      </c>
      <c r="L2628" s="15" t="s">
        <v>541</v>
      </c>
      <c r="M2628" s="15" t="s">
        <v>584</v>
      </c>
      <c r="N2628" s="15" t="s">
        <v>585</v>
      </c>
      <c r="O2628" s="15" t="s">
        <v>98</v>
      </c>
      <c r="P2628" s="15" t="s">
        <v>827</v>
      </c>
      <c r="Q2628" s="15" t="s">
        <v>828</v>
      </c>
      <c r="R2628" s="16">
        <v>44329</v>
      </c>
      <c r="S2628" s="17" t="s">
        <v>35</v>
      </c>
      <c r="T2628" s="20">
        <f>HYPERLINK("https://vnm.spiral.com.vn//uploaded/20210513/762D6539-7A64-4F41-BA50-0D8E1DBF1AB8.jpg","08:53:32")</f>
      </c>
      <c r="U2628" s="20">
        <f>HYPERLINK("https://vnm.spiral.com.vn//uploaded/20210513/C8EBDA65-82D2-4ACD-8256-C159D0402E32.jpg","09:09:40")</f>
      </c>
      <c r="V2628" s="18">
        <v>0.011203703703703704</v>
      </c>
      <c r="W2628" s="15" t="s">
        <v>13405</v>
      </c>
      <c r="X2628" s="15" t="s">
        <v>13406</v>
      </c>
      <c r="Y2628" s="15" t="s">
        <v>35</v>
      </c>
      <c r="Z2628" s="19">
        <v>0</v>
      </c>
      <c r="AA2628" s="15">
        <v>0</v>
      </c>
      <c r="AB2628" s="15" t="s">
        <v>35</v>
      </c>
    </row>
    <row r="2629">
      <c r="A2629" s="15">
        <v>2625</v>
      </c>
      <c r="B2629" s="15" t="s">
        <v>87</v>
      </c>
      <c r="C2629" s="15" t="s">
        <v>88</v>
      </c>
      <c r="D2629" s="15" t="s">
        <v>115</v>
      </c>
      <c r="E2629" s="15" t="s">
        <v>116</v>
      </c>
      <c r="F2629" s="15" t="s">
        <v>35</v>
      </c>
      <c r="G2629" s="15" t="s">
        <v>74</v>
      </c>
      <c r="H2629" s="15" t="s">
        <v>13407</v>
      </c>
      <c r="I2629" s="15" t="s">
        <v>13408</v>
      </c>
      <c r="J2629" s="15" t="s">
        <v>13409</v>
      </c>
      <c r="K2629" s="15" t="s">
        <v>120</v>
      </c>
      <c r="L2629" s="15" t="s">
        <v>121</v>
      </c>
      <c r="M2629" s="15" t="s">
        <v>1073</v>
      </c>
      <c r="N2629" s="15" t="s">
        <v>1074</v>
      </c>
      <c r="O2629" s="15" t="s">
        <v>82</v>
      </c>
      <c r="P2629" s="15" t="s">
        <v>1075</v>
      </c>
      <c r="Q2629" s="15" t="s">
        <v>1076</v>
      </c>
      <c r="R2629" s="16">
        <v>44329</v>
      </c>
      <c r="S2629" s="17" t="s">
        <v>70</v>
      </c>
      <c r="T2629" s="20">
        <f>HYPERLINK("https://vnm.spiral.com.vn//uploaded/20210513/546f9e58-d857-4565-b174-df441a4c1836.jpg","08:00:56")</f>
      </c>
      <c r="U2629" s="20">
        <f>HYPERLINK("https://vnm.spiral.com.vn//uploaded/20210513/ea3314e0-8f6b-4d8b-9b0e-17e8a42e6b06.jpg","09:09:33")</f>
      </c>
      <c r="V2629" s="18">
        <v>0.047650462962962964</v>
      </c>
      <c r="W2629" s="15" t="s">
        <v>13410</v>
      </c>
      <c r="X2629" s="15" t="s">
        <v>13411</v>
      </c>
      <c r="Y2629" s="15" t="s">
        <v>35</v>
      </c>
      <c r="Z2629" s="19">
        <v>0</v>
      </c>
      <c r="AA2629" s="15">
        <v>0</v>
      </c>
      <c r="AB2629" s="15" t="s">
        <v>35</v>
      </c>
    </row>
    <row r="2630">
      <c r="A2630" s="15">
        <v>2626</v>
      </c>
      <c r="B2630" s="15" t="s">
        <v>343</v>
      </c>
      <c r="C2630" s="15" t="s">
        <v>344</v>
      </c>
      <c r="D2630" s="15" t="s">
        <v>1644</v>
      </c>
      <c r="E2630" s="15" t="s">
        <v>35</v>
      </c>
      <c r="F2630" s="15" t="s">
        <v>35</v>
      </c>
      <c r="G2630" s="15" t="s">
        <v>74</v>
      </c>
      <c r="H2630" s="15" t="s">
        <v>13402</v>
      </c>
      <c r="I2630" s="15" t="s">
        <v>13403</v>
      </c>
      <c r="J2630" s="15" t="s">
        <v>13404</v>
      </c>
      <c r="K2630" s="15" t="s">
        <v>584</v>
      </c>
      <c r="L2630" s="15" t="s">
        <v>585</v>
      </c>
      <c r="M2630" s="15" t="s">
        <v>827</v>
      </c>
      <c r="N2630" s="15" t="s">
        <v>828</v>
      </c>
      <c r="O2630" s="15" t="s">
        <v>82</v>
      </c>
      <c r="P2630" s="15" t="s">
        <v>2471</v>
      </c>
      <c r="Q2630" s="15" t="s">
        <v>2472</v>
      </c>
      <c r="R2630" s="16">
        <v>44329</v>
      </c>
      <c r="S2630" s="17" t="s">
        <v>70</v>
      </c>
      <c r="T2630" s="20">
        <f>HYPERLINK("https://vnm.spiral.com.vn//uploaded/20210513/9A0CB170-7954-47EA-A5A3-FF53CF3134A4.jpg","08:53:58")</f>
      </c>
      <c r="U2630" s="20">
        <f>HYPERLINK("https://vnm.spiral.com.vn//uploaded/20210513/9D06E088-D568-4180-A513-F5B7C347C72A.jpg","09:09:27")</f>
      </c>
      <c r="V2630" s="18">
        <v>0.010752314814814815</v>
      </c>
      <c r="W2630" s="15" t="s">
        <v>13412</v>
      </c>
      <c r="X2630" s="15" t="s">
        <v>13413</v>
      </c>
      <c r="Y2630" s="15" t="s">
        <v>35</v>
      </c>
      <c r="Z2630" s="19">
        <v>0</v>
      </c>
      <c r="AA2630" s="15">
        <v>0</v>
      </c>
      <c r="AB2630" s="15" t="s">
        <v>35</v>
      </c>
    </row>
    <row r="2631">
      <c r="A2631" s="15">
        <v>2627</v>
      </c>
      <c r="B2631" s="15" t="s">
        <v>103</v>
      </c>
      <c r="C2631" s="15" t="s">
        <v>104</v>
      </c>
      <c r="D2631" s="15" t="s">
        <v>89</v>
      </c>
      <c r="E2631" s="15" t="s">
        <v>90</v>
      </c>
      <c r="F2631" s="15" t="s">
        <v>35</v>
      </c>
      <c r="G2631" s="15" t="s">
        <v>74</v>
      </c>
      <c r="H2631" s="15" t="s">
        <v>13414</v>
      </c>
      <c r="I2631" s="15" t="s">
        <v>13415</v>
      </c>
      <c r="J2631" s="15" t="s">
        <v>13416</v>
      </c>
      <c r="K2631" s="15" t="s">
        <v>190</v>
      </c>
      <c r="L2631" s="15" t="s">
        <v>191</v>
      </c>
      <c r="M2631" s="15" t="s">
        <v>460</v>
      </c>
      <c r="N2631" s="15" t="s">
        <v>461</v>
      </c>
      <c r="O2631" s="15" t="s">
        <v>98</v>
      </c>
      <c r="P2631" s="15" t="s">
        <v>462</v>
      </c>
      <c r="Q2631" s="15" t="s">
        <v>463</v>
      </c>
      <c r="R2631" s="16">
        <v>44329</v>
      </c>
      <c r="S2631" s="17" t="s">
        <v>35</v>
      </c>
      <c r="T2631" s="20">
        <f>HYPERLINK("https://vnm.spiral.com.vn//uploaded/20210513/BD21AFF4-0759-483C-8675-E1F2B21B286B.jpg","07:50:50")</f>
      </c>
      <c r="U2631" s="20">
        <f>HYPERLINK("https://vnm.spiral.com.vn//uploaded/20210513/2BBF3270-3B35-497B-A0AD-DD2BECEFEC32.jpg","09:09:09")</f>
      </c>
      <c r="V2631" s="18">
        <v>0.05438657407407407</v>
      </c>
      <c r="W2631" s="15" t="s">
        <v>13417</v>
      </c>
      <c r="X2631" s="15" t="s">
        <v>13418</v>
      </c>
      <c r="Y2631" s="15" t="s">
        <v>35</v>
      </c>
      <c r="Z2631" s="19">
        <v>0</v>
      </c>
      <c r="AA2631" s="15">
        <v>0</v>
      </c>
      <c r="AB2631" s="15" t="s">
        <v>35</v>
      </c>
    </row>
    <row r="2632">
      <c r="A2632" s="15">
        <v>2628</v>
      </c>
      <c r="B2632" s="15" t="s">
        <v>343</v>
      </c>
      <c r="C2632" s="15" t="s">
        <v>344</v>
      </c>
      <c r="D2632" s="15" t="s">
        <v>89</v>
      </c>
      <c r="E2632" s="15" t="s">
        <v>90</v>
      </c>
      <c r="F2632" s="15" t="s">
        <v>35</v>
      </c>
      <c r="G2632" s="15" t="s">
        <v>74</v>
      </c>
      <c r="H2632" s="15" t="s">
        <v>13419</v>
      </c>
      <c r="I2632" s="15" t="s">
        <v>13420</v>
      </c>
      <c r="J2632" s="15" t="s">
        <v>13421</v>
      </c>
      <c r="K2632" s="15" t="s">
        <v>915</v>
      </c>
      <c r="L2632" s="15" t="s">
        <v>916</v>
      </c>
      <c r="M2632" s="15" t="s">
        <v>361</v>
      </c>
      <c r="N2632" s="15" t="s">
        <v>362</v>
      </c>
      <c r="O2632" s="15" t="s">
        <v>98</v>
      </c>
      <c r="P2632" s="15" t="s">
        <v>1362</v>
      </c>
      <c r="Q2632" s="15" t="s">
        <v>1363</v>
      </c>
      <c r="R2632" s="16">
        <v>44329</v>
      </c>
      <c r="S2632" s="17" t="s">
        <v>70</v>
      </c>
      <c r="T2632" s="20">
        <f>HYPERLINK("https://vnm.spiral.com.vn//uploaded/20210513/127C21C0-FA89-4619-BA3E-164AE0082E2C.jpg","07:56:48")</f>
      </c>
      <c r="U2632" s="20">
        <f>HYPERLINK("https://vnm.spiral.com.vn//uploaded/20210513/34C15A03-A7F6-4B0E-BE56-943AF13FA0CE.jpg","09:08:38")</f>
      </c>
      <c r="V2632" s="18">
        <v>0.04988425925925926</v>
      </c>
      <c r="W2632" s="15" t="s">
        <v>13422</v>
      </c>
      <c r="X2632" s="15" t="s">
        <v>13423</v>
      </c>
      <c r="Y2632" s="15" t="s">
        <v>35</v>
      </c>
      <c r="Z2632" s="19">
        <v>0</v>
      </c>
      <c r="AA2632" s="15">
        <v>0</v>
      </c>
      <c r="AB2632" s="15" t="s">
        <v>35</v>
      </c>
    </row>
    <row r="2633">
      <c r="A2633" s="15">
        <v>2629</v>
      </c>
      <c r="B2633" s="15" t="s">
        <v>33</v>
      </c>
      <c r="C2633" s="15" t="s">
        <v>492</v>
      </c>
      <c r="D2633" s="15" t="s">
        <v>35</v>
      </c>
      <c r="E2633" s="15" t="s">
        <v>35</v>
      </c>
      <c r="F2633" s="15" t="s">
        <v>35</v>
      </c>
      <c r="G2633" s="15" t="s">
        <v>36</v>
      </c>
      <c r="H2633" s="15" t="s">
        <v>13424</v>
      </c>
      <c r="I2633" s="15" t="s">
        <v>13425</v>
      </c>
      <c r="J2633" s="15" t="s">
        <v>13426</v>
      </c>
      <c r="K2633" s="15" t="s">
        <v>40</v>
      </c>
      <c r="L2633" s="15" t="s">
        <v>41</v>
      </c>
      <c r="M2633" s="15" t="s">
        <v>42</v>
      </c>
      <c r="N2633" s="15" t="s">
        <v>43</v>
      </c>
      <c r="O2633" s="15" t="s">
        <v>44</v>
      </c>
      <c r="P2633" s="15" t="s">
        <v>13427</v>
      </c>
      <c r="Q2633" s="15" t="s">
        <v>10729</v>
      </c>
      <c r="R2633" s="16">
        <v>44329</v>
      </c>
      <c r="S2633" s="17" t="s">
        <v>13344</v>
      </c>
      <c r="T2633" s="20">
        <f>HYPERLINK("https://vnm.spiral.com.vn//uploaded/20210513/78B02620-105F-476B-86BD-8F1F8F13F9BC.jpg","09:08:11")</f>
      </c>
      <c r="U2633" s="18"/>
      <c r="V2633" s="18" t="s">
        <v>35</v>
      </c>
      <c r="W2633" s="15" t="s">
        <v>13428</v>
      </c>
      <c r="X2633" s="15" t="s">
        <v>35</v>
      </c>
      <c r="Y2633" s="15" t="s">
        <v>35</v>
      </c>
      <c r="Z2633" s="19">
        <v>0</v>
      </c>
      <c r="AA2633" s="15">
        <v>0</v>
      </c>
      <c r="AB2633" s="15" t="s">
        <v>35</v>
      </c>
    </row>
    <row r="2634">
      <c r="A2634" s="15">
        <v>2630</v>
      </c>
      <c r="B2634" s="15" t="s">
        <v>343</v>
      </c>
      <c r="C2634" s="15" t="s">
        <v>3117</v>
      </c>
      <c r="D2634" s="15" t="s">
        <v>432</v>
      </c>
      <c r="E2634" s="15" t="s">
        <v>116</v>
      </c>
      <c r="F2634" s="15" t="s">
        <v>35</v>
      </c>
      <c r="G2634" s="15" t="s">
        <v>74</v>
      </c>
      <c r="H2634" s="15" t="s">
        <v>13429</v>
      </c>
      <c r="I2634" s="15" t="s">
        <v>13430</v>
      </c>
      <c r="J2634" s="15" t="s">
        <v>13431</v>
      </c>
      <c r="K2634" s="15" t="s">
        <v>1168</v>
      </c>
      <c r="L2634" s="15" t="s">
        <v>1169</v>
      </c>
      <c r="M2634" s="15" t="s">
        <v>1170</v>
      </c>
      <c r="N2634" s="15" t="s">
        <v>1171</v>
      </c>
      <c r="O2634" s="15" t="s">
        <v>82</v>
      </c>
      <c r="P2634" s="15" t="s">
        <v>3121</v>
      </c>
      <c r="Q2634" s="15" t="s">
        <v>3122</v>
      </c>
      <c r="R2634" s="16">
        <v>44329</v>
      </c>
      <c r="S2634" s="17" t="s">
        <v>70</v>
      </c>
      <c r="T2634" s="20">
        <f>HYPERLINK("https://vnm.spiral.com.vn//uploaded/20210513/6f714769-aad7-44e9-a469-25e5a878c3a5.JPEG","08:13:49")</f>
      </c>
      <c r="U2634" s="20">
        <f>HYPERLINK("https://vnm.spiral.com.vn//uploaded/20210513/641c54be-ad16-4d86-93b4-5d466f61eb0f.JPEG","09:08:02")</f>
      </c>
      <c r="V2634" s="18">
        <v>0.03765046296296296</v>
      </c>
      <c r="W2634" s="15" t="s">
        <v>13432</v>
      </c>
      <c r="X2634" s="15" t="s">
        <v>13433</v>
      </c>
      <c r="Y2634" s="15" t="s">
        <v>35</v>
      </c>
      <c r="Z2634" s="19">
        <v>0</v>
      </c>
      <c r="AA2634" s="15">
        <v>0</v>
      </c>
      <c r="AB2634" s="15" t="s">
        <v>35</v>
      </c>
    </row>
    <row r="2635">
      <c r="A2635" s="15">
        <v>2631</v>
      </c>
      <c r="B2635" s="15" t="s">
        <v>103</v>
      </c>
      <c r="C2635" s="15" t="s">
        <v>104</v>
      </c>
      <c r="D2635" s="15" t="s">
        <v>135</v>
      </c>
      <c r="E2635" s="15" t="s">
        <v>116</v>
      </c>
      <c r="F2635" s="15" t="s">
        <v>35</v>
      </c>
      <c r="G2635" s="15" t="s">
        <v>74</v>
      </c>
      <c r="H2635" s="15" t="s">
        <v>13434</v>
      </c>
      <c r="I2635" s="15" t="s">
        <v>13435</v>
      </c>
      <c r="J2635" s="15" t="s">
        <v>13436</v>
      </c>
      <c r="K2635" s="15" t="s">
        <v>460</v>
      </c>
      <c r="L2635" s="15" t="s">
        <v>461</v>
      </c>
      <c r="M2635" s="15" t="s">
        <v>462</v>
      </c>
      <c r="N2635" s="15" t="s">
        <v>463</v>
      </c>
      <c r="O2635" s="15" t="s">
        <v>82</v>
      </c>
      <c r="P2635" s="15" t="s">
        <v>1610</v>
      </c>
      <c r="Q2635" s="15" t="s">
        <v>1611</v>
      </c>
      <c r="R2635" s="16">
        <v>44329</v>
      </c>
      <c r="S2635" s="17" t="s">
        <v>70</v>
      </c>
      <c r="T2635" s="20">
        <f>HYPERLINK("https://vnm.spiral.com.vn//uploaded/20210513/cbe606b6-93d1-49d7-ba82-13343774b582.JPEG","07:59:28")</f>
      </c>
      <c r="U2635" s="20">
        <f>HYPERLINK("https://vnm.spiral.com.vn//uploaded/20210513/6c4b8b32-5cf4-4e9c-9a81-636e6a77929c.JPEG","09:07:18")</f>
      </c>
      <c r="V2635" s="18">
        <v>0.04710648148148148</v>
      </c>
      <c r="W2635" s="15" t="s">
        <v>13437</v>
      </c>
      <c r="X2635" s="15" t="s">
        <v>13438</v>
      </c>
      <c r="Y2635" s="15" t="s">
        <v>35</v>
      </c>
      <c r="Z2635" s="19">
        <v>0</v>
      </c>
      <c r="AA2635" s="15">
        <v>0</v>
      </c>
      <c r="AB2635" s="15" t="s">
        <v>35</v>
      </c>
    </row>
    <row r="2636">
      <c r="A2636" s="15">
        <v>2632</v>
      </c>
      <c r="B2636" s="15" t="s">
        <v>61</v>
      </c>
      <c r="C2636" s="15" t="s">
        <v>320</v>
      </c>
      <c r="D2636" s="15" t="s">
        <v>35</v>
      </c>
      <c r="E2636" s="15" t="s">
        <v>35</v>
      </c>
      <c r="F2636" s="15" t="s">
        <v>35</v>
      </c>
      <c r="G2636" s="15" t="s">
        <v>36</v>
      </c>
      <c r="H2636" s="15" t="s">
        <v>13439</v>
      </c>
      <c r="I2636" s="15" t="s">
        <v>5766</v>
      </c>
      <c r="J2636" s="15" t="s">
        <v>13440</v>
      </c>
      <c r="K2636" s="15" t="s">
        <v>40</v>
      </c>
      <c r="L2636" s="15" t="s">
        <v>41</v>
      </c>
      <c r="M2636" s="15" t="s">
        <v>205</v>
      </c>
      <c r="N2636" s="15" t="s">
        <v>206</v>
      </c>
      <c r="O2636" s="15" t="s">
        <v>44</v>
      </c>
      <c r="P2636" s="15" t="s">
        <v>13441</v>
      </c>
      <c r="Q2636" s="15" t="s">
        <v>13442</v>
      </c>
      <c r="R2636" s="16">
        <v>44329</v>
      </c>
      <c r="S2636" s="17" t="s">
        <v>718</v>
      </c>
      <c r="T2636" s="20">
        <f>HYPERLINK("https://vnm.spiral.com.vn//uploaded/20210513/CEEFEED4-96AB-4A02-AD53-04ED4477053D.jpg","09:07:17")</f>
      </c>
      <c r="U2636" s="18"/>
      <c r="V2636" s="18" t="s">
        <v>35</v>
      </c>
      <c r="W2636" s="15" t="s">
        <v>13443</v>
      </c>
      <c r="X2636" s="15" t="s">
        <v>35</v>
      </c>
      <c r="Y2636" s="15" t="s">
        <v>35</v>
      </c>
      <c r="Z2636" s="19">
        <v>0</v>
      </c>
      <c r="AA2636" s="15">
        <v>0</v>
      </c>
      <c r="AB2636" s="15" t="s">
        <v>35</v>
      </c>
    </row>
    <row r="2637">
      <c r="A2637" s="15">
        <v>2633</v>
      </c>
      <c r="B2637" s="15" t="s">
        <v>87</v>
      </c>
      <c r="C2637" s="15" t="s">
        <v>88</v>
      </c>
      <c r="D2637" s="15" t="s">
        <v>115</v>
      </c>
      <c r="E2637" s="15" t="s">
        <v>116</v>
      </c>
      <c r="F2637" s="15" t="s">
        <v>35</v>
      </c>
      <c r="G2637" s="15" t="s">
        <v>74</v>
      </c>
      <c r="H2637" s="15" t="s">
        <v>13444</v>
      </c>
      <c r="I2637" s="15" t="s">
        <v>13445</v>
      </c>
      <c r="J2637" s="15" t="s">
        <v>13446</v>
      </c>
      <c r="K2637" s="15" t="s">
        <v>120</v>
      </c>
      <c r="L2637" s="15" t="s">
        <v>121</v>
      </c>
      <c r="M2637" s="15" t="s">
        <v>122</v>
      </c>
      <c r="N2637" s="15" t="s">
        <v>123</v>
      </c>
      <c r="O2637" s="15" t="s">
        <v>82</v>
      </c>
      <c r="P2637" s="15" t="s">
        <v>2356</v>
      </c>
      <c r="Q2637" s="15" t="s">
        <v>2357</v>
      </c>
      <c r="R2637" s="16">
        <v>44329</v>
      </c>
      <c r="S2637" s="17" t="s">
        <v>70</v>
      </c>
      <c r="T2637" s="20">
        <f>HYPERLINK("https://vnm.spiral.com.vn//uploaded/20210513/BED0AEA7-4BA9-4B8D-BB6F-E24CDC77CFCB.jpg","07:51:12")</f>
      </c>
      <c r="U2637" s="20">
        <f>HYPERLINK("https://vnm.spiral.com.vn//uploaded/20210513/F08AB708-657A-4AEB-9528-B33AA1EE93F8.jpg","09:07:09")</f>
      </c>
      <c r="V2637" s="18">
        <v>0.05274305555555556</v>
      </c>
      <c r="W2637" s="15" t="s">
        <v>13447</v>
      </c>
      <c r="X2637" s="15" t="s">
        <v>13448</v>
      </c>
      <c r="Y2637" s="15" t="s">
        <v>35</v>
      </c>
      <c r="Z2637" s="19">
        <v>0</v>
      </c>
      <c r="AA2637" s="15">
        <v>0</v>
      </c>
      <c r="AB2637" s="15" t="s">
        <v>35</v>
      </c>
    </row>
    <row r="2638">
      <c r="A2638" s="15">
        <v>2634</v>
      </c>
      <c r="B2638" s="15" t="s">
        <v>87</v>
      </c>
      <c r="C2638" s="15" t="s">
        <v>88</v>
      </c>
      <c r="D2638" s="15" t="s">
        <v>610</v>
      </c>
      <c r="E2638" s="15" t="s">
        <v>90</v>
      </c>
      <c r="F2638" s="15" t="s">
        <v>35</v>
      </c>
      <c r="G2638" s="15" t="s">
        <v>74</v>
      </c>
      <c r="H2638" s="15" t="s">
        <v>13449</v>
      </c>
      <c r="I2638" s="15" t="s">
        <v>13450</v>
      </c>
      <c r="J2638" s="15" t="s">
        <v>13451</v>
      </c>
      <c r="K2638" s="15" t="s">
        <v>614</v>
      </c>
      <c r="L2638" s="15" t="s">
        <v>615</v>
      </c>
      <c r="M2638" s="15" t="s">
        <v>616</v>
      </c>
      <c r="N2638" s="15" t="s">
        <v>617</v>
      </c>
      <c r="O2638" s="15" t="s">
        <v>82</v>
      </c>
      <c r="P2638" s="15" t="s">
        <v>618</v>
      </c>
      <c r="Q2638" s="15" t="s">
        <v>619</v>
      </c>
      <c r="R2638" s="16">
        <v>44329</v>
      </c>
      <c r="S2638" s="17" t="s">
        <v>70</v>
      </c>
      <c r="T2638" s="20">
        <f>HYPERLINK("https://vnm.spiral.com.vn//uploaded/20210513/53C302BA-C3EA-4F32-B5AA-4B7CDB1BEE06.jpg","07:43:19")</f>
      </c>
      <c r="U2638" s="20">
        <f>HYPERLINK("https://vnm.spiral.com.vn//uploaded/20210513/8FE27826-B797-4BC7-8F40-159E82939B75.jpg","09:07:03")</f>
      </c>
      <c r="V2638" s="18">
        <v>0.05814814814814815</v>
      </c>
      <c r="W2638" s="15" t="s">
        <v>13452</v>
      </c>
      <c r="X2638" s="15" t="s">
        <v>13453</v>
      </c>
      <c r="Y2638" s="15" t="s">
        <v>35</v>
      </c>
      <c r="Z2638" s="19">
        <v>0</v>
      </c>
      <c r="AA2638" s="15">
        <v>0</v>
      </c>
      <c r="AB2638" s="15" t="s">
        <v>35</v>
      </c>
    </row>
    <row r="2639">
      <c r="A2639" s="15">
        <v>2635</v>
      </c>
      <c r="B2639" s="15" t="s">
        <v>87</v>
      </c>
      <c r="C2639" s="15" t="s">
        <v>88</v>
      </c>
      <c r="D2639" s="15" t="s">
        <v>135</v>
      </c>
      <c r="E2639" s="15" t="s">
        <v>116</v>
      </c>
      <c r="F2639" s="15" t="s">
        <v>35</v>
      </c>
      <c r="G2639" s="15" t="s">
        <v>74</v>
      </c>
      <c r="H2639" s="15" t="s">
        <v>13454</v>
      </c>
      <c r="I2639" s="15" t="s">
        <v>13455</v>
      </c>
      <c r="J2639" s="15" t="s">
        <v>13456</v>
      </c>
      <c r="K2639" s="15" t="s">
        <v>139</v>
      </c>
      <c r="L2639" s="15" t="s">
        <v>140</v>
      </c>
      <c r="M2639" s="15" t="s">
        <v>530</v>
      </c>
      <c r="N2639" s="15" t="s">
        <v>531</v>
      </c>
      <c r="O2639" s="15" t="s">
        <v>82</v>
      </c>
      <c r="P2639" s="15" t="s">
        <v>1453</v>
      </c>
      <c r="Q2639" s="15" t="s">
        <v>1454</v>
      </c>
      <c r="R2639" s="16">
        <v>44329</v>
      </c>
      <c r="S2639" s="17" t="s">
        <v>70</v>
      </c>
      <c r="T2639" s="20">
        <f>HYPERLINK("https://vnm.spiral.com.vn//uploaded/20210513/01a2e804-00a5-429a-9998-ef8c4e3693dc.JPEG","07:42:03")</f>
      </c>
      <c r="U2639" s="20">
        <f>HYPERLINK("https://vnm.spiral.com.vn//uploaded/20210513/b5a25f41-7e24-4963-a3cf-dd4df5356c6e.JPEG","09:06:32")</f>
      </c>
      <c r="V2639" s="18">
        <v>0.05866898148148148</v>
      </c>
      <c r="W2639" s="15" t="s">
        <v>13457</v>
      </c>
      <c r="X2639" s="15" t="s">
        <v>13458</v>
      </c>
      <c r="Y2639" s="15" t="s">
        <v>35</v>
      </c>
      <c r="Z2639" s="19">
        <v>0</v>
      </c>
      <c r="AA2639" s="15">
        <v>0</v>
      </c>
      <c r="AB2639" s="15" t="s">
        <v>35</v>
      </c>
    </row>
    <row r="2640">
      <c r="A2640" s="15">
        <v>2636</v>
      </c>
      <c r="B2640" s="15" t="s">
        <v>87</v>
      </c>
      <c r="C2640" s="15" t="s">
        <v>88</v>
      </c>
      <c r="D2640" s="15" t="s">
        <v>135</v>
      </c>
      <c r="E2640" s="15" t="s">
        <v>116</v>
      </c>
      <c r="F2640" s="15" t="s">
        <v>35</v>
      </c>
      <c r="G2640" s="15" t="s">
        <v>74</v>
      </c>
      <c r="H2640" s="15" t="s">
        <v>13459</v>
      </c>
      <c r="I2640" s="15" t="s">
        <v>13460</v>
      </c>
      <c r="J2640" s="15" t="s">
        <v>13461</v>
      </c>
      <c r="K2640" s="15" t="s">
        <v>94</v>
      </c>
      <c r="L2640" s="15" t="s">
        <v>95</v>
      </c>
      <c r="M2640" s="15" t="s">
        <v>139</v>
      </c>
      <c r="N2640" s="15" t="s">
        <v>140</v>
      </c>
      <c r="O2640" s="15" t="s">
        <v>98</v>
      </c>
      <c r="P2640" s="15" t="s">
        <v>530</v>
      </c>
      <c r="Q2640" s="15" t="s">
        <v>531</v>
      </c>
      <c r="R2640" s="16">
        <v>44329</v>
      </c>
      <c r="S2640" s="17" t="s">
        <v>70</v>
      </c>
      <c r="T2640" s="20">
        <f>HYPERLINK("https://vnm.spiral.com.vn//uploaded/20210513/45B57292-9C82-4468-A770-107B5A85D9BE.jpg","07:57:06")</f>
      </c>
      <c r="U2640" s="20">
        <f>HYPERLINK("https://vnm.spiral.com.vn//uploaded/20210513/8BAB759D-C319-4178-ACCE-7F5DB2175F0D.jpg","09:06:00")</f>
      </c>
      <c r="V2640" s="18">
        <v>0.04784722222222222</v>
      </c>
      <c r="W2640" s="15" t="s">
        <v>13462</v>
      </c>
      <c r="X2640" s="15" t="s">
        <v>13463</v>
      </c>
      <c r="Y2640" s="15" t="s">
        <v>35</v>
      </c>
      <c r="Z2640" s="19">
        <v>0</v>
      </c>
      <c r="AA2640" s="15">
        <v>0</v>
      </c>
      <c r="AB2640" s="15" t="s">
        <v>35</v>
      </c>
    </row>
    <row r="2641">
      <c r="A2641" s="15">
        <v>2637</v>
      </c>
      <c r="B2641" s="15" t="s">
        <v>87</v>
      </c>
      <c r="C2641" s="15" t="s">
        <v>88</v>
      </c>
      <c r="D2641" s="15" t="s">
        <v>135</v>
      </c>
      <c r="E2641" s="15" t="s">
        <v>116</v>
      </c>
      <c r="F2641" s="15" t="s">
        <v>35</v>
      </c>
      <c r="G2641" s="15" t="s">
        <v>74</v>
      </c>
      <c r="H2641" s="15" t="s">
        <v>13464</v>
      </c>
      <c r="I2641" s="15" t="s">
        <v>13465</v>
      </c>
      <c r="J2641" s="15" t="s">
        <v>13466</v>
      </c>
      <c r="K2641" s="15" t="s">
        <v>390</v>
      </c>
      <c r="L2641" s="15" t="s">
        <v>391</v>
      </c>
      <c r="M2641" s="15" t="s">
        <v>392</v>
      </c>
      <c r="N2641" s="15" t="s">
        <v>393</v>
      </c>
      <c r="O2641" s="15" t="s">
        <v>82</v>
      </c>
      <c r="P2641" s="15" t="s">
        <v>1265</v>
      </c>
      <c r="Q2641" s="15" t="s">
        <v>1266</v>
      </c>
      <c r="R2641" s="16">
        <v>44329</v>
      </c>
      <c r="S2641" s="17" t="s">
        <v>70</v>
      </c>
      <c r="T2641" s="20">
        <f>HYPERLINK("https://vnm.spiral.com.vn//uploaded/20210513/317cecc3-d166-44dc-bbb7-5c3f34b681f5.JPEG","07:55:34")</f>
      </c>
      <c r="U2641" s="20">
        <f>HYPERLINK("https://vnm.spiral.com.vn//uploaded/20210513/a0983942-4c45-49d6-8965-363d0a9896a4.JPEG","09:05:49")</f>
      </c>
      <c r="V2641" s="18">
        <v>0.04878472222222222</v>
      </c>
      <c r="W2641" s="15" t="s">
        <v>13467</v>
      </c>
      <c r="X2641" s="15" t="s">
        <v>13468</v>
      </c>
      <c r="Y2641" s="15" t="s">
        <v>35</v>
      </c>
      <c r="Z2641" s="19">
        <v>0</v>
      </c>
      <c r="AA2641" s="15">
        <v>0</v>
      </c>
      <c r="AB2641" s="15" t="s">
        <v>35</v>
      </c>
    </row>
    <row r="2642">
      <c r="A2642" s="15">
        <v>2638</v>
      </c>
      <c r="B2642" s="15" t="s">
        <v>87</v>
      </c>
      <c r="C2642" s="15" t="s">
        <v>88</v>
      </c>
      <c r="D2642" s="15" t="s">
        <v>35</v>
      </c>
      <c r="E2642" s="15" t="s">
        <v>35</v>
      </c>
      <c r="F2642" s="15" t="s">
        <v>35</v>
      </c>
      <c r="G2642" s="15" t="s">
        <v>74</v>
      </c>
      <c r="H2642" s="15" t="s">
        <v>13469</v>
      </c>
      <c r="I2642" s="15" t="s">
        <v>13470</v>
      </c>
      <c r="J2642" s="15" t="s">
        <v>13471</v>
      </c>
      <c r="K2642" s="15" t="s">
        <v>888</v>
      </c>
      <c r="L2642" s="15" t="s">
        <v>889</v>
      </c>
      <c r="M2642" s="15" t="s">
        <v>924</v>
      </c>
      <c r="N2642" s="15" t="s">
        <v>925</v>
      </c>
      <c r="O2642" s="15" t="s">
        <v>82</v>
      </c>
      <c r="P2642" s="15" t="s">
        <v>1460</v>
      </c>
      <c r="Q2642" s="15" t="s">
        <v>1461</v>
      </c>
      <c r="R2642" s="16">
        <v>44329</v>
      </c>
      <c r="S2642" s="17" t="s">
        <v>70</v>
      </c>
      <c r="T2642" s="20">
        <f>HYPERLINK("https://vnm.spiral.com.vn//uploaded/20210513/B0E63532-D65D-4A51-93E2-2C05FC9F8016.jpg","08:19:17")</f>
      </c>
      <c r="U2642" s="20">
        <f>HYPERLINK("https://vnm.spiral.com.vn//uploaded/20210513/A9AF5030-EB1C-40AD-863D-C65DDFA2243A.jpg","09:05:34")</f>
      </c>
      <c r="V2642" s="18">
        <v>0.03214120370370371</v>
      </c>
      <c r="W2642" s="15" t="s">
        <v>13472</v>
      </c>
      <c r="X2642" s="15" t="s">
        <v>13473</v>
      </c>
      <c r="Y2642" s="15" t="s">
        <v>35</v>
      </c>
      <c r="Z2642" s="19">
        <v>0</v>
      </c>
      <c r="AA2642" s="15">
        <v>0</v>
      </c>
      <c r="AB2642" s="15" t="s">
        <v>35</v>
      </c>
    </row>
    <row r="2643">
      <c r="A2643" s="15">
        <v>2639</v>
      </c>
      <c r="B2643" s="15" t="s">
        <v>87</v>
      </c>
      <c r="C2643" s="15" t="s">
        <v>88</v>
      </c>
      <c r="D2643" s="15" t="s">
        <v>74</v>
      </c>
      <c r="E2643" s="15" t="s">
        <v>90</v>
      </c>
      <c r="F2643" s="15" t="s">
        <v>35</v>
      </c>
      <c r="G2643" s="15" t="s">
        <v>74</v>
      </c>
      <c r="H2643" s="15" t="s">
        <v>13474</v>
      </c>
      <c r="I2643" s="15" t="s">
        <v>13475</v>
      </c>
      <c r="J2643" s="15" t="s">
        <v>13476</v>
      </c>
      <c r="K2643" s="15" t="s">
        <v>190</v>
      </c>
      <c r="L2643" s="15" t="s">
        <v>191</v>
      </c>
      <c r="M2643" s="15" t="s">
        <v>1031</v>
      </c>
      <c r="N2643" s="15" t="s">
        <v>1032</v>
      </c>
      <c r="O2643" s="15" t="s">
        <v>82</v>
      </c>
      <c r="P2643" s="15" t="s">
        <v>3909</v>
      </c>
      <c r="Q2643" s="15" t="s">
        <v>3910</v>
      </c>
      <c r="R2643" s="16">
        <v>44329</v>
      </c>
      <c r="S2643" s="17" t="s">
        <v>70</v>
      </c>
      <c r="T2643" s="20">
        <f>HYPERLINK("https://vnm.spiral.com.vn//uploaded/20210513/6B36E579-AAF9-4030-B393-F170C87A46F2.jpg","08:01:01")</f>
      </c>
      <c r="U2643" s="20">
        <f>HYPERLINK("https://vnm.spiral.com.vn//uploaded/20210513/8C73F464-65B3-45F8-94A6-8A2A0C69366D.jpg","09:04:30")</f>
      </c>
      <c r="V2643" s="18">
        <v>0.04408564814814815</v>
      </c>
      <c r="W2643" s="15" t="s">
        <v>13477</v>
      </c>
      <c r="X2643" s="15" t="s">
        <v>13478</v>
      </c>
      <c r="Y2643" s="15" t="s">
        <v>35</v>
      </c>
      <c r="Z2643" s="19">
        <v>0</v>
      </c>
      <c r="AA2643" s="15">
        <v>0</v>
      </c>
      <c r="AB2643" s="15" t="s">
        <v>35</v>
      </c>
    </row>
    <row r="2644">
      <c r="A2644" s="15">
        <v>2640</v>
      </c>
      <c r="B2644" s="15" t="s">
        <v>87</v>
      </c>
      <c r="C2644" s="15" t="s">
        <v>88</v>
      </c>
      <c r="D2644" s="15" t="s">
        <v>35</v>
      </c>
      <c r="E2644" s="15" t="s">
        <v>35</v>
      </c>
      <c r="F2644" s="15" t="s">
        <v>35</v>
      </c>
      <c r="G2644" s="15" t="s">
        <v>74</v>
      </c>
      <c r="H2644" s="15" t="s">
        <v>13479</v>
      </c>
      <c r="I2644" s="15" t="s">
        <v>13480</v>
      </c>
      <c r="J2644" s="15" t="s">
        <v>13481</v>
      </c>
      <c r="K2644" s="15" t="s">
        <v>888</v>
      </c>
      <c r="L2644" s="15" t="s">
        <v>889</v>
      </c>
      <c r="M2644" s="15" t="s">
        <v>890</v>
      </c>
      <c r="N2644" s="15" t="s">
        <v>891</v>
      </c>
      <c r="O2644" s="15" t="s">
        <v>82</v>
      </c>
      <c r="P2644" s="15" t="s">
        <v>1547</v>
      </c>
      <c r="Q2644" s="15" t="s">
        <v>1548</v>
      </c>
      <c r="R2644" s="16">
        <v>44329</v>
      </c>
      <c r="S2644" s="17" t="s">
        <v>70</v>
      </c>
      <c r="T2644" s="20">
        <f>HYPERLINK("https://vnm.spiral.com.vn//uploaded/20210513/27C7C72A-FD59-4A84-93D6-C4FE89A07D18.jpg","08:47:42")</f>
      </c>
      <c r="U2644" s="20">
        <f>HYPERLINK("https://vnm.spiral.com.vn//uploaded/20210513/3777C1D2-20A9-4CF9-AF5C-D755E8B32758.jpg","09:04:27")</f>
      </c>
      <c r="V2644" s="18">
        <v>0.011631944444444445</v>
      </c>
      <c r="W2644" s="15" t="s">
        <v>13482</v>
      </c>
      <c r="X2644" s="15" t="s">
        <v>13025</v>
      </c>
      <c r="Y2644" s="15" t="s">
        <v>35</v>
      </c>
      <c r="Z2644" s="19">
        <v>0</v>
      </c>
      <c r="AA2644" s="15">
        <v>0</v>
      </c>
      <c r="AB2644" s="15" t="s">
        <v>35</v>
      </c>
    </row>
    <row r="2645">
      <c r="A2645" s="15">
        <v>2641</v>
      </c>
      <c r="B2645" s="15" t="s">
        <v>49</v>
      </c>
      <c r="C2645" s="15" t="s">
        <v>468</v>
      </c>
      <c r="D2645" s="15" t="s">
        <v>35</v>
      </c>
      <c r="E2645" s="15" t="s">
        <v>35</v>
      </c>
      <c r="F2645" s="15" t="s">
        <v>469</v>
      </c>
      <c r="G2645" s="15" t="s">
        <v>36</v>
      </c>
      <c r="H2645" s="15" t="s">
        <v>13483</v>
      </c>
      <c r="I2645" s="15" t="s">
        <v>13484</v>
      </c>
      <c r="J2645" s="15" t="s">
        <v>13485</v>
      </c>
      <c r="K2645" s="15" t="s">
        <v>40</v>
      </c>
      <c r="L2645" s="15" t="s">
        <v>41</v>
      </c>
      <c r="M2645" s="15" t="s">
        <v>55</v>
      </c>
      <c r="N2645" s="15" t="s">
        <v>56</v>
      </c>
      <c r="O2645" s="15" t="s">
        <v>44</v>
      </c>
      <c r="P2645" s="15" t="s">
        <v>13486</v>
      </c>
      <c r="Q2645" s="15" t="s">
        <v>13487</v>
      </c>
      <c r="R2645" s="16">
        <v>44329</v>
      </c>
      <c r="S2645" s="17" t="s">
        <v>317</v>
      </c>
      <c r="T2645" s="20">
        <f>HYPERLINK("https://vnm.spiral.com.vn//uploaded/20210513/CA592758-E0E8-4FDB-8593-322BCBA55DED.jpg","09:03:59")</f>
      </c>
      <c r="U2645" s="18"/>
      <c r="V2645" s="18" t="s">
        <v>35</v>
      </c>
      <c r="W2645" s="15" t="s">
        <v>13488</v>
      </c>
      <c r="X2645" s="15" t="s">
        <v>35</v>
      </c>
      <c r="Y2645" s="15" t="s">
        <v>35</v>
      </c>
      <c r="Z2645" s="19">
        <v>0</v>
      </c>
      <c r="AA2645" s="15">
        <v>0</v>
      </c>
      <c r="AB2645" s="15" t="s">
        <v>35</v>
      </c>
    </row>
    <row r="2646">
      <c r="A2646" s="15">
        <v>2642</v>
      </c>
      <c r="B2646" s="15" t="s">
        <v>87</v>
      </c>
      <c r="C2646" s="15" t="s">
        <v>88</v>
      </c>
      <c r="D2646" s="15" t="s">
        <v>1910</v>
      </c>
      <c r="E2646" s="15" t="s">
        <v>1910</v>
      </c>
      <c r="F2646" s="15" t="s">
        <v>35</v>
      </c>
      <c r="G2646" s="15" t="s">
        <v>74</v>
      </c>
      <c r="H2646" s="15" t="s">
        <v>13489</v>
      </c>
      <c r="I2646" s="15" t="s">
        <v>13490</v>
      </c>
      <c r="J2646" s="15" t="s">
        <v>13491</v>
      </c>
      <c r="K2646" s="15" t="s">
        <v>888</v>
      </c>
      <c r="L2646" s="15" t="s">
        <v>889</v>
      </c>
      <c r="M2646" s="15" t="s">
        <v>924</v>
      </c>
      <c r="N2646" s="15" t="s">
        <v>925</v>
      </c>
      <c r="O2646" s="15" t="s">
        <v>82</v>
      </c>
      <c r="P2646" s="15" t="s">
        <v>1893</v>
      </c>
      <c r="Q2646" s="15" t="s">
        <v>1894</v>
      </c>
      <c r="R2646" s="16">
        <v>44329</v>
      </c>
      <c r="S2646" s="17" t="s">
        <v>70</v>
      </c>
      <c r="T2646" s="20">
        <f>HYPERLINK("https://vnm.spiral.com.vn//uploaded/20210513/979CCDFE-CED9-4F85-8CA3-C48292573B80.jpg","08:44:49")</f>
      </c>
      <c r="U2646" s="20">
        <f>HYPERLINK("https://vnm.spiral.com.vn//uploaded/20210513/25E25620-1D51-4C59-8A79-9EDBC8B45B6A.jpg","09:03:34")</f>
      </c>
      <c r="V2646" s="18">
        <v>0.013020833333333334</v>
      </c>
      <c r="W2646" s="15" t="s">
        <v>13492</v>
      </c>
      <c r="X2646" s="15" t="s">
        <v>13493</v>
      </c>
      <c r="Y2646" s="15" t="s">
        <v>35</v>
      </c>
      <c r="Z2646" s="19">
        <v>0</v>
      </c>
      <c r="AA2646" s="15">
        <v>0</v>
      </c>
      <c r="AB2646" s="15" t="s">
        <v>35</v>
      </c>
    </row>
    <row r="2647">
      <c r="A2647" s="15">
        <v>2643</v>
      </c>
      <c r="B2647" s="15" t="s">
        <v>87</v>
      </c>
      <c r="C2647" s="15" t="s">
        <v>88</v>
      </c>
      <c r="D2647" s="15" t="s">
        <v>115</v>
      </c>
      <c r="E2647" s="15" t="s">
        <v>116</v>
      </c>
      <c r="F2647" s="15" t="s">
        <v>35</v>
      </c>
      <c r="G2647" s="15" t="s">
        <v>74</v>
      </c>
      <c r="H2647" s="15" t="s">
        <v>13494</v>
      </c>
      <c r="I2647" s="15" t="s">
        <v>13495</v>
      </c>
      <c r="J2647" s="15" t="s">
        <v>13496</v>
      </c>
      <c r="K2647" s="15" t="s">
        <v>120</v>
      </c>
      <c r="L2647" s="15" t="s">
        <v>121</v>
      </c>
      <c r="M2647" s="15" t="s">
        <v>122</v>
      </c>
      <c r="N2647" s="15" t="s">
        <v>123</v>
      </c>
      <c r="O2647" s="15" t="s">
        <v>82</v>
      </c>
      <c r="P2647" s="15" t="s">
        <v>124</v>
      </c>
      <c r="Q2647" s="15" t="s">
        <v>125</v>
      </c>
      <c r="R2647" s="16">
        <v>44329</v>
      </c>
      <c r="S2647" s="17" t="s">
        <v>70</v>
      </c>
      <c r="T2647" s="20">
        <f>HYPERLINK("https://vnm.spiral.com.vn//uploaded/20210513/5e15c3f6-af5e-4bb4-b8e8-edeb5252f4a1.JPEG","07:39:34")</f>
      </c>
      <c r="U2647" s="20">
        <f>HYPERLINK("https://vnm.spiral.com.vn//uploaded/20210513/c7870f95-ff87-4ddc-a57a-1857280571e1.JPEG","09:03:18")</f>
      </c>
      <c r="V2647" s="18">
        <v>0.05814814814814815</v>
      </c>
      <c r="W2647" s="15" t="s">
        <v>13497</v>
      </c>
      <c r="X2647" s="15" t="s">
        <v>13498</v>
      </c>
      <c r="Y2647" s="15" t="s">
        <v>35</v>
      </c>
      <c r="Z2647" s="19">
        <v>0</v>
      </c>
      <c r="AA2647" s="15">
        <v>0</v>
      </c>
      <c r="AB2647" s="15" t="s">
        <v>35</v>
      </c>
    </row>
    <row r="2648">
      <c r="A2648" s="15">
        <v>2644</v>
      </c>
      <c r="B2648" s="15" t="s">
        <v>87</v>
      </c>
      <c r="C2648" s="15" t="s">
        <v>88</v>
      </c>
      <c r="D2648" s="15" t="s">
        <v>135</v>
      </c>
      <c r="E2648" s="15" t="s">
        <v>116</v>
      </c>
      <c r="F2648" s="15" t="s">
        <v>35</v>
      </c>
      <c r="G2648" s="15" t="s">
        <v>74</v>
      </c>
      <c r="H2648" s="15" t="s">
        <v>13499</v>
      </c>
      <c r="I2648" s="15" t="s">
        <v>13500</v>
      </c>
      <c r="J2648" s="15" t="s">
        <v>13501</v>
      </c>
      <c r="K2648" s="15" t="s">
        <v>139</v>
      </c>
      <c r="L2648" s="15" t="s">
        <v>140</v>
      </c>
      <c r="M2648" s="15" t="s">
        <v>530</v>
      </c>
      <c r="N2648" s="15" t="s">
        <v>531</v>
      </c>
      <c r="O2648" s="15" t="s">
        <v>82</v>
      </c>
      <c r="P2648" s="15" t="s">
        <v>2108</v>
      </c>
      <c r="Q2648" s="15" t="s">
        <v>2109</v>
      </c>
      <c r="R2648" s="16">
        <v>44329</v>
      </c>
      <c r="S2648" s="17" t="s">
        <v>70</v>
      </c>
      <c r="T2648" s="20">
        <f>HYPERLINK("https://vnm.spiral.com.vn//uploaded/20210513/3f3d34f4-2432-49d2-a484-566c34284b50.JPEG","07:47:25")</f>
      </c>
      <c r="U2648" s="20">
        <f>HYPERLINK("https://vnm.spiral.com.vn//uploaded/20210513/5045df16-deac-4672-842e-0a5de7793b06.JPEG","09:02:49")</f>
      </c>
      <c r="V2648" s="18">
        <v>0.05236111111111111</v>
      </c>
      <c r="W2648" s="15" t="s">
        <v>13502</v>
      </c>
      <c r="X2648" s="15" t="s">
        <v>13503</v>
      </c>
      <c r="Y2648" s="15" t="s">
        <v>35</v>
      </c>
      <c r="Z2648" s="19">
        <v>0</v>
      </c>
      <c r="AA2648" s="15">
        <v>0</v>
      </c>
      <c r="AB2648" s="15" t="s">
        <v>35</v>
      </c>
    </row>
    <row r="2649">
      <c r="A2649" s="15">
        <v>2645</v>
      </c>
      <c r="B2649" s="15" t="s">
        <v>343</v>
      </c>
      <c r="C2649" s="15" t="s">
        <v>2135</v>
      </c>
      <c r="D2649" s="15" t="s">
        <v>35</v>
      </c>
      <c r="E2649" s="15" t="s">
        <v>35</v>
      </c>
      <c r="F2649" s="15" t="s">
        <v>35</v>
      </c>
      <c r="G2649" s="15" t="s">
        <v>36</v>
      </c>
      <c r="H2649" s="15" t="s">
        <v>13504</v>
      </c>
      <c r="I2649" s="15" t="s">
        <v>13505</v>
      </c>
      <c r="J2649" s="15" t="s">
        <v>13506</v>
      </c>
      <c r="K2649" s="15" t="s">
        <v>40</v>
      </c>
      <c r="L2649" s="15" t="s">
        <v>41</v>
      </c>
      <c r="M2649" s="15" t="s">
        <v>595</v>
      </c>
      <c r="N2649" s="15" t="s">
        <v>596</v>
      </c>
      <c r="O2649" s="15" t="s">
        <v>44</v>
      </c>
      <c r="P2649" s="15" t="s">
        <v>13507</v>
      </c>
      <c r="Q2649" s="15" t="s">
        <v>5254</v>
      </c>
      <c r="R2649" s="16">
        <v>44329</v>
      </c>
      <c r="S2649" s="17" t="s">
        <v>13344</v>
      </c>
      <c r="T2649" s="20">
        <f>HYPERLINK("https://vnm.spiral.com.vn//uploaded/20210513/46EF163F-BB07-4464-A506-3E91D3DD24A7.jpg","09:02:47")</f>
      </c>
      <c r="U2649" s="18"/>
      <c r="V2649" s="18" t="s">
        <v>35</v>
      </c>
      <c r="W2649" s="15" t="s">
        <v>13508</v>
      </c>
      <c r="X2649" s="15" t="s">
        <v>35</v>
      </c>
      <c r="Y2649" s="15" t="s">
        <v>35</v>
      </c>
      <c r="Z2649" s="19">
        <v>0</v>
      </c>
      <c r="AA2649" s="15">
        <v>0</v>
      </c>
      <c r="AB2649" s="15" t="s">
        <v>35</v>
      </c>
    </row>
    <row r="2650">
      <c r="A2650" s="15">
        <v>2646</v>
      </c>
      <c r="B2650" s="15" t="s">
        <v>87</v>
      </c>
      <c r="C2650" s="15" t="s">
        <v>88</v>
      </c>
      <c r="D2650" s="15" t="s">
        <v>135</v>
      </c>
      <c r="E2650" s="15" t="s">
        <v>116</v>
      </c>
      <c r="F2650" s="15" t="s">
        <v>35</v>
      </c>
      <c r="G2650" s="15" t="s">
        <v>74</v>
      </c>
      <c r="H2650" s="15" t="s">
        <v>13509</v>
      </c>
      <c r="I2650" s="15" t="s">
        <v>13510</v>
      </c>
      <c r="J2650" s="15" t="s">
        <v>13511</v>
      </c>
      <c r="K2650" s="15" t="s">
        <v>139</v>
      </c>
      <c r="L2650" s="15" t="s">
        <v>140</v>
      </c>
      <c r="M2650" s="15" t="s">
        <v>530</v>
      </c>
      <c r="N2650" s="15" t="s">
        <v>531</v>
      </c>
      <c r="O2650" s="15" t="s">
        <v>82</v>
      </c>
      <c r="P2650" s="15" t="s">
        <v>2017</v>
      </c>
      <c r="Q2650" s="15" t="s">
        <v>2018</v>
      </c>
      <c r="R2650" s="16">
        <v>44329</v>
      </c>
      <c r="S2650" s="17" t="s">
        <v>70</v>
      </c>
      <c r="T2650" s="20">
        <f>HYPERLINK("https://vnm.spiral.com.vn//uploaded/20210513/BF61D73F-CAB6-4BB5-9662-20A98564A7D4.jpg","07:48:04")</f>
      </c>
      <c r="U2650" s="20">
        <f>HYPERLINK("https://vnm.spiral.com.vn//uploaded/20210513/14CEC8A0-7295-48C4-889D-4FEFDEF5819E.jpg","09:02:22")</f>
      </c>
      <c r="V2650" s="18">
        <v>0.051597222222222225</v>
      </c>
      <c r="W2650" s="15" t="s">
        <v>13512</v>
      </c>
      <c r="X2650" s="15" t="s">
        <v>13513</v>
      </c>
      <c r="Y2650" s="15" t="s">
        <v>35</v>
      </c>
      <c r="Z2650" s="19">
        <v>0</v>
      </c>
      <c r="AA2650" s="15">
        <v>0</v>
      </c>
      <c r="AB2650" s="15" t="s">
        <v>35</v>
      </c>
    </row>
    <row r="2651">
      <c r="A2651" s="15">
        <v>2647</v>
      </c>
      <c r="B2651" s="15" t="s">
        <v>61</v>
      </c>
      <c r="C2651" s="15" t="s">
        <v>62</v>
      </c>
      <c r="D2651" s="15" t="s">
        <v>35</v>
      </c>
      <c r="E2651" s="15" t="s">
        <v>35</v>
      </c>
      <c r="F2651" s="15" t="s">
        <v>35</v>
      </c>
      <c r="G2651" s="15" t="s">
        <v>36</v>
      </c>
      <c r="H2651" s="15" t="s">
        <v>13514</v>
      </c>
      <c r="I2651" s="15" t="s">
        <v>13515</v>
      </c>
      <c r="J2651" s="15" t="s">
        <v>13516</v>
      </c>
      <c r="K2651" s="15" t="s">
        <v>40</v>
      </c>
      <c r="L2651" s="15" t="s">
        <v>41</v>
      </c>
      <c r="M2651" s="15" t="s">
        <v>66</v>
      </c>
      <c r="N2651" s="15" t="s">
        <v>67</v>
      </c>
      <c r="O2651" s="15" t="s">
        <v>44</v>
      </c>
      <c r="P2651" s="15" t="s">
        <v>13517</v>
      </c>
      <c r="Q2651" s="15" t="s">
        <v>13518</v>
      </c>
      <c r="R2651" s="16">
        <v>44329</v>
      </c>
      <c r="S2651" s="17" t="s">
        <v>13344</v>
      </c>
      <c r="T2651" s="20">
        <f>HYPERLINK("https://vnm.spiral.com.vn//uploaded/20210513/cf02f2c8-0f6c-43c1-86f3-a47d27faab61.JPEG","09:02:10")</f>
      </c>
      <c r="U2651" s="18"/>
      <c r="V2651" s="18" t="s">
        <v>35</v>
      </c>
      <c r="W2651" s="15" t="s">
        <v>13519</v>
      </c>
      <c r="X2651" s="15" t="s">
        <v>35</v>
      </c>
      <c r="Y2651" s="15" t="s">
        <v>35</v>
      </c>
      <c r="Z2651" s="19">
        <v>0</v>
      </c>
      <c r="AA2651" s="15">
        <v>0</v>
      </c>
      <c r="AB2651" s="15" t="s">
        <v>35</v>
      </c>
    </row>
    <row r="2652">
      <c r="A2652" s="15">
        <v>2648</v>
      </c>
      <c r="B2652" s="15" t="s">
        <v>87</v>
      </c>
      <c r="C2652" s="15" t="s">
        <v>88</v>
      </c>
      <c r="D2652" s="15" t="s">
        <v>135</v>
      </c>
      <c r="E2652" s="15" t="s">
        <v>116</v>
      </c>
      <c r="F2652" s="15" t="s">
        <v>35</v>
      </c>
      <c r="G2652" s="15" t="s">
        <v>74</v>
      </c>
      <c r="H2652" s="15" t="s">
        <v>13520</v>
      </c>
      <c r="I2652" s="15" t="s">
        <v>13521</v>
      </c>
      <c r="J2652" s="15" t="s">
        <v>13522</v>
      </c>
      <c r="K2652" s="15" t="s">
        <v>139</v>
      </c>
      <c r="L2652" s="15" t="s">
        <v>140</v>
      </c>
      <c r="M2652" s="15" t="s">
        <v>530</v>
      </c>
      <c r="N2652" s="15" t="s">
        <v>531</v>
      </c>
      <c r="O2652" s="15" t="s">
        <v>82</v>
      </c>
      <c r="P2652" s="15" t="s">
        <v>2158</v>
      </c>
      <c r="Q2652" s="15" t="s">
        <v>2159</v>
      </c>
      <c r="R2652" s="16">
        <v>44329</v>
      </c>
      <c r="S2652" s="17" t="s">
        <v>70</v>
      </c>
      <c r="T2652" s="20">
        <f>HYPERLINK("https://vnm.spiral.com.vn//uploaded/20210513/38444395-4fa8-4f09-b643-c006265825e9.JPEG","07:51:43")</f>
      </c>
      <c r="U2652" s="20">
        <f>HYPERLINK("https://vnm.spiral.com.vn//uploaded/20210513/ceb79540-777e-40c6-8f35-80bc9696a50a.JPEG","09:01:27")</f>
      </c>
      <c r="V2652" s="18">
        <v>0.04842592592592593</v>
      </c>
      <c r="W2652" s="15" t="s">
        <v>13523</v>
      </c>
      <c r="X2652" s="15" t="s">
        <v>13524</v>
      </c>
      <c r="Y2652" s="15" t="s">
        <v>35</v>
      </c>
      <c r="Z2652" s="19">
        <v>0</v>
      </c>
      <c r="AA2652" s="15">
        <v>0</v>
      </c>
      <c r="AB2652" s="15" t="s">
        <v>35</v>
      </c>
    </row>
    <row r="2653">
      <c r="A2653" s="15">
        <v>2649</v>
      </c>
      <c r="B2653" s="15" t="s">
        <v>87</v>
      </c>
      <c r="C2653" s="15" t="s">
        <v>88</v>
      </c>
      <c r="D2653" s="15" t="s">
        <v>432</v>
      </c>
      <c r="E2653" s="15" t="s">
        <v>116</v>
      </c>
      <c r="F2653" s="15" t="s">
        <v>35</v>
      </c>
      <c r="G2653" s="15" t="s">
        <v>74</v>
      </c>
      <c r="H2653" s="15" t="s">
        <v>13525</v>
      </c>
      <c r="I2653" s="15" t="s">
        <v>13526</v>
      </c>
      <c r="J2653" s="15" t="s">
        <v>13527</v>
      </c>
      <c r="K2653" s="15" t="s">
        <v>625</v>
      </c>
      <c r="L2653" s="15" t="s">
        <v>626</v>
      </c>
      <c r="M2653" s="15" t="s">
        <v>1022</v>
      </c>
      <c r="N2653" s="15" t="s">
        <v>1023</v>
      </c>
      <c r="O2653" s="15" t="s">
        <v>82</v>
      </c>
      <c r="P2653" s="15" t="s">
        <v>2241</v>
      </c>
      <c r="Q2653" s="15" t="s">
        <v>2242</v>
      </c>
      <c r="R2653" s="16">
        <v>44329</v>
      </c>
      <c r="S2653" s="17" t="s">
        <v>70</v>
      </c>
      <c r="T2653" s="20">
        <f>HYPERLINK("https://vnm.spiral.com.vn//uploaded/20210513/671770E6-61E6-4914-90C8-A8CA30B2DB69.jpg","08:28:54")</f>
      </c>
      <c r="U2653" s="20">
        <f>HYPERLINK("https://vnm.spiral.com.vn//uploaded/20210513/4D2ADE5F-086C-4F0E-A1C0-418002C556C2.jpg","09:01:22")</f>
      </c>
      <c r="V2653" s="18">
        <v>0.022546296296296297</v>
      </c>
      <c r="W2653" s="15" t="s">
        <v>13528</v>
      </c>
      <c r="X2653" s="15" t="s">
        <v>13529</v>
      </c>
      <c r="Y2653" s="15" t="s">
        <v>35</v>
      </c>
      <c r="Z2653" s="19">
        <v>0</v>
      </c>
      <c r="AA2653" s="15">
        <v>0</v>
      </c>
      <c r="AB2653" s="15" t="s">
        <v>35</v>
      </c>
    </row>
    <row r="2654">
      <c r="A2654" s="15">
        <v>2650</v>
      </c>
      <c r="B2654" s="15" t="s">
        <v>103</v>
      </c>
      <c r="C2654" s="15" t="s">
        <v>104</v>
      </c>
      <c r="D2654" s="15" t="s">
        <v>35</v>
      </c>
      <c r="E2654" s="15" t="s">
        <v>35</v>
      </c>
      <c r="F2654" s="15" t="s">
        <v>35</v>
      </c>
      <c r="G2654" s="15" t="s">
        <v>36</v>
      </c>
      <c r="H2654" s="15" t="s">
        <v>13530</v>
      </c>
      <c r="I2654" s="15" t="s">
        <v>13531</v>
      </c>
      <c r="J2654" s="15" t="s">
        <v>13532</v>
      </c>
      <c r="K2654" s="15" t="s">
        <v>40</v>
      </c>
      <c r="L2654" s="15" t="s">
        <v>41</v>
      </c>
      <c r="M2654" s="15" t="s">
        <v>108</v>
      </c>
      <c r="N2654" s="15" t="s">
        <v>109</v>
      </c>
      <c r="O2654" s="15" t="s">
        <v>44</v>
      </c>
      <c r="P2654" s="15" t="s">
        <v>13533</v>
      </c>
      <c r="Q2654" s="15" t="s">
        <v>13534</v>
      </c>
      <c r="R2654" s="16">
        <v>44329</v>
      </c>
      <c r="S2654" s="17" t="s">
        <v>13344</v>
      </c>
      <c r="T2654" s="20">
        <f>HYPERLINK("https://vnm.spiral.com.vn//uploaded/20210513/dbaa660f-4384-4d92-b2f3-3a8753720ac5.JPEG","09:00:50")</f>
      </c>
      <c r="U2654" s="18"/>
      <c r="V2654" s="18" t="s">
        <v>35</v>
      </c>
      <c r="W2654" s="15" t="s">
        <v>13535</v>
      </c>
      <c r="X2654" s="15" t="s">
        <v>35</v>
      </c>
      <c r="Y2654" s="15" t="s">
        <v>35</v>
      </c>
      <c r="Z2654" s="19">
        <v>0</v>
      </c>
      <c r="AA2654" s="15">
        <v>0</v>
      </c>
      <c r="AB2654" s="15" t="s">
        <v>35</v>
      </c>
    </row>
    <row r="2655">
      <c r="A2655" s="15">
        <v>2651</v>
      </c>
      <c r="B2655" s="15" t="s">
        <v>61</v>
      </c>
      <c r="C2655" s="15" t="s">
        <v>398</v>
      </c>
      <c r="D2655" s="15" t="s">
        <v>35</v>
      </c>
      <c r="E2655" s="15" t="s">
        <v>35</v>
      </c>
      <c r="F2655" s="15" t="s">
        <v>35</v>
      </c>
      <c r="G2655" s="15" t="s">
        <v>36</v>
      </c>
      <c r="H2655" s="15" t="s">
        <v>13536</v>
      </c>
      <c r="I2655" s="15" t="s">
        <v>13537</v>
      </c>
      <c r="J2655" s="15" t="s">
        <v>13538</v>
      </c>
      <c r="K2655" s="15" t="s">
        <v>40</v>
      </c>
      <c r="L2655" s="15" t="s">
        <v>41</v>
      </c>
      <c r="M2655" s="15" t="s">
        <v>66</v>
      </c>
      <c r="N2655" s="15" t="s">
        <v>67</v>
      </c>
      <c r="O2655" s="15" t="s">
        <v>44</v>
      </c>
      <c r="P2655" s="15" t="s">
        <v>13539</v>
      </c>
      <c r="Q2655" s="15" t="s">
        <v>6352</v>
      </c>
      <c r="R2655" s="16">
        <v>44329</v>
      </c>
      <c r="S2655" s="17" t="s">
        <v>8031</v>
      </c>
      <c r="T2655" s="20">
        <f>HYPERLINK("https://vnm.spiral.com.vn//uploaded/20210513/bbe9e25a-590e-450b-a384-db3fb1e50e79.JPEG","09:00:48")</f>
      </c>
      <c r="U2655" s="18"/>
      <c r="V2655" s="18" t="s">
        <v>35</v>
      </c>
      <c r="W2655" s="15" t="s">
        <v>13540</v>
      </c>
      <c r="X2655" s="15" t="s">
        <v>35</v>
      </c>
      <c r="Y2655" s="15" t="s">
        <v>35</v>
      </c>
      <c r="Z2655" s="19">
        <v>0</v>
      </c>
      <c r="AA2655" s="15">
        <v>0</v>
      </c>
      <c r="AB2655" s="15" t="s">
        <v>35</v>
      </c>
    </row>
    <row r="2656">
      <c r="A2656" s="15">
        <v>2652</v>
      </c>
      <c r="B2656" s="15" t="s">
        <v>87</v>
      </c>
      <c r="C2656" s="15" t="s">
        <v>88</v>
      </c>
      <c r="D2656" s="15" t="s">
        <v>135</v>
      </c>
      <c r="E2656" s="15" t="s">
        <v>116</v>
      </c>
      <c r="F2656" s="15" t="s">
        <v>35</v>
      </c>
      <c r="G2656" s="15" t="s">
        <v>74</v>
      </c>
      <c r="H2656" s="15" t="s">
        <v>13541</v>
      </c>
      <c r="I2656" s="15" t="s">
        <v>13542</v>
      </c>
      <c r="J2656" s="15" t="s">
        <v>13543</v>
      </c>
      <c r="K2656" s="15" t="s">
        <v>139</v>
      </c>
      <c r="L2656" s="15" t="s">
        <v>140</v>
      </c>
      <c r="M2656" s="15" t="s">
        <v>141</v>
      </c>
      <c r="N2656" s="15" t="s">
        <v>142</v>
      </c>
      <c r="O2656" s="15" t="s">
        <v>82</v>
      </c>
      <c r="P2656" s="15" t="s">
        <v>2298</v>
      </c>
      <c r="Q2656" s="15" t="s">
        <v>2299</v>
      </c>
      <c r="R2656" s="16">
        <v>44329</v>
      </c>
      <c r="S2656" s="17" t="s">
        <v>70</v>
      </c>
      <c r="T2656" s="20">
        <f>HYPERLINK("https://vnm.spiral.com.vn//uploaded/20210513/220dff90-d0e2-4a69-82ab-92209d59063d.JPEG","07:49:23")</f>
      </c>
      <c r="U2656" s="20">
        <f>HYPERLINK("https://vnm.spiral.com.vn//uploaded/20210513/fd29d6a3-1ea0-45c2-b880-7161d3ee6ce1.JPEG","09:00:43")</f>
      </c>
      <c r="V2656" s="18">
        <v>0.04953703703703704</v>
      </c>
      <c r="W2656" s="15" t="s">
        <v>13544</v>
      </c>
      <c r="X2656" s="15" t="s">
        <v>13545</v>
      </c>
      <c r="Y2656" s="15" t="s">
        <v>35</v>
      </c>
      <c r="Z2656" s="19">
        <v>0</v>
      </c>
      <c r="AA2656" s="15">
        <v>0</v>
      </c>
      <c r="AB2656" s="15" t="s">
        <v>35</v>
      </c>
    </row>
    <row r="2657">
      <c r="A2657" s="15">
        <v>2653</v>
      </c>
      <c r="B2657" s="15" t="s">
        <v>87</v>
      </c>
      <c r="C2657" s="15" t="s">
        <v>88</v>
      </c>
      <c r="D2657" s="15" t="s">
        <v>35</v>
      </c>
      <c r="E2657" s="15" t="s">
        <v>35</v>
      </c>
      <c r="F2657" s="15" t="s">
        <v>35</v>
      </c>
      <c r="G2657" s="15" t="s">
        <v>74</v>
      </c>
      <c r="H2657" s="15" t="s">
        <v>13546</v>
      </c>
      <c r="I2657" s="15" t="s">
        <v>13547</v>
      </c>
      <c r="J2657" s="15" t="s">
        <v>13548</v>
      </c>
      <c r="K2657" s="15" t="s">
        <v>888</v>
      </c>
      <c r="L2657" s="15" t="s">
        <v>889</v>
      </c>
      <c r="M2657" s="15" t="s">
        <v>924</v>
      </c>
      <c r="N2657" s="15" t="s">
        <v>925</v>
      </c>
      <c r="O2657" s="15" t="s">
        <v>82</v>
      </c>
      <c r="P2657" s="15" t="s">
        <v>926</v>
      </c>
      <c r="Q2657" s="15" t="s">
        <v>927</v>
      </c>
      <c r="R2657" s="16">
        <v>44329</v>
      </c>
      <c r="S2657" s="17" t="s">
        <v>70</v>
      </c>
      <c r="T2657" s="20">
        <f>HYPERLINK("https://vnm.spiral.com.vn//uploaded/20210513/873FB258-2554-45BF-8F52-295B5262F36D.jpg","08:44:48")</f>
      </c>
      <c r="U2657" s="20">
        <f>HYPERLINK("https://vnm.spiral.com.vn//uploaded/20210513/EEB8A488-5947-4DCB-B8C1-A493058CD2EF.jpg","09:00:28")</f>
      </c>
      <c r="V2657" s="18">
        <v>0.01087962962962963</v>
      </c>
      <c r="W2657" s="15" t="s">
        <v>13549</v>
      </c>
      <c r="X2657" s="15" t="s">
        <v>13550</v>
      </c>
      <c r="Y2657" s="15" t="s">
        <v>35</v>
      </c>
      <c r="Z2657" s="19">
        <v>0</v>
      </c>
      <c r="AA2657" s="15">
        <v>0</v>
      </c>
      <c r="AB2657" s="15" t="s">
        <v>35</v>
      </c>
    </row>
    <row r="2658">
      <c r="A2658" s="15">
        <v>2654</v>
      </c>
      <c r="B2658" s="15" t="s">
        <v>343</v>
      </c>
      <c r="C2658" s="15" t="s">
        <v>344</v>
      </c>
      <c r="D2658" s="15" t="s">
        <v>35</v>
      </c>
      <c r="E2658" s="15" t="s">
        <v>35</v>
      </c>
      <c r="F2658" s="15" t="s">
        <v>7087</v>
      </c>
      <c r="G2658" s="15" t="s">
        <v>36</v>
      </c>
      <c r="H2658" s="15" t="s">
        <v>13551</v>
      </c>
      <c r="I2658" s="15" t="s">
        <v>13552</v>
      </c>
      <c r="J2658" s="15" t="s">
        <v>13553</v>
      </c>
      <c r="K2658" s="15" t="s">
        <v>40</v>
      </c>
      <c r="L2658" s="15" t="s">
        <v>41</v>
      </c>
      <c r="M2658" s="15" t="s">
        <v>595</v>
      </c>
      <c r="N2658" s="15" t="s">
        <v>596</v>
      </c>
      <c r="O2658" s="15" t="s">
        <v>44</v>
      </c>
      <c r="P2658" s="15" t="s">
        <v>13554</v>
      </c>
      <c r="Q2658" s="15" t="s">
        <v>13555</v>
      </c>
      <c r="R2658" s="16">
        <v>44329</v>
      </c>
      <c r="S2658" s="17" t="s">
        <v>13344</v>
      </c>
      <c r="T2658" s="20">
        <f>HYPERLINK("https://vnm.spiral.com.vn//uploaded/20210513/cb550d5c-25b1-4d26-90b5-5c03ae8774b2.JPEG","09:00:24")</f>
      </c>
      <c r="U2658" s="18"/>
      <c r="V2658" s="18" t="s">
        <v>35</v>
      </c>
      <c r="W2658" s="15" t="s">
        <v>13556</v>
      </c>
      <c r="X2658" s="15" t="s">
        <v>35</v>
      </c>
      <c r="Y2658" s="15" t="s">
        <v>35</v>
      </c>
      <c r="Z2658" s="19">
        <v>0</v>
      </c>
      <c r="AA2658" s="15">
        <v>0</v>
      </c>
      <c r="AB2658" s="15" t="s">
        <v>35</v>
      </c>
    </row>
    <row r="2659">
      <c r="A2659" s="15">
        <v>2655</v>
      </c>
      <c r="B2659" s="15" t="s">
        <v>49</v>
      </c>
      <c r="C2659" s="15" t="s">
        <v>369</v>
      </c>
      <c r="D2659" s="15" t="s">
        <v>135</v>
      </c>
      <c r="E2659" s="15" t="s">
        <v>116</v>
      </c>
      <c r="F2659" s="15" t="s">
        <v>35</v>
      </c>
      <c r="G2659" s="15" t="s">
        <v>74</v>
      </c>
      <c r="H2659" s="15" t="s">
        <v>13557</v>
      </c>
      <c r="I2659" s="15" t="s">
        <v>13558</v>
      </c>
      <c r="J2659" s="15" t="s">
        <v>13559</v>
      </c>
      <c r="K2659" s="15" t="s">
        <v>166</v>
      </c>
      <c r="L2659" s="15" t="s">
        <v>167</v>
      </c>
      <c r="M2659" s="15" t="s">
        <v>168</v>
      </c>
      <c r="N2659" s="15" t="s">
        <v>169</v>
      </c>
      <c r="O2659" s="15" t="s">
        <v>82</v>
      </c>
      <c r="P2659" s="15" t="s">
        <v>1655</v>
      </c>
      <c r="Q2659" s="15" t="s">
        <v>1656</v>
      </c>
      <c r="R2659" s="16">
        <v>44329</v>
      </c>
      <c r="S2659" s="17" t="s">
        <v>70</v>
      </c>
      <c r="T2659" s="20">
        <f>HYPERLINK("https://vnm.spiral.com.vn//uploaded/20210513/4BD3D8D6-CECC-4786-9BD3-147F8A1C3CB4.jpg","08:02:15")</f>
      </c>
      <c r="U2659" s="20">
        <f>HYPERLINK("https://vnm.spiral.com.vn//uploaded/20210513/E158F6DA-B984-48F6-8D93-9B3E3BE6ADFE.jpg","09:00:07")</f>
      </c>
      <c r="V2659" s="18">
        <v>0.040185185185185185</v>
      </c>
      <c r="W2659" s="15" t="s">
        <v>13560</v>
      </c>
      <c r="X2659" s="15" t="s">
        <v>13561</v>
      </c>
      <c r="Y2659" s="15" t="s">
        <v>35</v>
      </c>
      <c r="Z2659" s="19">
        <v>0</v>
      </c>
      <c r="AA2659" s="15">
        <v>0</v>
      </c>
      <c r="AB2659" s="15" t="s">
        <v>35</v>
      </c>
    </row>
    <row r="2660">
      <c r="A2660" s="15">
        <v>2656</v>
      </c>
      <c r="B2660" s="15" t="s">
        <v>87</v>
      </c>
      <c r="C2660" s="15" t="s">
        <v>88</v>
      </c>
      <c r="D2660" s="15" t="s">
        <v>115</v>
      </c>
      <c r="E2660" s="15" t="s">
        <v>116</v>
      </c>
      <c r="F2660" s="15" t="s">
        <v>35</v>
      </c>
      <c r="G2660" s="15" t="s">
        <v>74</v>
      </c>
      <c r="H2660" s="15" t="s">
        <v>13562</v>
      </c>
      <c r="I2660" s="15" t="s">
        <v>13563</v>
      </c>
      <c r="J2660" s="15" t="s">
        <v>13564</v>
      </c>
      <c r="K2660" s="15" t="s">
        <v>120</v>
      </c>
      <c r="L2660" s="15" t="s">
        <v>121</v>
      </c>
      <c r="M2660" s="15" t="s">
        <v>122</v>
      </c>
      <c r="N2660" s="15" t="s">
        <v>123</v>
      </c>
      <c r="O2660" s="15" t="s">
        <v>82</v>
      </c>
      <c r="P2660" s="15" t="s">
        <v>2677</v>
      </c>
      <c r="Q2660" s="15" t="s">
        <v>2678</v>
      </c>
      <c r="R2660" s="16">
        <v>44329</v>
      </c>
      <c r="S2660" s="17" t="s">
        <v>70</v>
      </c>
      <c r="T2660" s="20">
        <f>HYPERLINK("https://vnm.spiral.com.vn//uploaded/20210513/b8c1b91c-da68-46d3-b667-b58b1d624e6e.jpg","07:42:08")</f>
      </c>
      <c r="U2660" s="20">
        <f>HYPERLINK("https://vnm.spiral.com.vn//uploaded/20210513/93c39aca-9d92-40cc-965c-eb6ca0036074.jpg","09:00:03")</f>
      </c>
      <c r="V2660" s="18">
        <v>0.054108796296296294</v>
      </c>
      <c r="W2660" s="15" t="s">
        <v>13565</v>
      </c>
      <c r="X2660" s="15" t="s">
        <v>13566</v>
      </c>
      <c r="Y2660" s="15" t="s">
        <v>35</v>
      </c>
      <c r="Z2660" s="19">
        <v>0</v>
      </c>
      <c r="AA2660" s="15">
        <v>0</v>
      </c>
      <c r="AB2660" s="15" t="s">
        <v>35</v>
      </c>
    </row>
    <row r="2661">
      <c r="A2661" s="15">
        <v>2657</v>
      </c>
      <c r="B2661" s="15" t="s">
        <v>87</v>
      </c>
      <c r="C2661" s="15" t="s">
        <v>88</v>
      </c>
      <c r="D2661" s="15" t="s">
        <v>115</v>
      </c>
      <c r="E2661" s="15" t="s">
        <v>116</v>
      </c>
      <c r="F2661" s="15" t="s">
        <v>35</v>
      </c>
      <c r="G2661" s="15" t="s">
        <v>74</v>
      </c>
      <c r="H2661" s="15" t="s">
        <v>9603</v>
      </c>
      <c r="I2661" s="15" t="s">
        <v>9604</v>
      </c>
      <c r="J2661" s="15" t="s">
        <v>9605</v>
      </c>
      <c r="K2661" s="15" t="s">
        <v>94</v>
      </c>
      <c r="L2661" s="15" t="s">
        <v>95</v>
      </c>
      <c r="M2661" s="15" t="s">
        <v>120</v>
      </c>
      <c r="N2661" s="15" t="s">
        <v>121</v>
      </c>
      <c r="O2661" s="15" t="s">
        <v>98</v>
      </c>
      <c r="P2661" s="15" t="s">
        <v>122</v>
      </c>
      <c r="Q2661" s="15" t="s">
        <v>123</v>
      </c>
      <c r="R2661" s="16">
        <v>44329</v>
      </c>
      <c r="S2661" s="17" t="s">
        <v>70</v>
      </c>
      <c r="T2661" s="20">
        <f>HYPERLINK("https://vnm.spiral.com.vn//uploaded/20210513/52f5a6e3-7149-434c-be0e-2f1d14e6e651.jpg","07:23:05")</f>
      </c>
      <c r="U2661" s="20">
        <f>HYPERLINK("https://vnm.spiral.com.vn//uploaded/20210513/630dd108-48f4-46ac-8732-412ed0b4b316.jpg","09:00:02")</f>
      </c>
      <c r="V2661" s="18">
        <v>0.0673263888888889</v>
      </c>
      <c r="W2661" s="15" t="s">
        <v>13567</v>
      </c>
      <c r="X2661" s="15" t="s">
        <v>13568</v>
      </c>
      <c r="Y2661" s="15" t="s">
        <v>35</v>
      </c>
      <c r="Z2661" s="19">
        <v>0</v>
      </c>
      <c r="AA2661" s="15">
        <v>0</v>
      </c>
      <c r="AB2661" s="15" t="s">
        <v>35</v>
      </c>
    </row>
    <row r="2662">
      <c r="A2662" s="15">
        <v>2658</v>
      </c>
      <c r="B2662" s="15" t="s">
        <v>87</v>
      </c>
      <c r="C2662" s="15" t="s">
        <v>88</v>
      </c>
      <c r="D2662" s="15" t="s">
        <v>35</v>
      </c>
      <c r="E2662" s="15" t="s">
        <v>35</v>
      </c>
      <c r="F2662" s="15" t="s">
        <v>35</v>
      </c>
      <c r="G2662" s="15" t="s">
        <v>74</v>
      </c>
      <c r="H2662" s="15" t="s">
        <v>13569</v>
      </c>
      <c r="I2662" s="15" t="s">
        <v>13570</v>
      </c>
      <c r="J2662" s="15" t="s">
        <v>13571</v>
      </c>
      <c r="K2662" s="15" t="s">
        <v>888</v>
      </c>
      <c r="L2662" s="15" t="s">
        <v>889</v>
      </c>
      <c r="M2662" s="15" t="s">
        <v>924</v>
      </c>
      <c r="N2662" s="15" t="s">
        <v>925</v>
      </c>
      <c r="O2662" s="15" t="s">
        <v>82</v>
      </c>
      <c r="P2662" s="15" t="s">
        <v>1987</v>
      </c>
      <c r="Q2662" s="15" t="s">
        <v>1988</v>
      </c>
      <c r="R2662" s="16">
        <v>44329</v>
      </c>
      <c r="S2662" s="17" t="s">
        <v>70</v>
      </c>
      <c r="T2662" s="20">
        <f>HYPERLINK("https://vnm.spiral.com.vn//uploaded/20210513/311ed4f8-6cba-41f2-a111-30ac9e794289.JPEG","08:39:42")</f>
      </c>
      <c r="U2662" s="20">
        <f>HYPERLINK("https://vnm.spiral.com.vn//uploaded/20210513/dde51d9e-d61c-4438-bbf6-90c95ecb79e0.JPEG","08:59:54")</f>
      </c>
      <c r="V2662" s="18">
        <v>0.014027777777777778</v>
      </c>
      <c r="W2662" s="15" t="s">
        <v>13572</v>
      </c>
      <c r="X2662" s="15" t="s">
        <v>13573</v>
      </c>
      <c r="Y2662" s="15" t="s">
        <v>35</v>
      </c>
      <c r="Z2662" s="19">
        <v>0</v>
      </c>
      <c r="AA2662" s="15">
        <v>0</v>
      </c>
      <c r="AB2662" s="15" t="s">
        <v>35</v>
      </c>
    </row>
    <row r="2663">
      <c r="A2663" s="15">
        <v>2659</v>
      </c>
      <c r="B2663" s="15" t="s">
        <v>87</v>
      </c>
      <c r="C2663" s="15" t="s">
        <v>88</v>
      </c>
      <c r="D2663" s="15" t="s">
        <v>357</v>
      </c>
      <c r="E2663" s="15" t="s">
        <v>90</v>
      </c>
      <c r="F2663" s="15" t="s">
        <v>35</v>
      </c>
      <c r="G2663" s="15" t="s">
        <v>74</v>
      </c>
      <c r="H2663" s="15" t="s">
        <v>13574</v>
      </c>
      <c r="I2663" s="15" t="s">
        <v>13575</v>
      </c>
      <c r="J2663" s="15" t="s">
        <v>13576</v>
      </c>
      <c r="K2663" s="15" t="s">
        <v>94</v>
      </c>
      <c r="L2663" s="15" t="s">
        <v>95</v>
      </c>
      <c r="M2663" s="15" t="s">
        <v>1570</v>
      </c>
      <c r="N2663" s="15" t="s">
        <v>1571</v>
      </c>
      <c r="O2663" s="15" t="s">
        <v>98</v>
      </c>
      <c r="P2663" s="15" t="s">
        <v>1572</v>
      </c>
      <c r="Q2663" s="15" t="s">
        <v>1573</v>
      </c>
      <c r="R2663" s="16">
        <v>44329</v>
      </c>
      <c r="S2663" s="17" t="s">
        <v>70</v>
      </c>
      <c r="T2663" s="20">
        <f>HYPERLINK("https://vnm.spiral.com.vn//uploaded/20210513/ff29a3c3-acef-40ec-94b1-a20c3d8da55a.JPEG","07:53:16")</f>
      </c>
      <c r="U2663" s="20">
        <f>HYPERLINK("https://vnm.spiral.com.vn//uploaded/20210513/ec271007-83f0-4750-90c0-cd0c1d80bddb.JPEG","08:59:25")</f>
      </c>
      <c r="V2663" s="18">
        <v>0.0459375</v>
      </c>
      <c r="W2663" s="15" t="s">
        <v>13577</v>
      </c>
      <c r="X2663" s="15" t="s">
        <v>13578</v>
      </c>
      <c r="Y2663" s="15" t="s">
        <v>35</v>
      </c>
      <c r="Z2663" s="19">
        <v>0</v>
      </c>
      <c r="AA2663" s="15">
        <v>0</v>
      </c>
      <c r="AB2663" s="15" t="s">
        <v>35</v>
      </c>
    </row>
    <row r="2664">
      <c r="A2664" s="15">
        <v>2660</v>
      </c>
      <c r="B2664" s="15" t="s">
        <v>49</v>
      </c>
      <c r="C2664" s="15" t="s">
        <v>1715</v>
      </c>
      <c r="D2664" s="15" t="s">
        <v>135</v>
      </c>
      <c r="E2664" s="15" t="s">
        <v>116</v>
      </c>
      <c r="F2664" s="15" t="s">
        <v>35</v>
      </c>
      <c r="G2664" s="15" t="s">
        <v>74</v>
      </c>
      <c r="H2664" s="15" t="s">
        <v>13579</v>
      </c>
      <c r="I2664" s="15" t="s">
        <v>13580</v>
      </c>
      <c r="J2664" s="15" t="s">
        <v>13581</v>
      </c>
      <c r="K2664" s="15" t="s">
        <v>166</v>
      </c>
      <c r="L2664" s="15" t="s">
        <v>167</v>
      </c>
      <c r="M2664" s="15" t="s">
        <v>168</v>
      </c>
      <c r="N2664" s="15" t="s">
        <v>169</v>
      </c>
      <c r="O2664" s="15" t="s">
        <v>82</v>
      </c>
      <c r="P2664" s="15" t="s">
        <v>2590</v>
      </c>
      <c r="Q2664" s="15" t="s">
        <v>2591</v>
      </c>
      <c r="R2664" s="16">
        <v>44329</v>
      </c>
      <c r="S2664" s="17" t="s">
        <v>70</v>
      </c>
      <c r="T2664" s="20">
        <f>HYPERLINK("https://vnm.spiral.com.vn//uploaded/20210513/c4db579a-16d8-4627-86d1-204762bda803.JPEG","07:57:13")</f>
      </c>
      <c r="U2664" s="20">
        <f>HYPERLINK("https://vnm.spiral.com.vn//uploaded/20210513/dfbe9ea7-9bce-4627-835e-4bd7c59d9db4.JPEG","08:59:19")</f>
      </c>
      <c r="V2664" s="18">
        <v>0.043125</v>
      </c>
      <c r="W2664" s="15" t="s">
        <v>13582</v>
      </c>
      <c r="X2664" s="15" t="s">
        <v>13583</v>
      </c>
      <c r="Y2664" s="15" t="s">
        <v>35</v>
      </c>
      <c r="Z2664" s="19">
        <v>0</v>
      </c>
      <c r="AA2664" s="15">
        <v>0</v>
      </c>
      <c r="AB2664" s="15" t="s">
        <v>35</v>
      </c>
    </row>
    <row r="2665">
      <c r="A2665" s="15">
        <v>2661</v>
      </c>
      <c r="B2665" s="15" t="s">
        <v>49</v>
      </c>
      <c r="C2665" s="15" t="s">
        <v>162</v>
      </c>
      <c r="D2665" s="15" t="s">
        <v>135</v>
      </c>
      <c r="E2665" s="15" t="s">
        <v>116</v>
      </c>
      <c r="F2665" s="15" t="s">
        <v>35</v>
      </c>
      <c r="G2665" s="15" t="s">
        <v>74</v>
      </c>
      <c r="H2665" s="15" t="s">
        <v>13584</v>
      </c>
      <c r="I2665" s="15" t="s">
        <v>13585</v>
      </c>
      <c r="J2665" s="15" t="s">
        <v>13586</v>
      </c>
      <c r="K2665" s="15" t="s">
        <v>166</v>
      </c>
      <c r="L2665" s="15" t="s">
        <v>167</v>
      </c>
      <c r="M2665" s="15" t="s">
        <v>168</v>
      </c>
      <c r="N2665" s="15" t="s">
        <v>169</v>
      </c>
      <c r="O2665" s="15" t="s">
        <v>82</v>
      </c>
      <c r="P2665" s="15" t="s">
        <v>4399</v>
      </c>
      <c r="Q2665" s="15" t="s">
        <v>4400</v>
      </c>
      <c r="R2665" s="16">
        <v>44329</v>
      </c>
      <c r="S2665" s="17" t="s">
        <v>70</v>
      </c>
      <c r="T2665" s="20">
        <f>HYPERLINK("https://vnm.spiral.com.vn//uploaded/20210513/3512F2A2-410C-4098-B715-87605896ED63.jpg","08:32:09")</f>
      </c>
      <c r="U2665" s="20">
        <f>HYPERLINK("https://vnm.spiral.com.vn//uploaded/20210513/0758E9F6-1848-4756-A7FA-18FFB2A78778.jpg","08:58:58")</f>
      </c>
      <c r="V2665" s="18">
        <v>0.018622685185185187</v>
      </c>
      <c r="W2665" s="15" t="s">
        <v>13587</v>
      </c>
      <c r="X2665" s="15" t="s">
        <v>13588</v>
      </c>
      <c r="Y2665" s="15" t="s">
        <v>35</v>
      </c>
      <c r="Z2665" s="19">
        <v>0</v>
      </c>
      <c r="AA2665" s="15">
        <v>0</v>
      </c>
      <c r="AB2665" s="15" t="s">
        <v>35</v>
      </c>
    </row>
    <row r="2666">
      <c r="A2666" s="15">
        <v>2662</v>
      </c>
      <c r="B2666" s="15" t="s">
        <v>343</v>
      </c>
      <c r="C2666" s="15" t="s">
        <v>344</v>
      </c>
      <c r="D2666" s="15" t="s">
        <v>432</v>
      </c>
      <c r="E2666" s="15" t="s">
        <v>116</v>
      </c>
      <c r="F2666" s="15" t="s">
        <v>35</v>
      </c>
      <c r="G2666" s="15" t="s">
        <v>74</v>
      </c>
      <c r="H2666" s="15" t="s">
        <v>13589</v>
      </c>
      <c r="I2666" s="15" t="s">
        <v>13590</v>
      </c>
      <c r="J2666" s="15" t="s">
        <v>13591</v>
      </c>
      <c r="K2666" s="15" t="s">
        <v>512</v>
      </c>
      <c r="L2666" s="15" t="s">
        <v>513</v>
      </c>
      <c r="M2666" s="15" t="s">
        <v>514</v>
      </c>
      <c r="N2666" s="15" t="s">
        <v>515</v>
      </c>
      <c r="O2666" s="15" t="s">
        <v>82</v>
      </c>
      <c r="P2666" s="15" t="s">
        <v>1371</v>
      </c>
      <c r="Q2666" s="15" t="s">
        <v>1372</v>
      </c>
      <c r="R2666" s="16">
        <v>44329</v>
      </c>
      <c r="S2666" s="17" t="s">
        <v>70</v>
      </c>
      <c r="T2666" s="20">
        <f>HYPERLINK("https://vnm.spiral.com.vn//uploaded/20210513/d443013a-35fe-4377-83fa-b123a07a47de.JPEG","07:49:45")</f>
      </c>
      <c r="U2666" s="20">
        <f>HYPERLINK("https://vnm.spiral.com.vn//uploaded/20210513/c2383ad4-d1c6-4635-bb24-6706591a2df4.JPEG","08:58:41")</f>
      </c>
      <c r="V2666" s="18">
        <v>0.04787037037037037</v>
      </c>
      <c r="W2666" s="15" t="s">
        <v>13592</v>
      </c>
      <c r="X2666" s="15" t="s">
        <v>13593</v>
      </c>
      <c r="Y2666" s="15" t="s">
        <v>35</v>
      </c>
      <c r="Z2666" s="19">
        <v>0</v>
      </c>
      <c r="AA2666" s="15">
        <v>0</v>
      </c>
      <c r="AB2666" s="15" t="s">
        <v>35</v>
      </c>
    </row>
    <row r="2667">
      <c r="A2667" s="15">
        <v>2663</v>
      </c>
      <c r="B2667" s="15" t="s">
        <v>246</v>
      </c>
      <c r="C2667" s="15" t="s">
        <v>276</v>
      </c>
      <c r="D2667" s="15" t="s">
        <v>357</v>
      </c>
      <c r="E2667" s="15" t="s">
        <v>90</v>
      </c>
      <c r="F2667" s="15" t="s">
        <v>35</v>
      </c>
      <c r="G2667" s="15" t="s">
        <v>74</v>
      </c>
      <c r="H2667" s="15" t="s">
        <v>548</v>
      </c>
      <c r="I2667" s="15" t="s">
        <v>549</v>
      </c>
      <c r="J2667" s="15" t="s">
        <v>550</v>
      </c>
      <c r="K2667" s="15" t="s">
        <v>166</v>
      </c>
      <c r="L2667" s="15" t="s">
        <v>167</v>
      </c>
      <c r="M2667" s="15" t="s">
        <v>263</v>
      </c>
      <c r="N2667" s="15" t="s">
        <v>264</v>
      </c>
      <c r="O2667" s="15" t="s">
        <v>98</v>
      </c>
      <c r="P2667" s="15" t="s">
        <v>280</v>
      </c>
      <c r="Q2667" s="15" t="s">
        <v>281</v>
      </c>
      <c r="R2667" s="16">
        <v>44329</v>
      </c>
      <c r="S2667" s="17" t="s">
        <v>70</v>
      </c>
      <c r="T2667" s="20">
        <f>HYPERLINK("https://vnm.spiral.com.vn//uploaded/20210513/13075912-cc7b-4e71-a758-187d1c81c821.JPEG","06:57:56")</f>
      </c>
      <c r="U2667" s="20">
        <f>HYPERLINK("https://vnm.spiral.com.vn//uploaded/20210513/204848b3-0024-446d-8b52-62080e36755c.JPEG","08:58:05")</f>
      </c>
      <c r="V2667" s="18">
        <v>0.0834375</v>
      </c>
      <c r="W2667" s="15" t="s">
        <v>13594</v>
      </c>
      <c r="X2667" s="15" t="s">
        <v>13595</v>
      </c>
      <c r="Y2667" s="15" t="s">
        <v>35</v>
      </c>
      <c r="Z2667" s="19">
        <v>0</v>
      </c>
      <c r="AA2667" s="15">
        <v>0</v>
      </c>
      <c r="AB2667" s="15" t="s">
        <v>35</v>
      </c>
    </row>
    <row r="2668">
      <c r="A2668" s="15">
        <v>2664</v>
      </c>
      <c r="B2668" s="15" t="s">
        <v>61</v>
      </c>
      <c r="C2668" s="15" t="s">
        <v>320</v>
      </c>
      <c r="D2668" s="15" t="s">
        <v>35</v>
      </c>
      <c r="E2668" s="15" t="s">
        <v>35</v>
      </c>
      <c r="F2668" s="15" t="s">
        <v>35</v>
      </c>
      <c r="G2668" s="15" t="s">
        <v>36</v>
      </c>
      <c r="H2668" s="15" t="s">
        <v>13596</v>
      </c>
      <c r="I2668" s="15" t="s">
        <v>13597</v>
      </c>
      <c r="J2668" s="15" t="s">
        <v>13598</v>
      </c>
      <c r="K2668" s="15" t="s">
        <v>40</v>
      </c>
      <c r="L2668" s="15" t="s">
        <v>41</v>
      </c>
      <c r="M2668" s="15" t="s">
        <v>205</v>
      </c>
      <c r="N2668" s="15" t="s">
        <v>206</v>
      </c>
      <c r="O2668" s="15" t="s">
        <v>44</v>
      </c>
      <c r="P2668" s="15" t="s">
        <v>13599</v>
      </c>
      <c r="Q2668" s="15" t="s">
        <v>13600</v>
      </c>
      <c r="R2668" s="16">
        <v>44329</v>
      </c>
      <c r="S2668" s="17" t="s">
        <v>718</v>
      </c>
      <c r="T2668" s="20">
        <f>HYPERLINK("https://vnm.spiral.com.vn//uploaded/20210513/cdb97b26-bcb8-4926-baf5-56f8b033a6d5.JPEG","08:57:39")</f>
      </c>
      <c r="U2668" s="18"/>
      <c r="V2668" s="18" t="s">
        <v>35</v>
      </c>
      <c r="W2668" s="15" t="s">
        <v>13601</v>
      </c>
      <c r="X2668" s="15" t="s">
        <v>35</v>
      </c>
      <c r="Y2668" s="15" t="s">
        <v>35</v>
      </c>
      <c r="Z2668" s="19">
        <v>0</v>
      </c>
      <c r="AA2668" s="15">
        <v>0</v>
      </c>
      <c r="AB2668" s="15" t="s">
        <v>35</v>
      </c>
    </row>
    <row r="2669">
      <c r="A2669" s="15">
        <v>2665</v>
      </c>
      <c r="B2669" s="15" t="s">
        <v>87</v>
      </c>
      <c r="C2669" s="15" t="s">
        <v>88</v>
      </c>
      <c r="D2669" s="15" t="s">
        <v>115</v>
      </c>
      <c r="E2669" s="15" t="s">
        <v>116</v>
      </c>
      <c r="F2669" s="15" t="s">
        <v>35</v>
      </c>
      <c r="G2669" s="15" t="s">
        <v>74</v>
      </c>
      <c r="H2669" s="15" t="s">
        <v>13602</v>
      </c>
      <c r="I2669" s="15" t="s">
        <v>13603</v>
      </c>
      <c r="J2669" s="15" t="s">
        <v>13604</v>
      </c>
      <c r="K2669" s="15" t="s">
        <v>120</v>
      </c>
      <c r="L2669" s="15" t="s">
        <v>121</v>
      </c>
      <c r="M2669" s="15" t="s">
        <v>1073</v>
      </c>
      <c r="N2669" s="15" t="s">
        <v>1074</v>
      </c>
      <c r="O2669" s="15" t="s">
        <v>82</v>
      </c>
      <c r="P2669" s="15" t="s">
        <v>4638</v>
      </c>
      <c r="Q2669" s="15" t="s">
        <v>4639</v>
      </c>
      <c r="R2669" s="16">
        <v>44329</v>
      </c>
      <c r="S2669" s="17" t="s">
        <v>70</v>
      </c>
      <c r="T2669" s="20">
        <f>HYPERLINK("https://vnm.spiral.com.vn//uploaded/20210513/3bc452de-34e7-428e-be05-b1090e0f81e1.jpg","08:02:26")</f>
      </c>
      <c r="U2669" s="20">
        <f>HYPERLINK("https://vnm.spiral.com.vn//uploaded/20210513/bd06b1f0-6cda-406d-abe0-58ffbe284f7c.jpg","08:57:22")</f>
      </c>
      <c r="V2669" s="18">
        <v>0.038148148148148146</v>
      </c>
      <c r="W2669" s="15" t="s">
        <v>13605</v>
      </c>
      <c r="X2669" s="15" t="s">
        <v>13606</v>
      </c>
      <c r="Y2669" s="15" t="s">
        <v>35</v>
      </c>
      <c r="Z2669" s="19">
        <v>0</v>
      </c>
      <c r="AA2669" s="15">
        <v>0</v>
      </c>
      <c r="AB2669" s="15" t="s">
        <v>35</v>
      </c>
    </row>
    <row r="2670">
      <c r="A2670" s="15">
        <v>2666</v>
      </c>
      <c r="B2670" s="15" t="s">
        <v>87</v>
      </c>
      <c r="C2670" s="15" t="s">
        <v>88</v>
      </c>
      <c r="D2670" s="15" t="s">
        <v>35</v>
      </c>
      <c r="E2670" s="15" t="s">
        <v>35</v>
      </c>
      <c r="F2670" s="15" t="s">
        <v>35</v>
      </c>
      <c r="G2670" s="15" t="s">
        <v>74</v>
      </c>
      <c r="H2670" s="15" t="s">
        <v>13607</v>
      </c>
      <c r="I2670" s="15" t="s">
        <v>13608</v>
      </c>
      <c r="J2670" s="15" t="s">
        <v>13609</v>
      </c>
      <c r="K2670" s="15" t="s">
        <v>888</v>
      </c>
      <c r="L2670" s="15" t="s">
        <v>889</v>
      </c>
      <c r="M2670" s="15" t="s">
        <v>1666</v>
      </c>
      <c r="N2670" s="15" t="s">
        <v>1667</v>
      </c>
      <c r="O2670" s="15" t="s">
        <v>82</v>
      </c>
      <c r="P2670" s="15" t="s">
        <v>1668</v>
      </c>
      <c r="Q2670" s="15" t="s">
        <v>1669</v>
      </c>
      <c r="R2670" s="16">
        <v>44329</v>
      </c>
      <c r="S2670" s="17" t="s">
        <v>70</v>
      </c>
      <c r="T2670" s="20">
        <f>HYPERLINK("https://vnm.spiral.com.vn//uploaded/20210513/E74AFB47-D4A4-460F-B4C3-6AD131129E8E.jpg","08:26:26")</f>
      </c>
      <c r="U2670" s="20">
        <f>HYPERLINK("https://vnm.spiral.com.vn//uploaded/20210513/D548B176-8532-470C-BD3E-37E27C44C808.jpg","08:57:12")</f>
      </c>
      <c r="V2670" s="18">
        <v>0.02136574074074074</v>
      </c>
      <c r="W2670" s="15" t="s">
        <v>13610</v>
      </c>
      <c r="X2670" s="15" t="s">
        <v>13611</v>
      </c>
      <c r="Y2670" s="15" t="s">
        <v>35</v>
      </c>
      <c r="Z2670" s="19">
        <v>0</v>
      </c>
      <c r="AA2670" s="15">
        <v>0</v>
      </c>
      <c r="AB2670" s="15" t="s">
        <v>35</v>
      </c>
    </row>
    <row r="2671">
      <c r="A2671" s="15">
        <v>2667</v>
      </c>
      <c r="B2671" s="15" t="s">
        <v>103</v>
      </c>
      <c r="C2671" s="15" t="s">
        <v>186</v>
      </c>
      <c r="D2671" s="15" t="s">
        <v>432</v>
      </c>
      <c r="E2671" s="15" t="s">
        <v>116</v>
      </c>
      <c r="F2671" s="15" t="s">
        <v>35</v>
      </c>
      <c r="G2671" s="15" t="s">
        <v>74</v>
      </c>
      <c r="H2671" s="15" t="s">
        <v>13612</v>
      </c>
      <c r="I2671" s="15" t="s">
        <v>13613</v>
      </c>
      <c r="J2671" s="15" t="s">
        <v>13614</v>
      </c>
      <c r="K2671" s="15" t="s">
        <v>436</v>
      </c>
      <c r="L2671" s="15" t="s">
        <v>437</v>
      </c>
      <c r="M2671" s="15" t="s">
        <v>438</v>
      </c>
      <c r="N2671" s="15" t="s">
        <v>439</v>
      </c>
      <c r="O2671" s="15" t="s">
        <v>82</v>
      </c>
      <c r="P2671" s="15" t="s">
        <v>1886</v>
      </c>
      <c r="Q2671" s="15" t="s">
        <v>1887</v>
      </c>
      <c r="R2671" s="16">
        <v>44329</v>
      </c>
      <c r="S2671" s="17" t="s">
        <v>70</v>
      </c>
      <c r="T2671" s="20">
        <f>HYPERLINK("https://vnm.spiral.com.vn//uploaded/20210513/da2f93e8-762f-40bc-9562-c0c9f1373525.JPEG","07:51:07")</f>
      </c>
      <c r="U2671" s="20">
        <f>HYPERLINK("https://vnm.spiral.com.vn//uploaded/20210513/86762cb1-f3c4-43b7-a9b7-b6eefabc4815.JPEG","08:56:03")</f>
      </c>
      <c r="V2671" s="18">
        <v>0.045092592592592594</v>
      </c>
      <c r="W2671" s="15" t="s">
        <v>13615</v>
      </c>
      <c r="X2671" s="15" t="s">
        <v>13616</v>
      </c>
      <c r="Y2671" s="15" t="s">
        <v>35</v>
      </c>
      <c r="Z2671" s="19">
        <v>0</v>
      </c>
      <c r="AA2671" s="15">
        <v>0</v>
      </c>
      <c r="AB2671" s="15" t="s">
        <v>35</v>
      </c>
    </row>
    <row r="2672">
      <c r="A2672" s="15">
        <v>2668</v>
      </c>
      <c r="B2672" s="15" t="s">
        <v>61</v>
      </c>
      <c r="C2672" s="15" t="s">
        <v>62</v>
      </c>
      <c r="D2672" s="15" t="s">
        <v>35</v>
      </c>
      <c r="E2672" s="15" t="s">
        <v>35</v>
      </c>
      <c r="F2672" s="15" t="s">
        <v>35</v>
      </c>
      <c r="G2672" s="15" t="s">
        <v>36</v>
      </c>
      <c r="H2672" s="15" t="s">
        <v>13617</v>
      </c>
      <c r="I2672" s="15" t="s">
        <v>13618</v>
      </c>
      <c r="J2672" s="15" t="s">
        <v>13619</v>
      </c>
      <c r="K2672" s="15" t="s">
        <v>40</v>
      </c>
      <c r="L2672" s="15" t="s">
        <v>41</v>
      </c>
      <c r="M2672" s="15" t="s">
        <v>66</v>
      </c>
      <c r="N2672" s="15" t="s">
        <v>67</v>
      </c>
      <c r="O2672" s="15" t="s">
        <v>44</v>
      </c>
      <c r="P2672" s="15" t="s">
        <v>13620</v>
      </c>
      <c r="Q2672" s="15" t="s">
        <v>13621</v>
      </c>
      <c r="R2672" s="16">
        <v>44329</v>
      </c>
      <c r="S2672" s="17" t="s">
        <v>159</v>
      </c>
      <c r="T2672" s="20">
        <f>HYPERLINK("https://vnm.spiral.com.vn//uploaded/20210513/533C8F86-A927-4012-9F6D-96FB1DC4428A.jpg","08:55:47")</f>
      </c>
      <c r="U2672" s="18"/>
      <c r="V2672" s="18" t="s">
        <v>35</v>
      </c>
      <c r="W2672" s="15" t="s">
        <v>13622</v>
      </c>
      <c r="X2672" s="15" t="s">
        <v>35</v>
      </c>
      <c r="Y2672" s="15" t="s">
        <v>35</v>
      </c>
      <c r="Z2672" s="19">
        <v>0</v>
      </c>
      <c r="AA2672" s="15">
        <v>0</v>
      </c>
      <c r="AB2672" s="15" t="s">
        <v>35</v>
      </c>
    </row>
    <row r="2673">
      <c r="A2673" s="15">
        <v>2669</v>
      </c>
      <c r="B2673" s="15" t="s">
        <v>87</v>
      </c>
      <c r="C2673" s="15" t="s">
        <v>88</v>
      </c>
      <c r="D2673" s="15" t="s">
        <v>35</v>
      </c>
      <c r="E2673" s="15" t="s">
        <v>35</v>
      </c>
      <c r="F2673" s="15" t="s">
        <v>2721</v>
      </c>
      <c r="G2673" s="15" t="s">
        <v>36</v>
      </c>
      <c r="H2673" s="15" t="s">
        <v>13623</v>
      </c>
      <c r="I2673" s="15" t="s">
        <v>13624</v>
      </c>
      <c r="J2673" s="15" t="s">
        <v>13625</v>
      </c>
      <c r="K2673" s="15" t="s">
        <v>40</v>
      </c>
      <c r="L2673" s="15" t="s">
        <v>41</v>
      </c>
      <c r="M2673" s="15" t="s">
        <v>1195</v>
      </c>
      <c r="N2673" s="15" t="s">
        <v>1196</v>
      </c>
      <c r="O2673" s="15" t="s">
        <v>44</v>
      </c>
      <c r="P2673" s="15" t="s">
        <v>13626</v>
      </c>
      <c r="Q2673" s="15" t="s">
        <v>13627</v>
      </c>
      <c r="R2673" s="16">
        <v>44329</v>
      </c>
      <c r="S2673" s="17" t="s">
        <v>13344</v>
      </c>
      <c r="T2673" s="20">
        <f>HYPERLINK("https://vnm.spiral.com.vn//uploaded/20210513/e7599836-2c20-4f98-acca-6e7441339407.JPEG","08:54:44")</f>
      </c>
      <c r="U2673" s="18"/>
      <c r="V2673" s="18" t="s">
        <v>35</v>
      </c>
      <c r="W2673" s="15" t="s">
        <v>13628</v>
      </c>
      <c r="X2673" s="15" t="s">
        <v>35</v>
      </c>
      <c r="Y2673" s="15" t="s">
        <v>35</v>
      </c>
      <c r="Z2673" s="19">
        <v>0</v>
      </c>
      <c r="AA2673" s="15">
        <v>0</v>
      </c>
      <c r="AB2673" s="15" t="s">
        <v>35</v>
      </c>
    </row>
    <row r="2674">
      <c r="A2674" s="15">
        <v>2670</v>
      </c>
      <c r="B2674" s="15" t="s">
        <v>87</v>
      </c>
      <c r="C2674" s="15" t="s">
        <v>88</v>
      </c>
      <c r="D2674" s="15" t="s">
        <v>357</v>
      </c>
      <c r="E2674" s="15" t="s">
        <v>90</v>
      </c>
      <c r="F2674" s="15" t="s">
        <v>35</v>
      </c>
      <c r="G2674" s="15" t="s">
        <v>74</v>
      </c>
      <c r="H2674" s="15" t="s">
        <v>13629</v>
      </c>
      <c r="I2674" s="15" t="s">
        <v>13630</v>
      </c>
      <c r="J2674" s="15" t="s">
        <v>13631</v>
      </c>
      <c r="K2674" s="15" t="s">
        <v>1570</v>
      </c>
      <c r="L2674" s="15" t="s">
        <v>1571</v>
      </c>
      <c r="M2674" s="15" t="s">
        <v>2024</v>
      </c>
      <c r="N2674" s="15" t="s">
        <v>2025</v>
      </c>
      <c r="O2674" s="15" t="s">
        <v>82</v>
      </c>
      <c r="P2674" s="15" t="s">
        <v>2521</v>
      </c>
      <c r="Q2674" s="15" t="s">
        <v>2522</v>
      </c>
      <c r="R2674" s="16">
        <v>44329</v>
      </c>
      <c r="S2674" s="17" t="s">
        <v>70</v>
      </c>
      <c r="T2674" s="20">
        <f>HYPERLINK("https://vnm.spiral.com.vn//uploaded/20210513/653895ae-9e49-43b9-86ce-2ea4825a9636.JPEG","08:22:06")</f>
      </c>
      <c r="U2674" s="20">
        <f>HYPERLINK("https://vnm.spiral.com.vn//uploaded/20210513/646d7413-6129-4739-9ec3-345467e77d59.JPEG","08:54:19")</f>
      </c>
      <c r="V2674" s="18">
        <v>0.022372685185185186</v>
      </c>
      <c r="W2674" s="15" t="s">
        <v>13632</v>
      </c>
      <c r="X2674" s="15" t="s">
        <v>13633</v>
      </c>
      <c r="Y2674" s="15" t="s">
        <v>35</v>
      </c>
      <c r="Z2674" s="19">
        <v>0</v>
      </c>
      <c r="AA2674" s="15">
        <v>0</v>
      </c>
      <c r="AB2674" s="15" t="s">
        <v>35</v>
      </c>
    </row>
    <row r="2675">
      <c r="A2675" s="15">
        <v>2671</v>
      </c>
      <c r="B2675" s="15" t="s">
        <v>61</v>
      </c>
      <c r="C2675" s="15" t="s">
        <v>398</v>
      </c>
      <c r="D2675" s="15" t="s">
        <v>135</v>
      </c>
      <c r="E2675" s="15" t="s">
        <v>116</v>
      </c>
      <c r="F2675" s="15" t="s">
        <v>35</v>
      </c>
      <c r="G2675" s="15" t="s">
        <v>74</v>
      </c>
      <c r="H2675" s="15" t="s">
        <v>13634</v>
      </c>
      <c r="I2675" s="15" t="s">
        <v>13635</v>
      </c>
      <c r="J2675" s="15" t="s">
        <v>13636</v>
      </c>
      <c r="K2675" s="15" t="s">
        <v>1586</v>
      </c>
      <c r="L2675" s="15" t="s">
        <v>1587</v>
      </c>
      <c r="M2675" s="15" t="s">
        <v>1588</v>
      </c>
      <c r="N2675" s="15" t="s">
        <v>1589</v>
      </c>
      <c r="O2675" s="15" t="s">
        <v>82</v>
      </c>
      <c r="P2675" s="15" t="s">
        <v>9249</v>
      </c>
      <c r="Q2675" s="15" t="s">
        <v>9250</v>
      </c>
      <c r="R2675" s="16">
        <v>44329</v>
      </c>
      <c r="S2675" s="17" t="s">
        <v>70</v>
      </c>
      <c r="T2675" s="20">
        <f>HYPERLINK("https://vnm.spiral.com.vn//uploaded/20210513/d236322f-7b5c-4b33-b08c-1858a398722a.JPEG","07:57:39")</f>
      </c>
      <c r="U2675" s="20">
        <f>HYPERLINK("https://vnm.spiral.com.vn//uploaded/20210513/3fc6d1a0-04d1-43b0-a40e-94a8ba6d0a28.JPEG","08:54:11")</f>
      </c>
      <c r="V2675" s="18">
        <v>0.03925925925925926</v>
      </c>
      <c r="W2675" s="15" t="s">
        <v>13637</v>
      </c>
      <c r="X2675" s="15" t="s">
        <v>13638</v>
      </c>
      <c r="Y2675" s="15" t="s">
        <v>35</v>
      </c>
      <c r="Z2675" s="19">
        <v>0</v>
      </c>
      <c r="AA2675" s="15">
        <v>0</v>
      </c>
      <c r="AB2675" s="15" t="s">
        <v>35</v>
      </c>
    </row>
    <row r="2676">
      <c r="A2676" s="15">
        <v>2672</v>
      </c>
      <c r="B2676" s="15" t="s">
        <v>87</v>
      </c>
      <c r="C2676" s="15" t="s">
        <v>88</v>
      </c>
      <c r="D2676" s="15" t="s">
        <v>135</v>
      </c>
      <c r="E2676" s="15" t="s">
        <v>116</v>
      </c>
      <c r="F2676" s="15" t="s">
        <v>35</v>
      </c>
      <c r="G2676" s="15" t="s">
        <v>74</v>
      </c>
      <c r="H2676" s="15" t="s">
        <v>13639</v>
      </c>
      <c r="I2676" s="15" t="s">
        <v>13640</v>
      </c>
      <c r="J2676" s="15" t="s">
        <v>13641</v>
      </c>
      <c r="K2676" s="15" t="s">
        <v>390</v>
      </c>
      <c r="L2676" s="15" t="s">
        <v>391</v>
      </c>
      <c r="M2676" s="15" t="s">
        <v>392</v>
      </c>
      <c r="N2676" s="15" t="s">
        <v>393</v>
      </c>
      <c r="O2676" s="15" t="s">
        <v>82</v>
      </c>
      <c r="P2676" s="15" t="s">
        <v>1415</v>
      </c>
      <c r="Q2676" s="15" t="s">
        <v>1416</v>
      </c>
      <c r="R2676" s="16">
        <v>44329</v>
      </c>
      <c r="S2676" s="17" t="s">
        <v>70</v>
      </c>
      <c r="T2676" s="20">
        <f>HYPERLINK("https://vnm.spiral.com.vn//uploaded/20210513/9addb43b-24a7-46a0-bd8c-f9b81566eb22.jpg","07:54:52")</f>
      </c>
      <c r="U2676" s="20">
        <f>HYPERLINK("https://vnm.spiral.com.vn//uploaded/20210513/f06bce6b-e5b0-465c-ace2-6f857178fba3.jpg","08:53:50")</f>
      </c>
      <c r="V2676" s="18">
        <v>0.040949074074074075</v>
      </c>
      <c r="W2676" s="15" t="s">
        <v>13642</v>
      </c>
      <c r="X2676" s="15" t="s">
        <v>13643</v>
      </c>
      <c r="Y2676" s="15" t="s">
        <v>35</v>
      </c>
      <c r="Z2676" s="19">
        <v>0</v>
      </c>
      <c r="AA2676" s="15">
        <v>0</v>
      </c>
      <c r="AB2676" s="15" t="s">
        <v>35</v>
      </c>
    </row>
    <row r="2677">
      <c r="A2677" s="15">
        <v>2673</v>
      </c>
      <c r="B2677" s="15" t="s">
        <v>343</v>
      </c>
      <c r="C2677" s="15" t="s">
        <v>344</v>
      </c>
      <c r="D2677" s="15" t="s">
        <v>35</v>
      </c>
      <c r="E2677" s="15" t="s">
        <v>35</v>
      </c>
      <c r="F2677" s="15" t="s">
        <v>35</v>
      </c>
      <c r="G2677" s="15" t="s">
        <v>74</v>
      </c>
      <c r="H2677" s="15" t="s">
        <v>13644</v>
      </c>
      <c r="I2677" s="15" t="s">
        <v>13645</v>
      </c>
      <c r="J2677" s="15" t="s">
        <v>1518</v>
      </c>
      <c r="K2677" s="15" t="s">
        <v>584</v>
      </c>
      <c r="L2677" s="15" t="s">
        <v>585</v>
      </c>
      <c r="M2677" s="15" t="s">
        <v>827</v>
      </c>
      <c r="N2677" s="15" t="s">
        <v>828</v>
      </c>
      <c r="O2677" s="15" t="s">
        <v>82</v>
      </c>
      <c r="P2677" s="15" t="s">
        <v>2484</v>
      </c>
      <c r="Q2677" s="15" t="s">
        <v>2485</v>
      </c>
      <c r="R2677" s="16">
        <v>44329</v>
      </c>
      <c r="S2677" s="17" t="s">
        <v>70</v>
      </c>
      <c r="T2677" s="20">
        <f>HYPERLINK("https://vnm.spiral.com.vn//uploaded/20210513/3C235F9A-F3F3-4B55-B009-2DAEA2E763BC.jpg","08:38:22")</f>
      </c>
      <c r="U2677" s="20">
        <f>HYPERLINK("https://vnm.spiral.com.vn//uploaded/20210513/23F3CD40-8FB9-49B4-9299-8D3EE15C2253.jpg","08:53:39")</f>
      </c>
      <c r="V2677" s="18">
        <v>0.010613425925925925</v>
      </c>
      <c r="W2677" s="15" t="s">
        <v>13646</v>
      </c>
      <c r="X2677" s="15" t="s">
        <v>13647</v>
      </c>
      <c r="Y2677" s="15" t="s">
        <v>35</v>
      </c>
      <c r="Z2677" s="19">
        <v>0</v>
      </c>
      <c r="AA2677" s="15">
        <v>0</v>
      </c>
      <c r="AB2677" s="15" t="s">
        <v>35</v>
      </c>
    </row>
    <row r="2678">
      <c r="A2678" s="15">
        <v>2674</v>
      </c>
      <c r="B2678" s="15" t="s">
        <v>61</v>
      </c>
      <c r="C2678" s="15" t="s">
        <v>1106</v>
      </c>
      <c r="D2678" s="15" t="s">
        <v>357</v>
      </c>
      <c r="E2678" s="15" t="s">
        <v>90</v>
      </c>
      <c r="F2678" s="15" t="s">
        <v>35</v>
      </c>
      <c r="G2678" s="15" t="s">
        <v>74</v>
      </c>
      <c r="H2678" s="15" t="s">
        <v>2455</v>
      </c>
      <c r="I2678" s="15" t="s">
        <v>2456</v>
      </c>
      <c r="J2678" s="15" t="s">
        <v>2457</v>
      </c>
      <c r="K2678" s="15" t="s">
        <v>154</v>
      </c>
      <c r="L2678" s="15" t="s">
        <v>155</v>
      </c>
      <c r="M2678" s="15" t="s">
        <v>2458</v>
      </c>
      <c r="N2678" s="15" t="s">
        <v>2459</v>
      </c>
      <c r="O2678" s="15" t="s">
        <v>156</v>
      </c>
      <c r="P2678" s="15" t="s">
        <v>13648</v>
      </c>
      <c r="Q2678" s="15" t="s">
        <v>3498</v>
      </c>
      <c r="R2678" s="16">
        <v>44329</v>
      </c>
      <c r="S2678" s="17" t="s">
        <v>13344</v>
      </c>
      <c r="T2678" s="20">
        <f>HYPERLINK("https://vnm.spiral.com.vn//uploaded/20210513/BAECD66E-00DF-4335-AAC4-8970594708BF.jpg","08:53:19")</f>
      </c>
      <c r="U2678" s="18"/>
      <c r="V2678" s="18" t="s">
        <v>35</v>
      </c>
      <c r="W2678" s="15" t="s">
        <v>13649</v>
      </c>
      <c r="X2678" s="15" t="s">
        <v>35</v>
      </c>
      <c r="Y2678" s="15" t="s">
        <v>35</v>
      </c>
      <c r="Z2678" s="19">
        <v>0</v>
      </c>
      <c r="AA2678" s="15">
        <v>0</v>
      </c>
      <c r="AB2678" s="15" t="s">
        <v>35</v>
      </c>
    </row>
    <row r="2679">
      <c r="A2679" s="15">
        <v>2675</v>
      </c>
      <c r="B2679" s="15" t="s">
        <v>33</v>
      </c>
      <c r="C2679" s="15" t="s">
        <v>765</v>
      </c>
      <c r="D2679" s="15" t="s">
        <v>35</v>
      </c>
      <c r="E2679" s="15" t="s">
        <v>35</v>
      </c>
      <c r="F2679" s="15" t="s">
        <v>35</v>
      </c>
      <c r="G2679" s="15" t="s">
        <v>74</v>
      </c>
      <c r="H2679" s="15" t="s">
        <v>13650</v>
      </c>
      <c r="I2679" s="15" t="s">
        <v>13651</v>
      </c>
      <c r="J2679" s="15" t="s">
        <v>13652</v>
      </c>
      <c r="K2679" s="15" t="s">
        <v>540</v>
      </c>
      <c r="L2679" s="15" t="s">
        <v>541</v>
      </c>
      <c r="M2679" s="15" t="s">
        <v>769</v>
      </c>
      <c r="N2679" s="15" t="s">
        <v>770</v>
      </c>
      <c r="O2679" s="15" t="s">
        <v>98</v>
      </c>
      <c r="P2679" s="15" t="s">
        <v>1532</v>
      </c>
      <c r="Q2679" s="15" t="s">
        <v>1533</v>
      </c>
      <c r="R2679" s="16">
        <v>44329</v>
      </c>
      <c r="S2679" s="17" t="s">
        <v>35</v>
      </c>
      <c r="T2679" s="20">
        <f>HYPERLINK("https://vnm.spiral.com.vn//uploaded/20210513/50E8F2F2-8562-4102-A100-841E54AA44AF.jpg","08:26:03")</f>
      </c>
      <c r="U2679" s="20">
        <f>HYPERLINK("https://vnm.spiral.com.vn//uploaded/20210513/6FC7E30D-3BC6-4833-B633-78E96AC0F76E.jpg","08:52:31")</f>
      </c>
      <c r="V2679" s="18">
        <v>0.01837962962962963</v>
      </c>
      <c r="W2679" s="15" t="s">
        <v>13653</v>
      </c>
      <c r="X2679" s="15" t="s">
        <v>13654</v>
      </c>
      <c r="Y2679" s="15" t="s">
        <v>35</v>
      </c>
      <c r="Z2679" s="19">
        <v>0</v>
      </c>
      <c r="AA2679" s="15">
        <v>0</v>
      </c>
      <c r="AB2679" s="15" t="s">
        <v>35</v>
      </c>
    </row>
    <row r="2680">
      <c r="A2680" s="15">
        <v>2676</v>
      </c>
      <c r="B2680" s="15" t="s">
        <v>343</v>
      </c>
      <c r="C2680" s="15" t="s">
        <v>344</v>
      </c>
      <c r="D2680" s="15" t="s">
        <v>432</v>
      </c>
      <c r="E2680" s="15" t="s">
        <v>116</v>
      </c>
      <c r="F2680" s="15" t="s">
        <v>35</v>
      </c>
      <c r="G2680" s="15" t="s">
        <v>74</v>
      </c>
      <c r="H2680" s="15" t="s">
        <v>13655</v>
      </c>
      <c r="I2680" s="15" t="s">
        <v>13656</v>
      </c>
      <c r="J2680" s="15" t="s">
        <v>13657</v>
      </c>
      <c r="K2680" s="15" t="s">
        <v>512</v>
      </c>
      <c r="L2680" s="15" t="s">
        <v>513</v>
      </c>
      <c r="M2680" s="15" t="s">
        <v>514</v>
      </c>
      <c r="N2680" s="15" t="s">
        <v>515</v>
      </c>
      <c r="O2680" s="15" t="s">
        <v>82</v>
      </c>
      <c r="P2680" s="15" t="s">
        <v>1047</v>
      </c>
      <c r="Q2680" s="15" t="s">
        <v>1048</v>
      </c>
      <c r="R2680" s="16">
        <v>44329</v>
      </c>
      <c r="S2680" s="17" t="s">
        <v>70</v>
      </c>
      <c r="T2680" s="20">
        <f>HYPERLINK("https://vnm.spiral.com.vn//uploaded/20210513/2dccf486-e65f-467f-b04e-2c6222578d43.JPEG","07:53:16")</f>
      </c>
      <c r="U2680" s="20">
        <f>HYPERLINK("https://vnm.spiral.com.vn//uploaded/20210513/e7835ff9-09bc-499b-90f4-21f1a02773b8.JPEG","08:52:09")</f>
      </c>
      <c r="V2680" s="18">
        <v>0.0408912037037037</v>
      </c>
      <c r="W2680" s="15" t="s">
        <v>13658</v>
      </c>
      <c r="X2680" s="15" t="s">
        <v>13659</v>
      </c>
      <c r="Y2680" s="15" t="s">
        <v>35</v>
      </c>
      <c r="Z2680" s="19">
        <v>0</v>
      </c>
      <c r="AA2680" s="15">
        <v>0</v>
      </c>
      <c r="AB2680" s="15" t="s">
        <v>35</v>
      </c>
    </row>
    <row r="2681">
      <c r="A2681" s="15">
        <v>2677</v>
      </c>
      <c r="B2681" s="15" t="s">
        <v>61</v>
      </c>
      <c r="C2681" s="15" t="s">
        <v>712</v>
      </c>
      <c r="D2681" s="15" t="s">
        <v>35</v>
      </c>
      <c r="E2681" s="15" t="s">
        <v>35</v>
      </c>
      <c r="F2681" s="15" t="s">
        <v>35</v>
      </c>
      <c r="G2681" s="15" t="s">
        <v>36</v>
      </c>
      <c r="H2681" s="15" t="s">
        <v>13660</v>
      </c>
      <c r="I2681" s="15" t="s">
        <v>13661</v>
      </c>
      <c r="J2681" s="15" t="s">
        <v>13662</v>
      </c>
      <c r="K2681" s="15" t="s">
        <v>40</v>
      </c>
      <c r="L2681" s="15" t="s">
        <v>41</v>
      </c>
      <c r="M2681" s="15" t="s">
        <v>205</v>
      </c>
      <c r="N2681" s="15" t="s">
        <v>206</v>
      </c>
      <c r="O2681" s="15" t="s">
        <v>44</v>
      </c>
      <c r="P2681" s="15" t="s">
        <v>13663</v>
      </c>
      <c r="Q2681" s="15" t="s">
        <v>13664</v>
      </c>
      <c r="R2681" s="16">
        <v>44329</v>
      </c>
      <c r="S2681" s="17" t="s">
        <v>13665</v>
      </c>
      <c r="T2681" s="20">
        <f>HYPERLINK("https://vnm.spiral.com.vn//uploaded/20210513/8037114c-5ef6-459d-8b6f-148a8b2669cb.JPEG","08:52:06")</f>
      </c>
      <c r="U2681" s="18"/>
      <c r="V2681" s="18" t="s">
        <v>35</v>
      </c>
      <c r="W2681" s="15" t="s">
        <v>13666</v>
      </c>
      <c r="X2681" s="15" t="s">
        <v>35</v>
      </c>
      <c r="Y2681" s="15" t="s">
        <v>35</v>
      </c>
      <c r="Z2681" s="19">
        <v>0</v>
      </c>
      <c r="AA2681" s="15">
        <v>0</v>
      </c>
      <c r="AB2681" s="15" t="s">
        <v>35</v>
      </c>
    </row>
    <row r="2682">
      <c r="A2682" s="15">
        <v>2678</v>
      </c>
      <c r="B2682" s="15" t="s">
        <v>87</v>
      </c>
      <c r="C2682" s="15" t="s">
        <v>88</v>
      </c>
      <c r="D2682" s="15" t="s">
        <v>135</v>
      </c>
      <c r="E2682" s="15" t="s">
        <v>116</v>
      </c>
      <c r="F2682" s="15" t="s">
        <v>35</v>
      </c>
      <c r="G2682" s="15" t="s">
        <v>74</v>
      </c>
      <c r="H2682" s="15" t="s">
        <v>13667</v>
      </c>
      <c r="I2682" s="15" t="s">
        <v>13668</v>
      </c>
      <c r="J2682" s="15" t="s">
        <v>13669</v>
      </c>
      <c r="K2682" s="15" t="s">
        <v>390</v>
      </c>
      <c r="L2682" s="15" t="s">
        <v>391</v>
      </c>
      <c r="M2682" s="15" t="s">
        <v>392</v>
      </c>
      <c r="N2682" s="15" t="s">
        <v>393</v>
      </c>
      <c r="O2682" s="15" t="s">
        <v>82</v>
      </c>
      <c r="P2682" s="15" t="s">
        <v>5125</v>
      </c>
      <c r="Q2682" s="15" t="s">
        <v>5126</v>
      </c>
      <c r="R2682" s="16">
        <v>44329</v>
      </c>
      <c r="S2682" s="17" t="s">
        <v>70</v>
      </c>
      <c r="T2682" s="20">
        <f>HYPERLINK("https://vnm.spiral.com.vn//uploaded/20210513/d2e84e5d-0e24-4345-8c69-357b00ce10ef.JPEG","07:57:24")</f>
      </c>
      <c r="U2682" s="20">
        <f>HYPERLINK("https://vnm.spiral.com.vn//uploaded/20210513/99777f55-d328-4ccd-bc8d-841ccc21ffb7.JPEG","08:51:45")</f>
      </c>
      <c r="V2682" s="18">
        <v>0.03774305555555556</v>
      </c>
      <c r="W2682" s="15" t="s">
        <v>13670</v>
      </c>
      <c r="X2682" s="15" t="s">
        <v>13671</v>
      </c>
      <c r="Y2682" s="15" t="s">
        <v>35</v>
      </c>
      <c r="Z2682" s="19">
        <v>0</v>
      </c>
      <c r="AA2682" s="15">
        <v>0</v>
      </c>
      <c r="AB2682" s="15" t="s">
        <v>35</v>
      </c>
    </row>
    <row r="2683">
      <c r="A2683" s="15">
        <v>2679</v>
      </c>
      <c r="B2683" s="15" t="s">
        <v>61</v>
      </c>
      <c r="C2683" s="15" t="s">
        <v>712</v>
      </c>
      <c r="D2683" s="15" t="s">
        <v>35</v>
      </c>
      <c r="E2683" s="15" t="s">
        <v>35</v>
      </c>
      <c r="F2683" s="15" t="s">
        <v>35</v>
      </c>
      <c r="G2683" s="15" t="s">
        <v>36</v>
      </c>
      <c r="H2683" s="15" t="s">
        <v>13672</v>
      </c>
      <c r="I2683" s="15" t="s">
        <v>13673</v>
      </c>
      <c r="J2683" s="15" t="s">
        <v>13674</v>
      </c>
      <c r="K2683" s="15" t="s">
        <v>40</v>
      </c>
      <c r="L2683" s="15" t="s">
        <v>41</v>
      </c>
      <c r="M2683" s="15" t="s">
        <v>205</v>
      </c>
      <c r="N2683" s="15" t="s">
        <v>206</v>
      </c>
      <c r="O2683" s="15" t="s">
        <v>44</v>
      </c>
      <c r="P2683" s="15" t="s">
        <v>13675</v>
      </c>
      <c r="Q2683" s="15" t="s">
        <v>13676</v>
      </c>
      <c r="R2683" s="16">
        <v>44329</v>
      </c>
      <c r="S2683" s="17" t="s">
        <v>718</v>
      </c>
      <c r="T2683" s="20">
        <f>HYPERLINK("https://vnm.spiral.com.vn//uploaded/20210513/780c37c9-3ea8-4315-a014-5fa917947002.JPEG","08:51:25")</f>
      </c>
      <c r="U2683" s="18"/>
      <c r="V2683" s="18" t="s">
        <v>35</v>
      </c>
      <c r="W2683" s="15" t="s">
        <v>13677</v>
      </c>
      <c r="X2683" s="15" t="s">
        <v>35</v>
      </c>
      <c r="Y2683" s="15" t="s">
        <v>35</v>
      </c>
      <c r="Z2683" s="19">
        <v>0</v>
      </c>
      <c r="AA2683" s="15">
        <v>0</v>
      </c>
      <c r="AB2683" s="15" t="s">
        <v>35</v>
      </c>
    </row>
    <row r="2684">
      <c r="A2684" s="15">
        <v>2680</v>
      </c>
      <c r="B2684" s="15" t="s">
        <v>87</v>
      </c>
      <c r="C2684" s="15" t="s">
        <v>88</v>
      </c>
      <c r="D2684" s="15" t="s">
        <v>4189</v>
      </c>
      <c r="E2684" s="15" t="s">
        <v>90</v>
      </c>
      <c r="F2684" s="15" t="s">
        <v>35</v>
      </c>
      <c r="G2684" s="15" t="s">
        <v>74</v>
      </c>
      <c r="H2684" s="15" t="s">
        <v>4190</v>
      </c>
      <c r="I2684" s="15" t="s">
        <v>4191</v>
      </c>
      <c r="J2684" s="15" t="s">
        <v>4192</v>
      </c>
      <c r="K2684" s="15" t="s">
        <v>748</v>
      </c>
      <c r="L2684" s="15" t="s">
        <v>749</v>
      </c>
      <c r="M2684" s="15" t="s">
        <v>750</v>
      </c>
      <c r="N2684" s="15" t="s">
        <v>751</v>
      </c>
      <c r="O2684" s="15" t="s">
        <v>156</v>
      </c>
      <c r="P2684" s="15" t="s">
        <v>13678</v>
      </c>
      <c r="Q2684" s="15" t="s">
        <v>13679</v>
      </c>
      <c r="R2684" s="16">
        <v>44329</v>
      </c>
      <c r="S2684" s="17" t="s">
        <v>4131</v>
      </c>
      <c r="T2684" s="20">
        <f>HYPERLINK("https://vnm.spiral.com.vn//uploaded/20210513/EEDD85AB-24E6-425B-9D8C-70ED18835480.jpg","08:32:52")</f>
      </c>
      <c r="U2684" s="20">
        <f>HYPERLINK("https://vnm.spiral.com.vn//uploaded/20210513/709A32F0-C23F-4F88-91D0-AB83DFF96CCD.jpg","08:51:18")</f>
      </c>
      <c r="V2684" s="18">
        <v>0.012800925925925926</v>
      </c>
      <c r="W2684" s="15" t="s">
        <v>13680</v>
      </c>
      <c r="X2684" s="15" t="s">
        <v>13681</v>
      </c>
      <c r="Y2684" s="15" t="s">
        <v>35</v>
      </c>
      <c r="Z2684" s="19">
        <v>0</v>
      </c>
      <c r="AA2684" s="15">
        <v>0</v>
      </c>
      <c r="AB2684" s="15" t="s">
        <v>35</v>
      </c>
    </row>
    <row r="2685">
      <c r="A2685" s="15">
        <v>2681</v>
      </c>
      <c r="B2685" s="15" t="s">
        <v>61</v>
      </c>
      <c r="C2685" s="15" t="s">
        <v>904</v>
      </c>
      <c r="D2685" s="15" t="s">
        <v>35</v>
      </c>
      <c r="E2685" s="15" t="s">
        <v>35</v>
      </c>
      <c r="F2685" s="15" t="s">
        <v>35</v>
      </c>
      <c r="G2685" s="15" t="s">
        <v>36</v>
      </c>
      <c r="H2685" s="15" t="s">
        <v>13682</v>
      </c>
      <c r="I2685" s="15" t="s">
        <v>13683</v>
      </c>
      <c r="J2685" s="15" t="s">
        <v>13684</v>
      </c>
      <c r="K2685" s="15" t="s">
        <v>40</v>
      </c>
      <c r="L2685" s="15" t="s">
        <v>41</v>
      </c>
      <c r="M2685" s="15" t="s">
        <v>66</v>
      </c>
      <c r="N2685" s="15" t="s">
        <v>67</v>
      </c>
      <c r="O2685" s="15" t="s">
        <v>44</v>
      </c>
      <c r="P2685" s="15" t="s">
        <v>13685</v>
      </c>
      <c r="Q2685" s="15" t="s">
        <v>13686</v>
      </c>
      <c r="R2685" s="16">
        <v>44329</v>
      </c>
      <c r="S2685" s="17" t="s">
        <v>718</v>
      </c>
      <c r="T2685" s="20">
        <f>HYPERLINK("https://vnm.spiral.com.vn//uploaded/20210513/1cd78643-d5f5-4bec-a930-46e9bbdcea93.JPEG","08:51:12")</f>
      </c>
      <c r="U2685" s="18"/>
      <c r="V2685" s="18" t="s">
        <v>35</v>
      </c>
      <c r="W2685" s="15" t="s">
        <v>13687</v>
      </c>
      <c r="X2685" s="15" t="s">
        <v>35</v>
      </c>
      <c r="Y2685" s="15" t="s">
        <v>35</v>
      </c>
      <c r="Z2685" s="19">
        <v>0</v>
      </c>
      <c r="AA2685" s="15">
        <v>0</v>
      </c>
      <c r="AB2685" s="15" t="s">
        <v>35</v>
      </c>
    </row>
    <row r="2686">
      <c r="A2686" s="15">
        <v>2682</v>
      </c>
      <c r="B2686" s="15" t="s">
        <v>87</v>
      </c>
      <c r="C2686" s="15" t="s">
        <v>88</v>
      </c>
      <c r="D2686" s="15" t="s">
        <v>1910</v>
      </c>
      <c r="E2686" s="15" t="s">
        <v>1910</v>
      </c>
      <c r="F2686" s="15" t="s">
        <v>35</v>
      </c>
      <c r="G2686" s="15" t="s">
        <v>74</v>
      </c>
      <c r="H2686" s="15" t="s">
        <v>13688</v>
      </c>
      <c r="I2686" s="15" t="s">
        <v>13689</v>
      </c>
      <c r="J2686" s="15" t="s">
        <v>13690</v>
      </c>
      <c r="K2686" s="15" t="s">
        <v>190</v>
      </c>
      <c r="L2686" s="15" t="s">
        <v>191</v>
      </c>
      <c r="M2686" s="15" t="s">
        <v>888</v>
      </c>
      <c r="N2686" s="15" t="s">
        <v>889</v>
      </c>
      <c r="O2686" s="15" t="s">
        <v>98</v>
      </c>
      <c r="P2686" s="15" t="s">
        <v>1666</v>
      </c>
      <c r="Q2686" s="15" t="s">
        <v>1667</v>
      </c>
      <c r="R2686" s="16">
        <v>44329</v>
      </c>
      <c r="S2686" s="17" t="s">
        <v>35</v>
      </c>
      <c r="T2686" s="20">
        <f>HYPERLINK("https://vnm.spiral.com.vn//uploaded/20210513/6eee64c2-368c-4c1a-b025-d973fc8c988f.JPEG","08:25:30")</f>
      </c>
      <c r="U2686" s="20">
        <f>HYPERLINK("https://vnm.spiral.com.vn//uploaded/20210513/9ccafce1-1c68-49fb-91ed-edac1113f429.JPEG","08:50:54")</f>
      </c>
      <c r="V2686" s="18">
        <v>0.017638888888888888</v>
      </c>
      <c r="W2686" s="15" t="s">
        <v>13691</v>
      </c>
      <c r="X2686" s="15" t="s">
        <v>13692</v>
      </c>
      <c r="Y2686" s="15" t="s">
        <v>35</v>
      </c>
      <c r="Z2686" s="19">
        <v>0</v>
      </c>
      <c r="AA2686" s="15">
        <v>0</v>
      </c>
      <c r="AB2686" s="15" t="s">
        <v>35</v>
      </c>
    </row>
    <row r="2687">
      <c r="A2687" s="15">
        <v>2683</v>
      </c>
      <c r="B2687" s="15" t="s">
        <v>61</v>
      </c>
      <c r="C2687" s="15" t="s">
        <v>398</v>
      </c>
      <c r="D2687" s="15" t="s">
        <v>35</v>
      </c>
      <c r="E2687" s="15" t="s">
        <v>35</v>
      </c>
      <c r="F2687" s="15" t="s">
        <v>35</v>
      </c>
      <c r="G2687" s="15" t="s">
        <v>36</v>
      </c>
      <c r="H2687" s="15" t="s">
        <v>13693</v>
      </c>
      <c r="I2687" s="15" t="s">
        <v>13694</v>
      </c>
      <c r="J2687" s="15" t="s">
        <v>13695</v>
      </c>
      <c r="K2687" s="15" t="s">
        <v>40</v>
      </c>
      <c r="L2687" s="15" t="s">
        <v>41</v>
      </c>
      <c r="M2687" s="15" t="s">
        <v>66</v>
      </c>
      <c r="N2687" s="15" t="s">
        <v>67</v>
      </c>
      <c r="O2687" s="15" t="s">
        <v>44</v>
      </c>
      <c r="P2687" s="15" t="s">
        <v>13696</v>
      </c>
      <c r="Q2687" s="15" t="s">
        <v>13697</v>
      </c>
      <c r="R2687" s="16">
        <v>44329</v>
      </c>
      <c r="S2687" s="17" t="s">
        <v>718</v>
      </c>
      <c r="T2687" s="20">
        <f>HYPERLINK("https://vnm.spiral.com.vn//uploaded/20210513/410CF3B0-9DAB-4513-A960-AD26397D0DD2.jpg","08:50:07")</f>
      </c>
      <c r="U2687" s="18"/>
      <c r="V2687" s="18" t="s">
        <v>35</v>
      </c>
      <c r="W2687" s="15" t="s">
        <v>13698</v>
      </c>
      <c r="X2687" s="15" t="s">
        <v>35</v>
      </c>
      <c r="Y2687" s="15" t="s">
        <v>35</v>
      </c>
      <c r="Z2687" s="19">
        <v>0</v>
      </c>
      <c r="AA2687" s="15">
        <v>0</v>
      </c>
      <c r="AB2687" s="15" t="s">
        <v>35</v>
      </c>
    </row>
    <row r="2688">
      <c r="A2688" s="15">
        <v>2684</v>
      </c>
      <c r="B2688" s="15" t="s">
        <v>87</v>
      </c>
      <c r="C2688" s="15" t="s">
        <v>88</v>
      </c>
      <c r="D2688" s="15" t="s">
        <v>610</v>
      </c>
      <c r="E2688" s="15" t="s">
        <v>90</v>
      </c>
      <c r="F2688" s="15" t="s">
        <v>35</v>
      </c>
      <c r="G2688" s="15" t="s">
        <v>74</v>
      </c>
      <c r="H2688" s="15" t="s">
        <v>13699</v>
      </c>
      <c r="I2688" s="15" t="s">
        <v>13700</v>
      </c>
      <c r="J2688" s="15" t="s">
        <v>13701</v>
      </c>
      <c r="K2688" s="15" t="s">
        <v>614</v>
      </c>
      <c r="L2688" s="15" t="s">
        <v>615</v>
      </c>
      <c r="M2688" s="15" t="s">
        <v>616</v>
      </c>
      <c r="N2688" s="15" t="s">
        <v>617</v>
      </c>
      <c r="O2688" s="15" t="s">
        <v>82</v>
      </c>
      <c r="P2688" s="15" t="s">
        <v>1846</v>
      </c>
      <c r="Q2688" s="15" t="s">
        <v>1847</v>
      </c>
      <c r="R2688" s="16">
        <v>44329</v>
      </c>
      <c r="S2688" s="17" t="s">
        <v>70</v>
      </c>
      <c r="T2688" s="20">
        <f>HYPERLINK("https://vnm.spiral.com.vn//uploaded/20210513/3d3dc5ff-eb36-403c-ae73-abaf7548c33b.JPEG","07:47:28")</f>
      </c>
      <c r="U2688" s="20">
        <f>HYPERLINK("https://vnm.spiral.com.vn//uploaded/20210513/0027fd58-e509-4d5e-a7b4-d74669b9ef2b.JPEG","08:49:55")</f>
      </c>
      <c r="V2688" s="18">
        <v>0.043368055555555556</v>
      </c>
      <c r="W2688" s="15" t="s">
        <v>13702</v>
      </c>
      <c r="X2688" s="15" t="s">
        <v>13703</v>
      </c>
      <c r="Y2688" s="15" t="s">
        <v>35</v>
      </c>
      <c r="Z2688" s="19">
        <v>0</v>
      </c>
      <c r="AA2688" s="15">
        <v>0</v>
      </c>
      <c r="AB2688" s="15" t="s">
        <v>35</v>
      </c>
    </row>
    <row r="2689">
      <c r="A2689" s="15">
        <v>2685</v>
      </c>
      <c r="B2689" s="15" t="s">
        <v>87</v>
      </c>
      <c r="C2689" s="15" t="s">
        <v>88</v>
      </c>
      <c r="D2689" s="15" t="s">
        <v>35</v>
      </c>
      <c r="E2689" s="15" t="s">
        <v>35</v>
      </c>
      <c r="F2689" s="15" t="s">
        <v>35</v>
      </c>
      <c r="G2689" s="15" t="s">
        <v>74</v>
      </c>
      <c r="H2689" s="15" t="s">
        <v>13704</v>
      </c>
      <c r="I2689" s="15" t="s">
        <v>13705</v>
      </c>
      <c r="J2689" s="15" t="s">
        <v>13706</v>
      </c>
      <c r="K2689" s="15" t="s">
        <v>888</v>
      </c>
      <c r="L2689" s="15" t="s">
        <v>889</v>
      </c>
      <c r="M2689" s="15" t="s">
        <v>1666</v>
      </c>
      <c r="N2689" s="15" t="s">
        <v>1667</v>
      </c>
      <c r="O2689" s="15" t="s">
        <v>82</v>
      </c>
      <c r="P2689" s="15" t="s">
        <v>6570</v>
      </c>
      <c r="Q2689" s="15" t="s">
        <v>6571</v>
      </c>
      <c r="R2689" s="16">
        <v>44329</v>
      </c>
      <c r="S2689" s="17" t="s">
        <v>70</v>
      </c>
      <c r="T2689" s="20">
        <f>HYPERLINK("https://vnm.spiral.com.vn//uploaded/20210513/4E852D91-2641-4B7C-97CC-8FE204632587.jpg","08:31:44")</f>
      </c>
      <c r="U2689" s="20">
        <f>HYPERLINK("https://vnm.spiral.com.vn//uploaded/20210513/AE1E926A-4988-4C5A-AC8C-8FC865DF2FF7.jpg","08:49:13")</f>
      </c>
      <c r="V2689" s="18">
        <v>0.012141203703703704</v>
      </c>
      <c r="W2689" s="15" t="s">
        <v>13707</v>
      </c>
      <c r="X2689" s="15" t="s">
        <v>13708</v>
      </c>
      <c r="Y2689" s="15" t="s">
        <v>35</v>
      </c>
      <c r="Z2689" s="19">
        <v>0</v>
      </c>
      <c r="AA2689" s="15">
        <v>0</v>
      </c>
      <c r="AB2689" s="15" t="s">
        <v>35</v>
      </c>
    </row>
    <row r="2690">
      <c r="A2690" s="15">
        <v>2686</v>
      </c>
      <c r="B2690" s="15" t="s">
        <v>343</v>
      </c>
      <c r="C2690" s="15" t="s">
        <v>344</v>
      </c>
      <c r="D2690" s="15" t="s">
        <v>1644</v>
      </c>
      <c r="E2690" s="15" t="s">
        <v>35</v>
      </c>
      <c r="F2690" s="15" t="s">
        <v>35</v>
      </c>
      <c r="G2690" s="15" t="s">
        <v>74</v>
      </c>
      <c r="H2690" s="15" t="s">
        <v>13709</v>
      </c>
      <c r="I2690" s="15" t="s">
        <v>13710</v>
      </c>
      <c r="J2690" s="15" t="s">
        <v>13711</v>
      </c>
      <c r="K2690" s="15" t="s">
        <v>584</v>
      </c>
      <c r="L2690" s="15" t="s">
        <v>585</v>
      </c>
      <c r="M2690" s="15" t="s">
        <v>827</v>
      </c>
      <c r="N2690" s="15" t="s">
        <v>828</v>
      </c>
      <c r="O2690" s="15" t="s">
        <v>82</v>
      </c>
      <c r="P2690" s="15" t="s">
        <v>1648</v>
      </c>
      <c r="Q2690" s="15" t="s">
        <v>1649</v>
      </c>
      <c r="R2690" s="16">
        <v>44329</v>
      </c>
      <c r="S2690" s="17" t="s">
        <v>70</v>
      </c>
      <c r="T2690" s="20">
        <f>HYPERLINK("https://vnm.spiral.com.vn//uploaded/20210513/015dd34a-bcb3-46bf-86f7-74096dbb1b1c.JPEG","08:28:48")</f>
      </c>
      <c r="U2690" s="20">
        <f>HYPERLINK("https://vnm.spiral.com.vn//uploaded/20210513/94f80858-9a15-41d7-96f5-2245c614b5fd.JPEG","08:48:56")</f>
      </c>
      <c r="V2690" s="18">
        <v>0.013981481481481482</v>
      </c>
      <c r="W2690" s="15" t="s">
        <v>13712</v>
      </c>
      <c r="X2690" s="15" t="s">
        <v>13713</v>
      </c>
      <c r="Y2690" s="15" t="s">
        <v>35</v>
      </c>
      <c r="Z2690" s="19">
        <v>0</v>
      </c>
      <c r="AA2690" s="15">
        <v>0</v>
      </c>
      <c r="AB2690" s="15" t="s">
        <v>35</v>
      </c>
    </row>
    <row r="2691">
      <c r="A2691" s="15">
        <v>2687</v>
      </c>
      <c r="B2691" s="15" t="s">
        <v>87</v>
      </c>
      <c r="C2691" s="15" t="s">
        <v>88</v>
      </c>
      <c r="D2691" s="15" t="s">
        <v>74</v>
      </c>
      <c r="E2691" s="15" t="s">
        <v>90</v>
      </c>
      <c r="F2691" s="15" t="s">
        <v>35</v>
      </c>
      <c r="G2691" s="15" t="s">
        <v>74</v>
      </c>
      <c r="H2691" s="15" t="s">
        <v>13714</v>
      </c>
      <c r="I2691" s="15" t="s">
        <v>13715</v>
      </c>
      <c r="J2691" s="15" t="s">
        <v>13716</v>
      </c>
      <c r="K2691" s="15" t="s">
        <v>190</v>
      </c>
      <c r="L2691" s="15" t="s">
        <v>191</v>
      </c>
      <c r="M2691" s="15" t="s">
        <v>1031</v>
      </c>
      <c r="N2691" s="15" t="s">
        <v>1032</v>
      </c>
      <c r="O2691" s="15" t="s">
        <v>82</v>
      </c>
      <c r="P2691" s="15" t="s">
        <v>2961</v>
      </c>
      <c r="Q2691" s="15" t="s">
        <v>2962</v>
      </c>
      <c r="R2691" s="16">
        <v>44329</v>
      </c>
      <c r="S2691" s="17" t="s">
        <v>70</v>
      </c>
      <c r="T2691" s="20">
        <f>HYPERLINK("https://vnm.spiral.com.vn//uploaded/20210513/D1D8FF96-C9B7-4158-BE2B-2A6AE1A1FFC9.jpg","07:40:15")</f>
      </c>
      <c r="U2691" s="20">
        <f>HYPERLINK("https://vnm.spiral.com.vn//uploaded/20210513/79111533-3F7F-4C02-8D77-762188B0EDB6.jpg","08:48:37")</f>
      </c>
      <c r="V2691" s="18">
        <v>0.04747685185185185</v>
      </c>
      <c r="W2691" s="15" t="s">
        <v>13717</v>
      </c>
      <c r="X2691" s="15" t="s">
        <v>13718</v>
      </c>
      <c r="Y2691" s="15" t="s">
        <v>35</v>
      </c>
      <c r="Z2691" s="19">
        <v>0</v>
      </c>
      <c r="AA2691" s="15">
        <v>0</v>
      </c>
      <c r="AB2691" s="15" t="s">
        <v>35</v>
      </c>
    </row>
    <row r="2692">
      <c r="A2692" s="15">
        <v>2688</v>
      </c>
      <c r="B2692" s="15" t="s">
        <v>343</v>
      </c>
      <c r="C2692" s="15" t="s">
        <v>344</v>
      </c>
      <c r="D2692" s="15" t="s">
        <v>1644</v>
      </c>
      <c r="E2692" s="15" t="s">
        <v>35</v>
      </c>
      <c r="F2692" s="15" t="s">
        <v>35</v>
      </c>
      <c r="G2692" s="15" t="s">
        <v>74</v>
      </c>
      <c r="H2692" s="15" t="s">
        <v>13719</v>
      </c>
      <c r="I2692" s="15" t="s">
        <v>13720</v>
      </c>
      <c r="J2692" s="15" t="s">
        <v>13721</v>
      </c>
      <c r="K2692" s="15" t="s">
        <v>584</v>
      </c>
      <c r="L2692" s="15" t="s">
        <v>585</v>
      </c>
      <c r="M2692" s="15" t="s">
        <v>827</v>
      </c>
      <c r="N2692" s="15" t="s">
        <v>828</v>
      </c>
      <c r="O2692" s="15" t="s">
        <v>82</v>
      </c>
      <c r="P2692" s="15" t="s">
        <v>7778</v>
      </c>
      <c r="Q2692" s="15" t="s">
        <v>7779</v>
      </c>
      <c r="R2692" s="16">
        <v>44329</v>
      </c>
      <c r="S2692" s="17" t="s">
        <v>70</v>
      </c>
      <c r="T2692" s="20">
        <f>HYPERLINK("https://vnm.spiral.com.vn//uploaded/20210513/1d8407bf-73a7-4097-85df-fca37d1adc4b.JPEG","08:00:08")</f>
      </c>
      <c r="U2692" s="20">
        <f>HYPERLINK("https://vnm.spiral.com.vn//uploaded/20210513/ee9e3967-ea11-4dbf-b0e0-4ca44fcc4aa1.JPEG","08:48:34")</f>
      </c>
      <c r="V2692" s="18">
        <v>0.03363425925925926</v>
      </c>
      <c r="W2692" s="15" t="s">
        <v>13722</v>
      </c>
      <c r="X2692" s="15" t="s">
        <v>13723</v>
      </c>
      <c r="Y2692" s="15" t="s">
        <v>35</v>
      </c>
      <c r="Z2692" s="19">
        <v>0</v>
      </c>
      <c r="AA2692" s="15">
        <v>0</v>
      </c>
      <c r="AB2692" s="15" t="s">
        <v>35</v>
      </c>
    </row>
    <row r="2693">
      <c r="A2693" s="15">
        <v>2689</v>
      </c>
      <c r="B2693" s="15" t="s">
        <v>87</v>
      </c>
      <c r="C2693" s="15" t="s">
        <v>88</v>
      </c>
      <c r="D2693" s="15" t="s">
        <v>35</v>
      </c>
      <c r="E2693" s="15" t="s">
        <v>35</v>
      </c>
      <c r="F2693" s="15" t="s">
        <v>35</v>
      </c>
      <c r="G2693" s="15" t="s">
        <v>74</v>
      </c>
      <c r="H2693" s="15" t="s">
        <v>13724</v>
      </c>
      <c r="I2693" s="15" t="s">
        <v>13725</v>
      </c>
      <c r="J2693" s="15" t="s">
        <v>13726</v>
      </c>
      <c r="K2693" s="15" t="s">
        <v>888</v>
      </c>
      <c r="L2693" s="15" t="s">
        <v>889</v>
      </c>
      <c r="M2693" s="15" t="s">
        <v>890</v>
      </c>
      <c r="N2693" s="15" t="s">
        <v>891</v>
      </c>
      <c r="O2693" s="15" t="s">
        <v>82</v>
      </c>
      <c r="P2693" s="15" t="s">
        <v>2094</v>
      </c>
      <c r="Q2693" s="15" t="s">
        <v>2095</v>
      </c>
      <c r="R2693" s="16">
        <v>44329</v>
      </c>
      <c r="S2693" s="17" t="s">
        <v>70</v>
      </c>
      <c r="T2693" s="20">
        <f>HYPERLINK("https://vnm.spiral.com.vn//uploaded/20210513/EA4496A5-DF36-4A13-AE2B-1BB3821951E2.jpg","08:23:13")</f>
      </c>
      <c r="U2693" s="20">
        <f>HYPERLINK("https://vnm.spiral.com.vn//uploaded/20210513/03815553-F615-4F76-85EB-7D9AD3C0C97A.jpg","08:48:27")</f>
      </c>
      <c r="V2693" s="18">
        <v>0.01752314814814815</v>
      </c>
      <c r="W2693" s="15" t="s">
        <v>13727</v>
      </c>
      <c r="X2693" s="15" t="s">
        <v>13728</v>
      </c>
      <c r="Y2693" s="15" t="s">
        <v>35</v>
      </c>
      <c r="Z2693" s="19">
        <v>0</v>
      </c>
      <c r="AA2693" s="15">
        <v>0</v>
      </c>
      <c r="AB2693" s="15" t="s">
        <v>35</v>
      </c>
    </row>
    <row r="2694">
      <c r="A2694" s="15">
        <v>2690</v>
      </c>
      <c r="B2694" s="15" t="s">
        <v>343</v>
      </c>
      <c r="C2694" s="15" t="s">
        <v>344</v>
      </c>
      <c r="D2694" s="15" t="s">
        <v>536</v>
      </c>
      <c r="E2694" s="15" t="s">
        <v>116</v>
      </c>
      <c r="F2694" s="15" t="s">
        <v>35</v>
      </c>
      <c r="G2694" s="15" t="s">
        <v>74</v>
      </c>
      <c r="H2694" s="15" t="s">
        <v>13729</v>
      </c>
      <c r="I2694" s="15" t="s">
        <v>13730</v>
      </c>
      <c r="J2694" s="15" t="s">
        <v>13731</v>
      </c>
      <c r="K2694" s="15" t="s">
        <v>997</v>
      </c>
      <c r="L2694" s="15" t="s">
        <v>998</v>
      </c>
      <c r="M2694" s="15" t="s">
        <v>1325</v>
      </c>
      <c r="N2694" s="15" t="s">
        <v>1326</v>
      </c>
      <c r="O2694" s="15" t="s">
        <v>82</v>
      </c>
      <c r="P2694" s="15" t="s">
        <v>2576</v>
      </c>
      <c r="Q2694" s="15" t="s">
        <v>2577</v>
      </c>
      <c r="R2694" s="16">
        <v>44329</v>
      </c>
      <c r="S2694" s="17" t="s">
        <v>70</v>
      </c>
      <c r="T2694" s="20">
        <f>HYPERLINK("https://vnm.spiral.com.vn//uploaded/20210513/41e7c535-66f7-43eb-9489-f19de15746a8.JPEG","07:45:37")</f>
      </c>
      <c r="U2694" s="20">
        <f>HYPERLINK("https://vnm.spiral.com.vn//uploaded/20210513/7f0bd087-a100-477c-868d-bb75dff5b83f.JPEG","08:48:26")</f>
      </c>
      <c r="V2694" s="18">
        <v>0.04362268518518519</v>
      </c>
      <c r="W2694" s="15" t="s">
        <v>13732</v>
      </c>
      <c r="X2694" s="15" t="s">
        <v>13733</v>
      </c>
      <c r="Y2694" s="15" t="s">
        <v>35</v>
      </c>
      <c r="Z2694" s="19">
        <v>0</v>
      </c>
      <c r="AA2694" s="15">
        <v>0</v>
      </c>
      <c r="AB2694" s="15" t="s">
        <v>35</v>
      </c>
    </row>
    <row r="2695">
      <c r="A2695" s="15">
        <v>2691</v>
      </c>
      <c r="B2695" s="15" t="s">
        <v>87</v>
      </c>
      <c r="C2695" s="15" t="s">
        <v>88</v>
      </c>
      <c r="D2695" s="15" t="s">
        <v>1644</v>
      </c>
      <c r="E2695" s="15" t="s">
        <v>35</v>
      </c>
      <c r="F2695" s="15" t="s">
        <v>35</v>
      </c>
      <c r="G2695" s="15" t="s">
        <v>74</v>
      </c>
      <c r="H2695" s="15" t="s">
        <v>13734</v>
      </c>
      <c r="I2695" s="15" t="s">
        <v>13735</v>
      </c>
      <c r="J2695" s="15" t="s">
        <v>13736</v>
      </c>
      <c r="K2695" s="15" t="s">
        <v>888</v>
      </c>
      <c r="L2695" s="15" t="s">
        <v>889</v>
      </c>
      <c r="M2695" s="15" t="s">
        <v>924</v>
      </c>
      <c r="N2695" s="15" t="s">
        <v>925</v>
      </c>
      <c r="O2695" s="15" t="s">
        <v>82</v>
      </c>
      <c r="P2695" s="15" t="s">
        <v>5478</v>
      </c>
      <c r="Q2695" s="15" t="s">
        <v>5479</v>
      </c>
      <c r="R2695" s="16">
        <v>44329</v>
      </c>
      <c r="S2695" s="17" t="s">
        <v>70</v>
      </c>
      <c r="T2695" s="20">
        <f>HYPERLINK("https://vnm.spiral.com.vn//uploaded/20210513/f326401e-1779-4c52-a56d-7720ff0d9be1.JPEG","08:32:23")</f>
      </c>
      <c r="U2695" s="20">
        <f>HYPERLINK("https://vnm.spiral.com.vn//uploaded/20210513/eb900eb4-a213-4070-9238-9c1077f5bd14.JPEG","08:48:04")</f>
      </c>
      <c r="V2695" s="18">
        <v>0.010891203703703703</v>
      </c>
      <c r="W2695" s="15" t="s">
        <v>13737</v>
      </c>
      <c r="X2695" s="15" t="s">
        <v>13738</v>
      </c>
      <c r="Y2695" s="15" t="s">
        <v>35</v>
      </c>
      <c r="Z2695" s="19">
        <v>0</v>
      </c>
      <c r="AA2695" s="15">
        <v>0</v>
      </c>
      <c r="AB2695" s="15" t="s">
        <v>35</v>
      </c>
    </row>
    <row r="2696">
      <c r="A2696" s="15">
        <v>2692</v>
      </c>
      <c r="B2696" s="15" t="s">
        <v>343</v>
      </c>
      <c r="C2696" s="15" t="s">
        <v>645</v>
      </c>
      <c r="D2696" s="15" t="s">
        <v>35</v>
      </c>
      <c r="E2696" s="15" t="s">
        <v>35</v>
      </c>
      <c r="F2696" s="15" t="s">
        <v>35</v>
      </c>
      <c r="G2696" s="15" t="s">
        <v>36</v>
      </c>
      <c r="H2696" s="15" t="s">
        <v>13739</v>
      </c>
      <c r="I2696" s="15" t="s">
        <v>13740</v>
      </c>
      <c r="J2696" s="15" t="s">
        <v>13741</v>
      </c>
      <c r="K2696" s="15" t="s">
        <v>40</v>
      </c>
      <c r="L2696" s="15" t="s">
        <v>41</v>
      </c>
      <c r="M2696" s="15" t="s">
        <v>42</v>
      </c>
      <c r="N2696" s="15" t="s">
        <v>43</v>
      </c>
      <c r="O2696" s="15" t="s">
        <v>44</v>
      </c>
      <c r="P2696" s="15" t="s">
        <v>13742</v>
      </c>
      <c r="Q2696" s="15" t="s">
        <v>13743</v>
      </c>
      <c r="R2696" s="16">
        <v>44329</v>
      </c>
      <c r="S2696" s="17" t="s">
        <v>13744</v>
      </c>
      <c r="T2696" s="20">
        <f>HYPERLINK("https://vnm.spiral.com.vn//uploaded/20210513/7684CB21-4EE8-4727-9245-0D2D2F4C3043.jpg","08:47:53")</f>
      </c>
      <c r="U2696" s="18"/>
      <c r="V2696" s="18" t="s">
        <v>35</v>
      </c>
      <c r="W2696" s="15" t="s">
        <v>13745</v>
      </c>
      <c r="X2696" s="15" t="s">
        <v>35</v>
      </c>
      <c r="Y2696" s="15" t="s">
        <v>35</v>
      </c>
      <c r="Z2696" s="19">
        <v>0</v>
      </c>
      <c r="AA2696" s="15">
        <v>0</v>
      </c>
      <c r="AB2696" s="15" t="s">
        <v>35</v>
      </c>
    </row>
    <row r="2697">
      <c r="A2697" s="15">
        <v>2693</v>
      </c>
      <c r="B2697" s="15" t="s">
        <v>87</v>
      </c>
      <c r="C2697" s="15" t="s">
        <v>88</v>
      </c>
      <c r="D2697" s="15" t="s">
        <v>135</v>
      </c>
      <c r="E2697" s="15" t="s">
        <v>116</v>
      </c>
      <c r="F2697" s="15" t="s">
        <v>35</v>
      </c>
      <c r="G2697" s="15" t="s">
        <v>74</v>
      </c>
      <c r="H2697" s="15" t="s">
        <v>13746</v>
      </c>
      <c r="I2697" s="15" t="s">
        <v>13747</v>
      </c>
      <c r="J2697" s="15" t="s">
        <v>13748</v>
      </c>
      <c r="K2697" s="15" t="s">
        <v>139</v>
      </c>
      <c r="L2697" s="15" t="s">
        <v>140</v>
      </c>
      <c r="M2697" s="15" t="s">
        <v>141</v>
      </c>
      <c r="N2697" s="15" t="s">
        <v>142</v>
      </c>
      <c r="O2697" s="15" t="s">
        <v>82</v>
      </c>
      <c r="P2697" s="15" t="s">
        <v>143</v>
      </c>
      <c r="Q2697" s="15" t="s">
        <v>144</v>
      </c>
      <c r="R2697" s="16">
        <v>44329</v>
      </c>
      <c r="S2697" s="17" t="s">
        <v>70</v>
      </c>
      <c r="T2697" s="20">
        <f>HYPERLINK("https://vnm.spiral.com.vn//uploaded/20210513/8f95ec02-599e-4d12-a2d5-b86c007fd852.JPEG","07:28:14")</f>
      </c>
      <c r="U2697" s="20">
        <f>HYPERLINK("https://vnm.spiral.com.vn//uploaded/20210513/5a0dca3d-dfe2-49c8-aa9a-c32faeef3ade.JPEG","08:47:51")</f>
      </c>
      <c r="V2697" s="18">
        <v>0.05528935185185185</v>
      </c>
      <c r="W2697" s="15" t="s">
        <v>13749</v>
      </c>
      <c r="X2697" s="15" t="s">
        <v>13750</v>
      </c>
      <c r="Y2697" s="15" t="s">
        <v>35</v>
      </c>
      <c r="Z2697" s="19">
        <v>0</v>
      </c>
      <c r="AA2697" s="15">
        <v>0</v>
      </c>
      <c r="AB2697" s="15" t="s">
        <v>35</v>
      </c>
    </row>
    <row r="2698">
      <c r="A2698" s="15">
        <v>2694</v>
      </c>
      <c r="B2698" s="15" t="s">
        <v>61</v>
      </c>
      <c r="C2698" s="15" t="s">
        <v>320</v>
      </c>
      <c r="D2698" s="15" t="s">
        <v>35</v>
      </c>
      <c r="E2698" s="15" t="s">
        <v>35</v>
      </c>
      <c r="F2698" s="15" t="s">
        <v>35</v>
      </c>
      <c r="G2698" s="15" t="s">
        <v>36</v>
      </c>
      <c r="H2698" s="15" t="s">
        <v>13751</v>
      </c>
      <c r="I2698" s="15" t="s">
        <v>13752</v>
      </c>
      <c r="J2698" s="15" t="s">
        <v>13753</v>
      </c>
      <c r="K2698" s="15" t="s">
        <v>40</v>
      </c>
      <c r="L2698" s="15" t="s">
        <v>41</v>
      </c>
      <c r="M2698" s="15" t="s">
        <v>205</v>
      </c>
      <c r="N2698" s="15" t="s">
        <v>206</v>
      </c>
      <c r="O2698" s="15" t="s">
        <v>44</v>
      </c>
      <c r="P2698" s="15" t="s">
        <v>13754</v>
      </c>
      <c r="Q2698" s="15" t="s">
        <v>13755</v>
      </c>
      <c r="R2698" s="16">
        <v>44329</v>
      </c>
      <c r="S2698" s="17" t="s">
        <v>13344</v>
      </c>
      <c r="T2698" s="20">
        <f>HYPERLINK("https://vnm.spiral.com.vn//uploaded/20210513/B7FD7337-7EC5-4300-8709-2A62CE2D2F09.jpg","08:47:38")</f>
      </c>
      <c r="U2698" s="18"/>
      <c r="V2698" s="18" t="s">
        <v>35</v>
      </c>
      <c r="W2698" s="15" t="s">
        <v>13756</v>
      </c>
      <c r="X2698" s="15" t="s">
        <v>35</v>
      </c>
      <c r="Y2698" s="15" t="s">
        <v>35</v>
      </c>
      <c r="Z2698" s="19">
        <v>0</v>
      </c>
      <c r="AA2698" s="15">
        <v>0</v>
      </c>
      <c r="AB2698" s="15" t="s">
        <v>35</v>
      </c>
    </row>
    <row r="2699">
      <c r="A2699" s="15">
        <v>2695</v>
      </c>
      <c r="B2699" s="15" t="s">
        <v>103</v>
      </c>
      <c r="C2699" s="15" t="s">
        <v>2116</v>
      </c>
      <c r="D2699" s="15" t="s">
        <v>135</v>
      </c>
      <c r="E2699" s="15" t="s">
        <v>116</v>
      </c>
      <c r="F2699" s="15" t="s">
        <v>35</v>
      </c>
      <c r="G2699" s="15" t="s">
        <v>74</v>
      </c>
      <c r="H2699" s="15" t="s">
        <v>13757</v>
      </c>
      <c r="I2699" s="15" t="s">
        <v>13758</v>
      </c>
      <c r="J2699" s="15" t="s">
        <v>13759</v>
      </c>
      <c r="K2699" s="15" t="s">
        <v>178</v>
      </c>
      <c r="L2699" s="15" t="s">
        <v>179</v>
      </c>
      <c r="M2699" s="15" t="s">
        <v>2120</v>
      </c>
      <c r="N2699" s="15" t="s">
        <v>2121</v>
      </c>
      <c r="O2699" s="15" t="s">
        <v>82</v>
      </c>
      <c r="P2699" s="15" t="s">
        <v>2186</v>
      </c>
      <c r="Q2699" s="15" t="s">
        <v>2187</v>
      </c>
      <c r="R2699" s="16">
        <v>44329</v>
      </c>
      <c r="S2699" s="17" t="s">
        <v>70</v>
      </c>
      <c r="T2699" s="20">
        <f>HYPERLINK("https://vnm.spiral.com.vn//uploaded/20210513/d82b43c8-48d0-46ff-9553-9b8087c0045b.JPEG","07:48:51")</f>
      </c>
      <c r="U2699" s="20">
        <f>HYPERLINK("https://vnm.spiral.com.vn//uploaded/20210513/8e31f59f-9d1d-4292-a229-0db4f2d0ae56.JPEG","08:47:35")</f>
      </c>
      <c r="V2699" s="18">
        <v>0.04078703703703704</v>
      </c>
      <c r="W2699" s="15" t="s">
        <v>13760</v>
      </c>
      <c r="X2699" s="15" t="s">
        <v>13761</v>
      </c>
      <c r="Y2699" s="15" t="s">
        <v>35</v>
      </c>
      <c r="Z2699" s="19">
        <v>0</v>
      </c>
      <c r="AA2699" s="15">
        <v>0</v>
      </c>
      <c r="AB2699" s="15" t="s">
        <v>35</v>
      </c>
    </row>
    <row r="2700">
      <c r="A2700" s="15">
        <v>2696</v>
      </c>
      <c r="B2700" s="15" t="s">
        <v>61</v>
      </c>
      <c r="C2700" s="15" t="s">
        <v>201</v>
      </c>
      <c r="D2700" s="15" t="s">
        <v>35</v>
      </c>
      <c r="E2700" s="15" t="s">
        <v>35</v>
      </c>
      <c r="F2700" s="15" t="s">
        <v>35</v>
      </c>
      <c r="G2700" s="15" t="s">
        <v>36</v>
      </c>
      <c r="H2700" s="15" t="s">
        <v>13762</v>
      </c>
      <c r="I2700" s="15" t="s">
        <v>13763</v>
      </c>
      <c r="J2700" s="15" t="s">
        <v>13764</v>
      </c>
      <c r="K2700" s="15" t="s">
        <v>40</v>
      </c>
      <c r="L2700" s="15" t="s">
        <v>41</v>
      </c>
      <c r="M2700" s="15" t="s">
        <v>66</v>
      </c>
      <c r="N2700" s="15" t="s">
        <v>67</v>
      </c>
      <c r="O2700" s="15" t="s">
        <v>44</v>
      </c>
      <c r="P2700" s="15" t="s">
        <v>13765</v>
      </c>
      <c r="Q2700" s="15" t="s">
        <v>13766</v>
      </c>
      <c r="R2700" s="16">
        <v>44329</v>
      </c>
      <c r="S2700" s="17" t="s">
        <v>718</v>
      </c>
      <c r="T2700" s="20">
        <f>HYPERLINK("https://vnm.spiral.com.vn//uploaded/20210513/d3c384e9-529f-4d99-bc43-bb7287dfbaca.JPEG","08:47:20")</f>
      </c>
      <c r="U2700" s="18"/>
      <c r="V2700" s="18" t="s">
        <v>35</v>
      </c>
      <c r="W2700" s="15" t="s">
        <v>13767</v>
      </c>
      <c r="X2700" s="15" t="s">
        <v>35</v>
      </c>
      <c r="Y2700" s="15" t="s">
        <v>35</v>
      </c>
      <c r="Z2700" s="19">
        <v>0</v>
      </c>
      <c r="AA2700" s="15">
        <v>0</v>
      </c>
      <c r="AB2700" s="15" t="s">
        <v>35</v>
      </c>
    </row>
    <row r="2701">
      <c r="A2701" s="15">
        <v>2697</v>
      </c>
      <c r="B2701" s="15" t="s">
        <v>61</v>
      </c>
      <c r="C2701" s="15" t="s">
        <v>320</v>
      </c>
      <c r="D2701" s="15" t="s">
        <v>432</v>
      </c>
      <c r="E2701" s="15" t="s">
        <v>116</v>
      </c>
      <c r="F2701" s="15" t="s">
        <v>35</v>
      </c>
      <c r="G2701" s="15" t="s">
        <v>74</v>
      </c>
      <c r="H2701" s="15" t="s">
        <v>13768</v>
      </c>
      <c r="I2701" s="15" t="s">
        <v>13769</v>
      </c>
      <c r="J2701" s="15" t="s">
        <v>13770</v>
      </c>
      <c r="K2701" s="15" t="s">
        <v>154</v>
      </c>
      <c r="L2701" s="15" t="s">
        <v>155</v>
      </c>
      <c r="M2701" s="15" t="s">
        <v>2458</v>
      </c>
      <c r="N2701" s="15" t="s">
        <v>2459</v>
      </c>
      <c r="O2701" s="15" t="s">
        <v>156</v>
      </c>
      <c r="P2701" s="15" t="s">
        <v>2803</v>
      </c>
      <c r="Q2701" s="15" t="s">
        <v>2804</v>
      </c>
      <c r="R2701" s="16">
        <v>44329</v>
      </c>
      <c r="S2701" s="17" t="s">
        <v>70</v>
      </c>
      <c r="T2701" s="20">
        <f>HYPERLINK("https://vnm.spiral.com.vn//uploaded/20210513/f3f94aea-5bc5-403f-869d-aa07fdd85b5f.JPEG","07:53:26")</f>
      </c>
      <c r="U2701" s="20">
        <f>HYPERLINK("https://vnm.spiral.com.vn//uploaded/20210513/649dae36-ea8a-4908-b76c-b54b9c44dd46.JPEG","08:47:13")</f>
      </c>
      <c r="V2701" s="18">
        <v>0.037349537037037035</v>
      </c>
      <c r="W2701" s="15" t="s">
        <v>13771</v>
      </c>
      <c r="X2701" s="15" t="s">
        <v>13772</v>
      </c>
      <c r="Y2701" s="15" t="s">
        <v>35</v>
      </c>
      <c r="Z2701" s="19">
        <v>0</v>
      </c>
      <c r="AA2701" s="15">
        <v>0</v>
      </c>
      <c r="AB2701" s="15" t="s">
        <v>35</v>
      </c>
    </row>
    <row r="2702">
      <c r="A2702" s="15">
        <v>2698</v>
      </c>
      <c r="B2702" s="15" t="s">
        <v>87</v>
      </c>
      <c r="C2702" s="15" t="s">
        <v>88</v>
      </c>
      <c r="D2702" s="15" t="s">
        <v>432</v>
      </c>
      <c r="E2702" s="15" t="s">
        <v>116</v>
      </c>
      <c r="F2702" s="15" t="s">
        <v>35</v>
      </c>
      <c r="G2702" s="15" t="s">
        <v>74</v>
      </c>
      <c r="H2702" s="15" t="s">
        <v>13773</v>
      </c>
      <c r="I2702" s="15" t="s">
        <v>13774</v>
      </c>
      <c r="J2702" s="15" t="s">
        <v>13775</v>
      </c>
      <c r="K2702" s="15" t="s">
        <v>625</v>
      </c>
      <c r="L2702" s="15" t="s">
        <v>626</v>
      </c>
      <c r="M2702" s="15" t="s">
        <v>1022</v>
      </c>
      <c r="N2702" s="15" t="s">
        <v>1023</v>
      </c>
      <c r="O2702" s="15" t="s">
        <v>82</v>
      </c>
      <c r="P2702" s="15" t="s">
        <v>1024</v>
      </c>
      <c r="Q2702" s="15" t="s">
        <v>1025</v>
      </c>
      <c r="R2702" s="16">
        <v>44329</v>
      </c>
      <c r="S2702" s="17" t="s">
        <v>70</v>
      </c>
      <c r="T2702" s="20">
        <f>HYPERLINK("https://vnm.spiral.com.vn//uploaded/20210513/C2279CD1-546D-4BEE-8B2D-069326213349.jpg","07:58:45")</f>
      </c>
      <c r="U2702" s="20">
        <f>HYPERLINK("https://vnm.spiral.com.vn//uploaded/20210513/F9A3AC3F-9887-485E-9847-86C1805A8878.jpg","08:46:43")</f>
      </c>
      <c r="V2702" s="18">
        <v>0.033310185185185186</v>
      </c>
      <c r="W2702" s="15" t="s">
        <v>13776</v>
      </c>
      <c r="X2702" s="15" t="s">
        <v>13777</v>
      </c>
      <c r="Y2702" s="15" t="s">
        <v>35</v>
      </c>
      <c r="Z2702" s="19">
        <v>0</v>
      </c>
      <c r="AA2702" s="15">
        <v>0</v>
      </c>
      <c r="AB2702" s="15" t="s">
        <v>35</v>
      </c>
    </row>
    <row r="2703">
      <c r="A2703" s="15">
        <v>2699</v>
      </c>
      <c r="B2703" s="15" t="s">
        <v>343</v>
      </c>
      <c r="C2703" s="15" t="s">
        <v>344</v>
      </c>
      <c r="D2703" s="15" t="s">
        <v>2462</v>
      </c>
      <c r="E2703" s="15" t="s">
        <v>116</v>
      </c>
      <c r="F2703" s="15" t="s">
        <v>35</v>
      </c>
      <c r="G2703" s="15" t="s">
        <v>74</v>
      </c>
      <c r="H2703" s="15" t="s">
        <v>13778</v>
      </c>
      <c r="I2703" s="15" t="s">
        <v>13779</v>
      </c>
      <c r="J2703" s="15" t="s">
        <v>13780</v>
      </c>
      <c r="K2703" s="15" t="s">
        <v>349</v>
      </c>
      <c r="L2703" s="15" t="s">
        <v>350</v>
      </c>
      <c r="M2703" s="15" t="s">
        <v>351</v>
      </c>
      <c r="N2703" s="15" t="s">
        <v>352</v>
      </c>
      <c r="O2703" s="15" t="s">
        <v>82</v>
      </c>
      <c r="P2703" s="15" t="s">
        <v>2895</v>
      </c>
      <c r="Q2703" s="15" t="s">
        <v>2896</v>
      </c>
      <c r="R2703" s="16">
        <v>44329</v>
      </c>
      <c r="S2703" s="17" t="s">
        <v>70</v>
      </c>
      <c r="T2703" s="20">
        <f>HYPERLINK("https://vnm.spiral.com.vn//uploaded/20210513/6489d5af-712e-42e4-86ec-d8bfbddfc437.JPEG","07:46:47")</f>
      </c>
      <c r="U2703" s="20">
        <f>HYPERLINK("https://vnm.spiral.com.vn//uploaded/20210513/6c91acdc-33a2-4d5e-94b8-888b537573bb.JPEG","08:46:43")</f>
      </c>
      <c r="V2703" s="18">
        <v>0.04162037037037037</v>
      </c>
      <c r="W2703" s="15" t="s">
        <v>13781</v>
      </c>
      <c r="X2703" s="15" t="s">
        <v>13782</v>
      </c>
      <c r="Y2703" s="15" t="s">
        <v>35</v>
      </c>
      <c r="Z2703" s="19">
        <v>0</v>
      </c>
      <c r="AA2703" s="15">
        <v>0</v>
      </c>
      <c r="AB2703" s="15" t="s">
        <v>35</v>
      </c>
    </row>
    <row r="2704">
      <c r="A2704" s="15">
        <v>2700</v>
      </c>
      <c r="B2704" s="15" t="s">
        <v>343</v>
      </c>
      <c r="C2704" s="15" t="s">
        <v>344</v>
      </c>
      <c r="D2704" s="15" t="s">
        <v>35</v>
      </c>
      <c r="E2704" s="15" t="s">
        <v>35</v>
      </c>
      <c r="F2704" s="15" t="s">
        <v>35</v>
      </c>
      <c r="G2704" s="15" t="s">
        <v>74</v>
      </c>
      <c r="H2704" s="15" t="s">
        <v>13783</v>
      </c>
      <c r="I2704" s="15" t="s">
        <v>13784</v>
      </c>
      <c r="J2704" s="15" t="s">
        <v>13785</v>
      </c>
      <c r="K2704" s="15" t="s">
        <v>584</v>
      </c>
      <c r="L2704" s="15" t="s">
        <v>585</v>
      </c>
      <c r="M2704" s="15" t="s">
        <v>827</v>
      </c>
      <c r="N2704" s="15" t="s">
        <v>828</v>
      </c>
      <c r="O2704" s="15" t="s">
        <v>82</v>
      </c>
      <c r="P2704" s="15" t="s">
        <v>2319</v>
      </c>
      <c r="Q2704" s="15" t="s">
        <v>2320</v>
      </c>
      <c r="R2704" s="16">
        <v>44329</v>
      </c>
      <c r="S2704" s="17" t="s">
        <v>70</v>
      </c>
      <c r="T2704" s="20">
        <f>HYPERLINK("https://vnm.spiral.com.vn//uploaded/20210513/BFD8BBFA-7929-472E-98B5-8040227E3217.jpg","08:22:49")</f>
      </c>
      <c r="U2704" s="20">
        <f>HYPERLINK("https://vnm.spiral.com.vn//uploaded/20210513/448061D4-FB01-48FB-9E37-A2D51D82C66C.jpg","08:46:04")</f>
      </c>
      <c r="V2704" s="18">
        <v>0.016145833333333335</v>
      </c>
      <c r="W2704" s="15" t="s">
        <v>13786</v>
      </c>
      <c r="X2704" s="15" t="s">
        <v>13787</v>
      </c>
      <c r="Y2704" s="15" t="s">
        <v>35</v>
      </c>
      <c r="Z2704" s="19">
        <v>0</v>
      </c>
      <c r="AA2704" s="15">
        <v>0</v>
      </c>
      <c r="AB2704" s="15" t="s">
        <v>35</v>
      </c>
    </row>
    <row r="2705">
      <c r="A2705" s="15">
        <v>2701</v>
      </c>
      <c r="B2705" s="15" t="s">
        <v>87</v>
      </c>
      <c r="C2705" s="15" t="s">
        <v>88</v>
      </c>
      <c r="D2705" s="15" t="s">
        <v>35</v>
      </c>
      <c r="E2705" s="15" t="s">
        <v>35</v>
      </c>
      <c r="F2705" s="15" t="s">
        <v>35</v>
      </c>
      <c r="G2705" s="15" t="s">
        <v>74</v>
      </c>
      <c r="H2705" s="15" t="s">
        <v>13788</v>
      </c>
      <c r="I2705" s="15" t="s">
        <v>13789</v>
      </c>
      <c r="J2705" s="15" t="s">
        <v>13790</v>
      </c>
      <c r="K2705" s="15" t="s">
        <v>190</v>
      </c>
      <c r="L2705" s="15" t="s">
        <v>191</v>
      </c>
      <c r="M2705" s="15" t="s">
        <v>888</v>
      </c>
      <c r="N2705" s="15" t="s">
        <v>889</v>
      </c>
      <c r="O2705" s="15" t="s">
        <v>98</v>
      </c>
      <c r="P2705" s="15" t="s">
        <v>890</v>
      </c>
      <c r="Q2705" s="15" t="s">
        <v>891</v>
      </c>
      <c r="R2705" s="16">
        <v>44329</v>
      </c>
      <c r="S2705" s="17" t="s">
        <v>35</v>
      </c>
      <c r="T2705" s="20">
        <f>HYPERLINK("https://vnm.spiral.com.vn//uploaded/20210513/F5553478-DA91-4138-AAF4-FAD6361D41B2.jpg","07:51:07")</f>
      </c>
      <c r="U2705" s="20">
        <f>HYPERLINK("https://vnm.spiral.com.vn//uploaded/20210513/66953ABC-146A-4942-A478-D923C30D5955.jpg","08:45:48")</f>
      </c>
      <c r="V2705" s="18">
        <v>0.037974537037037036</v>
      </c>
      <c r="W2705" s="15" t="s">
        <v>13791</v>
      </c>
      <c r="X2705" s="15" t="s">
        <v>13792</v>
      </c>
      <c r="Y2705" s="15" t="s">
        <v>35</v>
      </c>
      <c r="Z2705" s="19">
        <v>0</v>
      </c>
      <c r="AA2705" s="15">
        <v>0</v>
      </c>
      <c r="AB2705" s="15" t="s">
        <v>35</v>
      </c>
    </row>
    <row r="2706">
      <c r="A2706" s="15">
        <v>2702</v>
      </c>
      <c r="B2706" s="15" t="s">
        <v>103</v>
      </c>
      <c r="C2706" s="15" t="s">
        <v>1078</v>
      </c>
      <c r="D2706" s="15" t="s">
        <v>135</v>
      </c>
      <c r="E2706" s="15" t="s">
        <v>116</v>
      </c>
      <c r="F2706" s="15" t="s">
        <v>35</v>
      </c>
      <c r="G2706" s="15" t="s">
        <v>74</v>
      </c>
      <c r="H2706" s="15" t="s">
        <v>13793</v>
      </c>
      <c r="I2706" s="15" t="s">
        <v>13794</v>
      </c>
      <c r="J2706" s="15" t="s">
        <v>13795</v>
      </c>
      <c r="K2706" s="15" t="s">
        <v>436</v>
      </c>
      <c r="L2706" s="15" t="s">
        <v>437</v>
      </c>
      <c r="M2706" s="15" t="s">
        <v>1429</v>
      </c>
      <c r="N2706" s="15" t="s">
        <v>1430</v>
      </c>
      <c r="O2706" s="15" t="s">
        <v>82</v>
      </c>
      <c r="P2706" s="15" t="s">
        <v>2234</v>
      </c>
      <c r="Q2706" s="15" t="s">
        <v>2235</v>
      </c>
      <c r="R2706" s="16">
        <v>44329</v>
      </c>
      <c r="S2706" s="17" t="s">
        <v>70</v>
      </c>
      <c r="T2706" s="20">
        <f>HYPERLINK("https://vnm.spiral.com.vn//uploaded/20210513/AB4D106B-5557-488F-9B9F-AEF5DCD94B9B.jpg","07:31:06")</f>
      </c>
      <c r="U2706" s="20">
        <f>HYPERLINK("https://vnm.spiral.com.vn//uploaded/20210513/105A5759-2B60-4501-92E2-DF7D2D2C483C.jpg","08:45:45")</f>
      </c>
      <c r="V2706" s="18">
        <v>0.05184027777777778</v>
      </c>
      <c r="W2706" s="15" t="s">
        <v>13796</v>
      </c>
      <c r="X2706" s="15" t="s">
        <v>13797</v>
      </c>
      <c r="Y2706" s="15" t="s">
        <v>35</v>
      </c>
      <c r="Z2706" s="19">
        <v>0</v>
      </c>
      <c r="AA2706" s="15">
        <v>0</v>
      </c>
      <c r="AB2706" s="15" t="s">
        <v>35</v>
      </c>
    </row>
    <row r="2707">
      <c r="A2707" s="15">
        <v>2703</v>
      </c>
      <c r="B2707" s="15" t="s">
        <v>87</v>
      </c>
      <c r="C2707" s="15" t="s">
        <v>88</v>
      </c>
      <c r="D2707" s="15" t="s">
        <v>135</v>
      </c>
      <c r="E2707" s="15" t="s">
        <v>116</v>
      </c>
      <c r="F2707" s="15" t="s">
        <v>35</v>
      </c>
      <c r="G2707" s="15" t="s">
        <v>74</v>
      </c>
      <c r="H2707" s="15" t="s">
        <v>13798</v>
      </c>
      <c r="I2707" s="15" t="s">
        <v>13799</v>
      </c>
      <c r="J2707" s="15" t="s">
        <v>13800</v>
      </c>
      <c r="K2707" s="15" t="s">
        <v>139</v>
      </c>
      <c r="L2707" s="15" t="s">
        <v>140</v>
      </c>
      <c r="M2707" s="15" t="s">
        <v>141</v>
      </c>
      <c r="N2707" s="15" t="s">
        <v>142</v>
      </c>
      <c r="O2707" s="15" t="s">
        <v>82</v>
      </c>
      <c r="P2707" s="15" t="s">
        <v>1400</v>
      </c>
      <c r="Q2707" s="15" t="s">
        <v>1401</v>
      </c>
      <c r="R2707" s="16">
        <v>44329</v>
      </c>
      <c r="S2707" s="17" t="s">
        <v>70</v>
      </c>
      <c r="T2707" s="20">
        <f>HYPERLINK("https://vnm.spiral.com.vn//uploaded/20210513/B6A51713-9FC8-4949-957D-F8FB2C61194A.jpg","07:52:30")</f>
      </c>
      <c r="U2707" s="20">
        <f>HYPERLINK("https://vnm.spiral.com.vn//uploaded/20210513/C465F2D1-A018-4CB6-BB75-DBC63E4462A6.jpg","08:45:31")</f>
      </c>
      <c r="V2707" s="18">
        <v>0.03681712962962963</v>
      </c>
      <c r="W2707" s="15" t="s">
        <v>13801</v>
      </c>
      <c r="X2707" s="15" t="s">
        <v>13802</v>
      </c>
      <c r="Y2707" s="15" t="s">
        <v>35</v>
      </c>
      <c r="Z2707" s="19">
        <v>0</v>
      </c>
      <c r="AA2707" s="15">
        <v>0</v>
      </c>
      <c r="AB2707" s="15" t="s">
        <v>35</v>
      </c>
    </row>
    <row r="2708">
      <c r="A2708" s="15">
        <v>2704</v>
      </c>
      <c r="B2708" s="15" t="s">
        <v>61</v>
      </c>
      <c r="C2708" s="15" t="s">
        <v>398</v>
      </c>
      <c r="D2708" s="15" t="s">
        <v>35</v>
      </c>
      <c r="E2708" s="15" t="s">
        <v>35</v>
      </c>
      <c r="F2708" s="15" t="s">
        <v>35</v>
      </c>
      <c r="G2708" s="15" t="s">
        <v>36</v>
      </c>
      <c r="H2708" s="15" t="s">
        <v>13803</v>
      </c>
      <c r="I2708" s="15" t="s">
        <v>13804</v>
      </c>
      <c r="J2708" s="15" t="s">
        <v>13805</v>
      </c>
      <c r="K2708" s="15" t="s">
        <v>40</v>
      </c>
      <c r="L2708" s="15" t="s">
        <v>41</v>
      </c>
      <c r="M2708" s="15" t="s">
        <v>66</v>
      </c>
      <c r="N2708" s="15" t="s">
        <v>67</v>
      </c>
      <c r="O2708" s="15" t="s">
        <v>44</v>
      </c>
      <c r="P2708" s="15" t="s">
        <v>13806</v>
      </c>
      <c r="Q2708" s="15" t="s">
        <v>13807</v>
      </c>
      <c r="R2708" s="16">
        <v>44329</v>
      </c>
      <c r="S2708" s="17" t="s">
        <v>718</v>
      </c>
      <c r="T2708" s="20">
        <f>HYPERLINK("https://vnm.spiral.com.vn//uploaded/20210513/5f72d534-64b8-465e-abac-89a67158d97b.JPEG","08:45:05")</f>
      </c>
      <c r="U2708" s="18"/>
      <c r="V2708" s="18" t="s">
        <v>35</v>
      </c>
      <c r="W2708" s="15" t="s">
        <v>13808</v>
      </c>
      <c r="X2708" s="15" t="s">
        <v>35</v>
      </c>
      <c r="Y2708" s="15" t="s">
        <v>35</v>
      </c>
      <c r="Z2708" s="19">
        <v>0</v>
      </c>
      <c r="AA2708" s="15">
        <v>0</v>
      </c>
      <c r="AB2708" s="15" t="s">
        <v>35</v>
      </c>
    </row>
    <row r="2709">
      <c r="A2709" s="15">
        <v>2705</v>
      </c>
      <c r="B2709" s="15" t="s">
        <v>87</v>
      </c>
      <c r="C2709" s="15" t="s">
        <v>88</v>
      </c>
      <c r="D2709" s="15" t="s">
        <v>35</v>
      </c>
      <c r="E2709" s="15" t="s">
        <v>35</v>
      </c>
      <c r="F2709" s="15" t="s">
        <v>35</v>
      </c>
      <c r="G2709" s="15" t="s">
        <v>74</v>
      </c>
      <c r="H2709" s="15" t="s">
        <v>13809</v>
      </c>
      <c r="I2709" s="15" t="s">
        <v>13810</v>
      </c>
      <c r="J2709" s="15" t="s">
        <v>13811</v>
      </c>
      <c r="K2709" s="15" t="s">
        <v>888</v>
      </c>
      <c r="L2709" s="15" t="s">
        <v>889</v>
      </c>
      <c r="M2709" s="15" t="s">
        <v>890</v>
      </c>
      <c r="N2709" s="15" t="s">
        <v>891</v>
      </c>
      <c r="O2709" s="15" t="s">
        <v>82</v>
      </c>
      <c r="P2709" s="15" t="s">
        <v>1914</v>
      </c>
      <c r="Q2709" s="15" t="s">
        <v>1915</v>
      </c>
      <c r="R2709" s="16">
        <v>44329</v>
      </c>
      <c r="S2709" s="17" t="s">
        <v>70</v>
      </c>
      <c r="T2709" s="20">
        <f>HYPERLINK("https://vnm.spiral.com.vn//uploaded/20210513/236464AD-3DDD-4854-BEC3-DC0ADE6D399D.jpg","08:19:29")</f>
      </c>
      <c r="U2709" s="20">
        <f>HYPERLINK("https://vnm.spiral.com.vn//uploaded/20210513/EDEAC360-5A8E-4427-AD30-954227A6A61B.jpg","08:44:46")</f>
      </c>
      <c r="V2709" s="18">
        <v>0.01755787037037037</v>
      </c>
      <c r="W2709" s="15" t="s">
        <v>13812</v>
      </c>
      <c r="X2709" s="15" t="s">
        <v>13813</v>
      </c>
      <c r="Y2709" s="15" t="s">
        <v>35</v>
      </c>
      <c r="Z2709" s="19">
        <v>0</v>
      </c>
      <c r="AA2709" s="15">
        <v>0</v>
      </c>
      <c r="AB2709" s="15" t="s">
        <v>35</v>
      </c>
    </row>
    <row r="2710">
      <c r="A2710" s="15">
        <v>2706</v>
      </c>
      <c r="B2710" s="15" t="s">
        <v>103</v>
      </c>
      <c r="C2710" s="15" t="s">
        <v>2116</v>
      </c>
      <c r="D2710" s="15" t="s">
        <v>35</v>
      </c>
      <c r="E2710" s="15" t="s">
        <v>35</v>
      </c>
      <c r="F2710" s="15" t="s">
        <v>13814</v>
      </c>
      <c r="G2710" s="15" t="s">
        <v>36</v>
      </c>
      <c r="H2710" s="15" t="s">
        <v>13815</v>
      </c>
      <c r="I2710" s="15" t="s">
        <v>13816</v>
      </c>
      <c r="J2710" s="15" t="s">
        <v>13817</v>
      </c>
      <c r="K2710" s="15" t="s">
        <v>40</v>
      </c>
      <c r="L2710" s="15" t="s">
        <v>41</v>
      </c>
      <c r="M2710" s="15" t="s">
        <v>108</v>
      </c>
      <c r="N2710" s="15" t="s">
        <v>109</v>
      </c>
      <c r="O2710" s="15" t="s">
        <v>44</v>
      </c>
      <c r="P2710" s="15" t="s">
        <v>13818</v>
      </c>
      <c r="Q2710" s="15" t="s">
        <v>2529</v>
      </c>
      <c r="R2710" s="16">
        <v>44329</v>
      </c>
      <c r="S2710" s="17" t="s">
        <v>13344</v>
      </c>
      <c r="T2710" s="20">
        <f>HYPERLINK("https://vnm.spiral.com.vn//uploaded/20210513/27c5ca93-b1da-4de6-b017-cf1d26e1c07b.JPEG","08:44:05")</f>
      </c>
      <c r="U2710" s="18"/>
      <c r="V2710" s="18" t="s">
        <v>35</v>
      </c>
      <c r="W2710" s="15" t="s">
        <v>13819</v>
      </c>
      <c r="X2710" s="15" t="s">
        <v>35</v>
      </c>
      <c r="Y2710" s="15" t="s">
        <v>35</v>
      </c>
      <c r="Z2710" s="19">
        <v>0</v>
      </c>
      <c r="AA2710" s="15">
        <v>0</v>
      </c>
      <c r="AB2710" s="15" t="s">
        <v>35</v>
      </c>
    </row>
    <row r="2711">
      <c r="A2711" s="15">
        <v>2707</v>
      </c>
      <c r="B2711" s="15" t="s">
        <v>49</v>
      </c>
      <c r="C2711" s="15" t="s">
        <v>369</v>
      </c>
      <c r="D2711" s="15" t="s">
        <v>432</v>
      </c>
      <c r="E2711" s="15" t="s">
        <v>116</v>
      </c>
      <c r="F2711" s="15" t="s">
        <v>35</v>
      </c>
      <c r="G2711" s="15" t="s">
        <v>74</v>
      </c>
      <c r="H2711" s="15" t="s">
        <v>13820</v>
      </c>
      <c r="I2711" s="15" t="s">
        <v>13821</v>
      </c>
      <c r="J2711" s="15" t="s">
        <v>13822</v>
      </c>
      <c r="K2711" s="15" t="s">
        <v>166</v>
      </c>
      <c r="L2711" s="15" t="s">
        <v>167</v>
      </c>
      <c r="M2711" s="15" t="s">
        <v>168</v>
      </c>
      <c r="N2711" s="15" t="s">
        <v>169</v>
      </c>
      <c r="O2711" s="15" t="s">
        <v>82</v>
      </c>
      <c r="P2711" s="15" t="s">
        <v>5228</v>
      </c>
      <c r="Q2711" s="15" t="s">
        <v>5229</v>
      </c>
      <c r="R2711" s="16">
        <v>44329</v>
      </c>
      <c r="S2711" s="17" t="s">
        <v>70</v>
      </c>
      <c r="T2711" s="20">
        <f>HYPERLINK("https://vnm.spiral.com.vn//uploaded/20210513/CB0A5D3A-D4B5-4EBD-B443-3B09D4FA90A8.jpg","07:39:55")</f>
      </c>
      <c r="U2711" s="20">
        <f>HYPERLINK("https://vnm.spiral.com.vn//uploaded/20210513/969BF8FB-0B22-4FA4-9564-CF9FEC4B6AD6.jpg","08:43:56")</f>
      </c>
      <c r="V2711" s="18">
        <v>0.04445601851851852</v>
      </c>
      <c r="W2711" s="15" t="s">
        <v>13823</v>
      </c>
      <c r="X2711" s="15" t="s">
        <v>13824</v>
      </c>
      <c r="Y2711" s="15" t="s">
        <v>35</v>
      </c>
      <c r="Z2711" s="19">
        <v>0</v>
      </c>
      <c r="AA2711" s="15">
        <v>0</v>
      </c>
      <c r="AB2711" s="15" t="s">
        <v>35</v>
      </c>
    </row>
    <row r="2712">
      <c r="A2712" s="15">
        <v>2708</v>
      </c>
      <c r="B2712" s="15" t="s">
        <v>246</v>
      </c>
      <c r="C2712" s="15" t="s">
        <v>259</v>
      </c>
      <c r="D2712" s="15" t="s">
        <v>35</v>
      </c>
      <c r="E2712" s="15" t="s">
        <v>35</v>
      </c>
      <c r="F2712" s="15" t="s">
        <v>1352</v>
      </c>
      <c r="G2712" s="15" t="s">
        <v>36</v>
      </c>
      <c r="H2712" s="15" t="s">
        <v>13825</v>
      </c>
      <c r="I2712" s="15" t="s">
        <v>5587</v>
      </c>
      <c r="J2712" s="15" t="s">
        <v>13826</v>
      </c>
      <c r="K2712" s="15" t="s">
        <v>40</v>
      </c>
      <c r="L2712" s="15" t="s">
        <v>41</v>
      </c>
      <c r="M2712" s="15" t="s">
        <v>252</v>
      </c>
      <c r="N2712" s="15" t="s">
        <v>253</v>
      </c>
      <c r="O2712" s="15" t="s">
        <v>44</v>
      </c>
      <c r="P2712" s="15" t="s">
        <v>13827</v>
      </c>
      <c r="Q2712" s="15" t="s">
        <v>13828</v>
      </c>
      <c r="R2712" s="16">
        <v>44329</v>
      </c>
      <c r="S2712" s="17" t="s">
        <v>13829</v>
      </c>
      <c r="T2712" s="20">
        <f>HYPERLINK("https://vnm.spiral.com.vn//uploaded/20210513/59470c70-2d0a-44ed-8603-e8aad9b5fd1b.JPEG","08:43:46")</f>
      </c>
      <c r="U2712" s="18"/>
      <c r="V2712" s="18" t="s">
        <v>35</v>
      </c>
      <c r="W2712" s="15" t="s">
        <v>13830</v>
      </c>
      <c r="X2712" s="15" t="s">
        <v>35</v>
      </c>
      <c r="Y2712" s="15" t="s">
        <v>35</v>
      </c>
      <c r="Z2712" s="19">
        <v>0</v>
      </c>
      <c r="AA2712" s="15">
        <v>0</v>
      </c>
      <c r="AB2712" s="15" t="s">
        <v>35</v>
      </c>
    </row>
    <row r="2713">
      <c r="A2713" s="15">
        <v>2709</v>
      </c>
      <c r="B2713" s="15" t="s">
        <v>87</v>
      </c>
      <c r="C2713" s="15" t="s">
        <v>88</v>
      </c>
      <c r="D2713" s="15" t="s">
        <v>35</v>
      </c>
      <c r="E2713" s="15" t="s">
        <v>35</v>
      </c>
      <c r="F2713" s="15" t="s">
        <v>35</v>
      </c>
      <c r="G2713" s="15" t="s">
        <v>74</v>
      </c>
      <c r="H2713" s="15" t="s">
        <v>13831</v>
      </c>
      <c r="I2713" s="15" t="s">
        <v>13832</v>
      </c>
      <c r="J2713" s="15" t="s">
        <v>13548</v>
      </c>
      <c r="K2713" s="15" t="s">
        <v>888</v>
      </c>
      <c r="L2713" s="15" t="s">
        <v>889</v>
      </c>
      <c r="M2713" s="15" t="s">
        <v>924</v>
      </c>
      <c r="N2713" s="15" t="s">
        <v>925</v>
      </c>
      <c r="O2713" s="15" t="s">
        <v>82</v>
      </c>
      <c r="P2713" s="15" t="s">
        <v>926</v>
      </c>
      <c r="Q2713" s="15" t="s">
        <v>927</v>
      </c>
      <c r="R2713" s="16">
        <v>44329</v>
      </c>
      <c r="S2713" s="17" t="s">
        <v>70</v>
      </c>
      <c r="T2713" s="20">
        <f>HYPERLINK("https://vnm.spiral.com.vn//uploaded/20210513/609BFD65-4659-406F-8AD8-DB958E236984.jpg","08:26:43")</f>
      </c>
      <c r="U2713" s="20">
        <f>HYPERLINK("https://vnm.spiral.com.vn//uploaded/20210513/F0BFB594-261F-4A95-B153-943418B1A753.jpg","08:42:41")</f>
      </c>
      <c r="V2713" s="18">
        <v>0.011087962962962963</v>
      </c>
      <c r="W2713" s="15" t="s">
        <v>13833</v>
      </c>
      <c r="X2713" s="15" t="s">
        <v>13834</v>
      </c>
      <c r="Y2713" s="15" t="s">
        <v>35</v>
      </c>
      <c r="Z2713" s="19">
        <v>0</v>
      </c>
      <c r="AA2713" s="15">
        <v>0</v>
      </c>
      <c r="AB2713" s="15" t="s">
        <v>35</v>
      </c>
    </row>
    <row r="2714">
      <c r="A2714" s="15">
        <v>2710</v>
      </c>
      <c r="B2714" s="15" t="s">
        <v>343</v>
      </c>
      <c r="C2714" s="15" t="s">
        <v>344</v>
      </c>
      <c r="D2714" s="15" t="s">
        <v>536</v>
      </c>
      <c r="E2714" s="15" t="s">
        <v>116</v>
      </c>
      <c r="F2714" s="15" t="s">
        <v>35</v>
      </c>
      <c r="G2714" s="15" t="s">
        <v>74</v>
      </c>
      <c r="H2714" s="15" t="s">
        <v>13835</v>
      </c>
      <c r="I2714" s="15" t="s">
        <v>13836</v>
      </c>
      <c r="J2714" s="15" t="s">
        <v>13837</v>
      </c>
      <c r="K2714" s="15" t="s">
        <v>997</v>
      </c>
      <c r="L2714" s="15" t="s">
        <v>998</v>
      </c>
      <c r="M2714" s="15" t="s">
        <v>1325</v>
      </c>
      <c r="N2714" s="15" t="s">
        <v>1326</v>
      </c>
      <c r="O2714" s="15" t="s">
        <v>82</v>
      </c>
      <c r="P2714" s="15" t="s">
        <v>1327</v>
      </c>
      <c r="Q2714" s="15" t="s">
        <v>1328</v>
      </c>
      <c r="R2714" s="16">
        <v>44329</v>
      </c>
      <c r="S2714" s="17" t="s">
        <v>70</v>
      </c>
      <c r="T2714" s="20">
        <f>HYPERLINK("https://vnm.spiral.com.vn//uploaded/20210513/F89F8943-0259-4098-A52F-B41C10231843.jpg","07:43:15")</f>
      </c>
      <c r="U2714" s="20">
        <f>HYPERLINK("https://vnm.spiral.com.vn//uploaded/20210513/D76F41DD-B56B-45C9-ADC2-1B1A1D16DFE2.jpg","08:42:36")</f>
      </c>
      <c r="V2714" s="18">
        <v>0.04121527777777778</v>
      </c>
      <c r="W2714" s="15" t="s">
        <v>13838</v>
      </c>
      <c r="X2714" s="15" t="s">
        <v>13839</v>
      </c>
      <c r="Y2714" s="15" t="s">
        <v>35</v>
      </c>
      <c r="Z2714" s="19">
        <v>0</v>
      </c>
      <c r="AA2714" s="15">
        <v>0</v>
      </c>
      <c r="AB2714" s="15" t="s">
        <v>35</v>
      </c>
    </row>
    <row r="2715">
      <c r="A2715" s="15">
        <v>2711</v>
      </c>
      <c r="B2715" s="15" t="s">
        <v>33</v>
      </c>
      <c r="C2715" s="15" t="s">
        <v>951</v>
      </c>
      <c r="D2715" s="15" t="s">
        <v>357</v>
      </c>
      <c r="E2715" s="15" t="s">
        <v>35</v>
      </c>
      <c r="F2715" s="15" t="s">
        <v>35</v>
      </c>
      <c r="G2715" s="15" t="s">
        <v>74</v>
      </c>
      <c r="H2715" s="15" t="s">
        <v>13840</v>
      </c>
      <c r="I2715" s="15" t="s">
        <v>13841</v>
      </c>
      <c r="J2715" s="15" t="s">
        <v>13842</v>
      </c>
      <c r="K2715" s="15" t="s">
        <v>540</v>
      </c>
      <c r="L2715" s="15" t="s">
        <v>541</v>
      </c>
      <c r="M2715" s="15" t="s">
        <v>78</v>
      </c>
      <c r="N2715" s="15" t="s">
        <v>79</v>
      </c>
      <c r="O2715" s="15" t="s">
        <v>98</v>
      </c>
      <c r="P2715" s="15" t="s">
        <v>80</v>
      </c>
      <c r="Q2715" s="15" t="s">
        <v>81</v>
      </c>
      <c r="R2715" s="16">
        <v>44329</v>
      </c>
      <c r="S2715" s="17" t="s">
        <v>35</v>
      </c>
      <c r="T2715" s="20">
        <f>HYPERLINK("https://vnm.spiral.com.vn//uploaded/20210513/FFF55327-4060-47D4-8A8B-C2459E3133EC.jpg","07:58:40")</f>
      </c>
      <c r="U2715" s="20">
        <f>HYPERLINK("https://vnm.spiral.com.vn//uploaded/20210513/39A6686D-7182-439A-8E42-56D2774EDAB2.jpg","08:42:28")</f>
      </c>
      <c r="V2715" s="18">
        <v>0.030416666666666668</v>
      </c>
      <c r="W2715" s="15" t="s">
        <v>13843</v>
      </c>
      <c r="X2715" s="15" t="s">
        <v>13844</v>
      </c>
      <c r="Y2715" s="15" t="s">
        <v>35</v>
      </c>
      <c r="Z2715" s="19">
        <v>0</v>
      </c>
      <c r="AA2715" s="15">
        <v>0</v>
      </c>
      <c r="AB2715" s="15" t="s">
        <v>35</v>
      </c>
    </row>
    <row r="2716">
      <c r="A2716" s="15">
        <v>2712</v>
      </c>
      <c r="B2716" s="15" t="s">
        <v>103</v>
      </c>
      <c r="C2716" s="15" t="s">
        <v>104</v>
      </c>
      <c r="D2716" s="15" t="s">
        <v>35</v>
      </c>
      <c r="E2716" s="15" t="s">
        <v>35</v>
      </c>
      <c r="F2716" s="15" t="s">
        <v>35</v>
      </c>
      <c r="G2716" s="15" t="s">
        <v>36</v>
      </c>
      <c r="H2716" s="15" t="s">
        <v>13845</v>
      </c>
      <c r="I2716" s="15" t="s">
        <v>13846</v>
      </c>
      <c r="J2716" s="15" t="s">
        <v>13847</v>
      </c>
      <c r="K2716" s="15" t="s">
        <v>40</v>
      </c>
      <c r="L2716" s="15" t="s">
        <v>41</v>
      </c>
      <c r="M2716" s="15" t="s">
        <v>108</v>
      </c>
      <c r="N2716" s="15" t="s">
        <v>109</v>
      </c>
      <c r="O2716" s="15" t="s">
        <v>44</v>
      </c>
      <c r="P2716" s="15" t="s">
        <v>13848</v>
      </c>
      <c r="Q2716" s="15" t="s">
        <v>13849</v>
      </c>
      <c r="R2716" s="16">
        <v>44329</v>
      </c>
      <c r="S2716" s="17" t="s">
        <v>70</v>
      </c>
      <c r="T2716" s="20">
        <f>HYPERLINK("https://vnm.spiral.com.vn//uploaded/20210513/cccdaa1e-eabb-451b-b50e-db7692158d8e.JPEG","08:41:36")</f>
      </c>
      <c r="U2716" s="18"/>
      <c r="V2716" s="18" t="s">
        <v>35</v>
      </c>
      <c r="W2716" s="15" t="s">
        <v>13850</v>
      </c>
      <c r="X2716" s="15" t="s">
        <v>35</v>
      </c>
      <c r="Y2716" s="15" t="s">
        <v>35</v>
      </c>
      <c r="Z2716" s="19">
        <v>0</v>
      </c>
      <c r="AA2716" s="15">
        <v>0</v>
      </c>
      <c r="AB2716" s="15" t="s">
        <v>35</v>
      </c>
    </row>
    <row r="2717">
      <c r="A2717" s="15">
        <v>2713</v>
      </c>
      <c r="B2717" s="15" t="s">
        <v>103</v>
      </c>
      <c r="C2717" s="15" t="s">
        <v>2116</v>
      </c>
      <c r="D2717" s="15" t="s">
        <v>135</v>
      </c>
      <c r="E2717" s="15" t="s">
        <v>116</v>
      </c>
      <c r="F2717" s="15" t="s">
        <v>35</v>
      </c>
      <c r="G2717" s="15" t="s">
        <v>74</v>
      </c>
      <c r="H2717" s="15" t="s">
        <v>13851</v>
      </c>
      <c r="I2717" s="15" t="s">
        <v>13852</v>
      </c>
      <c r="J2717" s="15" t="s">
        <v>13853</v>
      </c>
      <c r="K2717" s="15" t="s">
        <v>190</v>
      </c>
      <c r="L2717" s="15" t="s">
        <v>191</v>
      </c>
      <c r="M2717" s="15" t="s">
        <v>178</v>
      </c>
      <c r="N2717" s="15" t="s">
        <v>179</v>
      </c>
      <c r="O2717" s="15" t="s">
        <v>98</v>
      </c>
      <c r="P2717" s="15" t="s">
        <v>2120</v>
      </c>
      <c r="Q2717" s="15" t="s">
        <v>2121</v>
      </c>
      <c r="R2717" s="16">
        <v>44329</v>
      </c>
      <c r="S2717" s="17" t="s">
        <v>70</v>
      </c>
      <c r="T2717" s="20">
        <f>HYPERLINK("https://vnm.spiral.com.vn//uploaded/20210513/142689D4-267F-412C-96EB-33E057ED00FE.jpg","06:41:36")</f>
      </c>
      <c r="U2717" s="20">
        <f>HYPERLINK("https://vnm.spiral.com.vn//uploaded/20210513/D4592DD1-3964-4AC4-90B7-DF59A06F66F2.jpg","08:41:25")</f>
      </c>
      <c r="V2717" s="18">
        <v>0.08320601851851851</v>
      </c>
      <c r="W2717" s="15" t="s">
        <v>13854</v>
      </c>
      <c r="X2717" s="15" t="s">
        <v>13855</v>
      </c>
      <c r="Y2717" s="15" t="s">
        <v>35</v>
      </c>
      <c r="Z2717" s="19">
        <v>0</v>
      </c>
      <c r="AA2717" s="15">
        <v>0</v>
      </c>
      <c r="AB2717" s="15" t="s">
        <v>35</v>
      </c>
    </row>
    <row r="2718">
      <c r="A2718" s="15">
        <v>2714</v>
      </c>
      <c r="B2718" s="15" t="s">
        <v>343</v>
      </c>
      <c r="C2718" s="15" t="s">
        <v>344</v>
      </c>
      <c r="D2718" s="15" t="s">
        <v>2601</v>
      </c>
      <c r="E2718" s="15" t="s">
        <v>35</v>
      </c>
      <c r="F2718" s="15" t="s">
        <v>35</v>
      </c>
      <c r="G2718" s="15" t="s">
        <v>74</v>
      </c>
      <c r="H2718" s="15" t="s">
        <v>13856</v>
      </c>
      <c r="I2718" s="15" t="s">
        <v>13857</v>
      </c>
      <c r="J2718" s="15" t="s">
        <v>13858</v>
      </c>
      <c r="K2718" s="15" t="s">
        <v>584</v>
      </c>
      <c r="L2718" s="15" t="s">
        <v>585</v>
      </c>
      <c r="M2718" s="15" t="s">
        <v>586</v>
      </c>
      <c r="N2718" s="15" t="s">
        <v>587</v>
      </c>
      <c r="O2718" s="15" t="s">
        <v>82</v>
      </c>
      <c r="P2718" s="15" t="s">
        <v>1385</v>
      </c>
      <c r="Q2718" s="15" t="s">
        <v>1386</v>
      </c>
      <c r="R2718" s="16">
        <v>44329</v>
      </c>
      <c r="S2718" s="17" t="s">
        <v>70</v>
      </c>
      <c r="T2718" s="20">
        <f>HYPERLINK("https://vnm.spiral.com.vn//uploaded/20210513/7f48750c-5c58-4a74-bdd9-4a3d404f9c34.JPEG","07:59:12")</f>
      </c>
      <c r="U2718" s="20">
        <f>HYPERLINK("https://vnm.spiral.com.vn//uploaded/20210513/b1d1f88b-1993-4067-aab9-c606d4c84fc9.JPEG","08:41:09")</f>
      </c>
      <c r="V2718" s="18">
        <v>0.029131944444444443</v>
      </c>
      <c r="W2718" s="15" t="s">
        <v>13859</v>
      </c>
      <c r="X2718" s="15" t="s">
        <v>13860</v>
      </c>
      <c r="Y2718" s="15" t="s">
        <v>35</v>
      </c>
      <c r="Z2718" s="19">
        <v>0</v>
      </c>
      <c r="AA2718" s="15">
        <v>0</v>
      </c>
      <c r="AB2718" s="15" t="s">
        <v>35</v>
      </c>
    </row>
    <row r="2719">
      <c r="A2719" s="15">
        <v>2715</v>
      </c>
      <c r="B2719" s="15" t="s">
        <v>87</v>
      </c>
      <c r="C2719" s="15" t="s">
        <v>88</v>
      </c>
      <c r="D2719" s="15" t="s">
        <v>35</v>
      </c>
      <c r="E2719" s="15" t="s">
        <v>35</v>
      </c>
      <c r="F2719" s="15" t="s">
        <v>35</v>
      </c>
      <c r="G2719" s="15" t="s">
        <v>74</v>
      </c>
      <c r="H2719" s="15" t="s">
        <v>13861</v>
      </c>
      <c r="I2719" s="15" t="s">
        <v>13862</v>
      </c>
      <c r="J2719" s="15" t="s">
        <v>13863</v>
      </c>
      <c r="K2719" s="15" t="s">
        <v>888</v>
      </c>
      <c r="L2719" s="15" t="s">
        <v>889</v>
      </c>
      <c r="M2719" s="15" t="s">
        <v>924</v>
      </c>
      <c r="N2719" s="15" t="s">
        <v>925</v>
      </c>
      <c r="O2719" s="15" t="s">
        <v>82</v>
      </c>
      <c r="P2719" s="15" t="s">
        <v>1893</v>
      </c>
      <c r="Q2719" s="15" t="s">
        <v>1894</v>
      </c>
      <c r="R2719" s="16">
        <v>44329</v>
      </c>
      <c r="S2719" s="17" t="s">
        <v>70</v>
      </c>
      <c r="T2719" s="20">
        <f>HYPERLINK("https://vnm.spiral.com.vn//uploaded/20210513/6D903247-00D3-43A7-B731-4078193CA78C.jpg","08:25:46")</f>
      </c>
      <c r="U2719" s="20">
        <f>HYPERLINK("https://vnm.spiral.com.vn//uploaded/20210513/5D873900-55C4-4678-B0BE-C935FA31FA44.jpg","08:41:08")</f>
      </c>
      <c r="V2719" s="18">
        <v>0.010671296296296297</v>
      </c>
      <c r="W2719" s="15" t="s">
        <v>13864</v>
      </c>
      <c r="X2719" s="15" t="s">
        <v>13865</v>
      </c>
      <c r="Y2719" s="15" t="s">
        <v>35</v>
      </c>
      <c r="Z2719" s="19">
        <v>0</v>
      </c>
      <c r="AA2719" s="15">
        <v>0</v>
      </c>
      <c r="AB2719" s="15" t="s">
        <v>35</v>
      </c>
    </row>
    <row r="2720">
      <c r="A2720" s="15">
        <v>2716</v>
      </c>
      <c r="B2720" s="15" t="s">
        <v>87</v>
      </c>
      <c r="C2720" s="15" t="s">
        <v>88</v>
      </c>
      <c r="D2720" s="15" t="s">
        <v>610</v>
      </c>
      <c r="E2720" s="15" t="s">
        <v>90</v>
      </c>
      <c r="F2720" s="15" t="s">
        <v>35</v>
      </c>
      <c r="G2720" s="15" t="s">
        <v>74</v>
      </c>
      <c r="H2720" s="15" t="s">
        <v>13866</v>
      </c>
      <c r="I2720" s="15" t="s">
        <v>13867</v>
      </c>
      <c r="J2720" s="15" t="s">
        <v>13868</v>
      </c>
      <c r="K2720" s="15" t="s">
        <v>94</v>
      </c>
      <c r="L2720" s="15" t="s">
        <v>95</v>
      </c>
      <c r="M2720" s="15" t="s">
        <v>614</v>
      </c>
      <c r="N2720" s="15" t="s">
        <v>615</v>
      </c>
      <c r="O2720" s="15" t="s">
        <v>82</v>
      </c>
      <c r="P2720" s="15" t="s">
        <v>2583</v>
      </c>
      <c r="Q2720" s="15" t="s">
        <v>2584</v>
      </c>
      <c r="R2720" s="16">
        <v>44329</v>
      </c>
      <c r="S2720" s="17" t="s">
        <v>70</v>
      </c>
      <c r="T2720" s="20">
        <f>HYPERLINK("https://vnm.spiral.com.vn//uploaded/20210513/f7dd3f2c-02f3-403f-9eff-9a8311e25372.JPEG","07:51:35")</f>
      </c>
      <c r="U2720" s="20">
        <f>HYPERLINK("https://vnm.spiral.com.vn//uploaded/20210513/7f37d5a2-c19e-45c1-97ba-513b5b21aef0.JPEG","08:40:45")</f>
      </c>
      <c r="V2720" s="18">
        <v>0.03414351851851852</v>
      </c>
      <c r="W2720" s="15" t="s">
        <v>13869</v>
      </c>
      <c r="X2720" s="15" t="s">
        <v>13870</v>
      </c>
      <c r="Y2720" s="15" t="s">
        <v>35</v>
      </c>
      <c r="Z2720" s="19">
        <v>0</v>
      </c>
      <c r="AA2720" s="15">
        <v>0</v>
      </c>
      <c r="AB2720" s="15" t="s">
        <v>35</v>
      </c>
    </row>
    <row r="2721">
      <c r="A2721" s="15">
        <v>2717</v>
      </c>
      <c r="B2721" s="15" t="s">
        <v>103</v>
      </c>
      <c r="C2721" s="15" t="s">
        <v>1078</v>
      </c>
      <c r="D2721" s="15" t="s">
        <v>135</v>
      </c>
      <c r="E2721" s="15" t="s">
        <v>116</v>
      </c>
      <c r="F2721" s="15" t="s">
        <v>35</v>
      </c>
      <c r="G2721" s="15" t="s">
        <v>74</v>
      </c>
      <c r="H2721" s="15" t="s">
        <v>13871</v>
      </c>
      <c r="I2721" s="15" t="s">
        <v>13872</v>
      </c>
      <c r="J2721" s="15" t="s">
        <v>13873</v>
      </c>
      <c r="K2721" s="15" t="s">
        <v>436</v>
      </c>
      <c r="L2721" s="15" t="s">
        <v>437</v>
      </c>
      <c r="M2721" s="15" t="s">
        <v>1429</v>
      </c>
      <c r="N2721" s="15" t="s">
        <v>1430</v>
      </c>
      <c r="O2721" s="15" t="s">
        <v>82</v>
      </c>
      <c r="P2721" s="15" t="s">
        <v>1825</v>
      </c>
      <c r="Q2721" s="15" t="s">
        <v>144</v>
      </c>
      <c r="R2721" s="16">
        <v>44329</v>
      </c>
      <c r="S2721" s="17" t="s">
        <v>70</v>
      </c>
      <c r="T2721" s="20">
        <f>HYPERLINK("https://vnm.spiral.com.vn//uploaded/20210513/49540740-d196-4560-9362-91f9f51e3952.JPEG","07:49:18")</f>
      </c>
      <c r="U2721" s="20">
        <f>HYPERLINK("https://vnm.spiral.com.vn//uploaded/20210513/eb1477fe-a4f7-4c52-aed9-79658875c66c.JPEG","08:40:43")</f>
      </c>
      <c r="V2721" s="18">
        <v>0.03570601851851852</v>
      </c>
      <c r="W2721" s="15" t="s">
        <v>13874</v>
      </c>
      <c r="X2721" s="15" t="s">
        <v>13875</v>
      </c>
      <c r="Y2721" s="15" t="s">
        <v>35</v>
      </c>
      <c r="Z2721" s="19">
        <v>0</v>
      </c>
      <c r="AA2721" s="15">
        <v>0</v>
      </c>
      <c r="AB2721" s="15" t="s">
        <v>35</v>
      </c>
    </row>
    <row r="2722">
      <c r="A2722" s="15">
        <v>2718</v>
      </c>
      <c r="B2722" s="15" t="s">
        <v>49</v>
      </c>
      <c r="C2722" s="15" t="s">
        <v>369</v>
      </c>
      <c r="D2722" s="15" t="s">
        <v>135</v>
      </c>
      <c r="E2722" s="15" t="s">
        <v>116</v>
      </c>
      <c r="F2722" s="15" t="s">
        <v>35</v>
      </c>
      <c r="G2722" s="15" t="s">
        <v>74</v>
      </c>
      <c r="H2722" s="15" t="s">
        <v>13876</v>
      </c>
      <c r="I2722" s="15" t="s">
        <v>13877</v>
      </c>
      <c r="J2722" s="15" t="s">
        <v>13878</v>
      </c>
      <c r="K2722" s="15" t="s">
        <v>168</v>
      </c>
      <c r="L2722" s="15" t="s">
        <v>169</v>
      </c>
      <c r="M2722" s="15" t="s">
        <v>383</v>
      </c>
      <c r="N2722" s="15" t="s">
        <v>384</v>
      </c>
      <c r="O2722" s="15" t="s">
        <v>82</v>
      </c>
      <c r="P2722" s="15" t="s">
        <v>1008</v>
      </c>
      <c r="Q2722" s="15" t="s">
        <v>1009</v>
      </c>
      <c r="R2722" s="16">
        <v>44329</v>
      </c>
      <c r="S2722" s="17" t="s">
        <v>70</v>
      </c>
      <c r="T2722" s="20">
        <f>HYPERLINK("https://vnm.spiral.com.vn//uploaded/20210513/F7F5307B-4395-4A3D-B67D-D36015659277.jpg","07:39:03")</f>
      </c>
      <c r="U2722" s="20">
        <f>HYPERLINK("https://vnm.spiral.com.vn//uploaded/20210513/527A71CA-FB20-4E56-8A8C-B209F2FA5B4C.jpg","08:40:21")</f>
      </c>
      <c r="V2722" s="18">
        <v>0.042569444444444444</v>
      </c>
      <c r="W2722" s="15" t="s">
        <v>13879</v>
      </c>
      <c r="X2722" s="15" t="s">
        <v>13880</v>
      </c>
      <c r="Y2722" s="15" t="s">
        <v>35</v>
      </c>
      <c r="Z2722" s="19">
        <v>0</v>
      </c>
      <c r="AA2722" s="15">
        <v>0</v>
      </c>
      <c r="AB2722" s="15" t="s">
        <v>35</v>
      </c>
    </row>
    <row r="2723">
      <c r="A2723" s="15">
        <v>2719</v>
      </c>
      <c r="B2723" s="15" t="s">
        <v>343</v>
      </c>
      <c r="C2723" s="15" t="s">
        <v>344</v>
      </c>
      <c r="D2723" s="15" t="s">
        <v>823</v>
      </c>
      <c r="E2723" s="15" t="s">
        <v>116</v>
      </c>
      <c r="F2723" s="15" t="s">
        <v>35</v>
      </c>
      <c r="G2723" s="15" t="s">
        <v>74</v>
      </c>
      <c r="H2723" s="15" t="s">
        <v>13881</v>
      </c>
      <c r="I2723" s="15" t="s">
        <v>13882</v>
      </c>
      <c r="J2723" s="15" t="s">
        <v>13348</v>
      </c>
      <c r="K2723" s="15" t="s">
        <v>540</v>
      </c>
      <c r="L2723" s="15" t="s">
        <v>541</v>
      </c>
      <c r="M2723" s="15" t="s">
        <v>584</v>
      </c>
      <c r="N2723" s="15" t="s">
        <v>585</v>
      </c>
      <c r="O2723" s="15" t="s">
        <v>98</v>
      </c>
      <c r="P2723" s="15" t="s">
        <v>827</v>
      </c>
      <c r="Q2723" s="15" t="s">
        <v>828</v>
      </c>
      <c r="R2723" s="16">
        <v>44329</v>
      </c>
      <c r="S2723" s="17" t="s">
        <v>70</v>
      </c>
      <c r="T2723" s="20">
        <f>HYPERLINK("https://vnm.spiral.com.vn//uploaded/20210513/311BDD7C-87CB-4B14-8131-EC9E22CACEA3.jpg","07:32:15")</f>
      </c>
      <c r="U2723" s="20">
        <f>HYPERLINK("https://vnm.spiral.com.vn//uploaded/20210513/F69777ED-1D5F-41ED-BA6F-590B4A624882.jpg","08:40:12")</f>
      </c>
      <c r="V2723" s="18">
        <v>0.0471875</v>
      </c>
      <c r="W2723" s="15" t="s">
        <v>13883</v>
      </c>
      <c r="X2723" s="15" t="s">
        <v>13405</v>
      </c>
      <c r="Y2723" s="15" t="s">
        <v>35</v>
      </c>
      <c r="Z2723" s="19">
        <v>0</v>
      </c>
      <c r="AA2723" s="15">
        <v>0</v>
      </c>
      <c r="AB2723" s="15" t="s">
        <v>35</v>
      </c>
    </row>
    <row r="2724">
      <c r="A2724" s="15">
        <v>2720</v>
      </c>
      <c r="B2724" s="15" t="s">
        <v>343</v>
      </c>
      <c r="C2724" s="15" t="s">
        <v>344</v>
      </c>
      <c r="D2724" s="15" t="s">
        <v>432</v>
      </c>
      <c r="E2724" s="15" t="s">
        <v>116</v>
      </c>
      <c r="F2724" s="15" t="s">
        <v>35</v>
      </c>
      <c r="G2724" s="15" t="s">
        <v>74</v>
      </c>
      <c r="H2724" s="15" t="s">
        <v>13884</v>
      </c>
      <c r="I2724" s="15" t="s">
        <v>13885</v>
      </c>
      <c r="J2724" s="15" t="s">
        <v>13886</v>
      </c>
      <c r="K2724" s="15" t="s">
        <v>1168</v>
      </c>
      <c r="L2724" s="15" t="s">
        <v>1169</v>
      </c>
      <c r="M2724" s="15" t="s">
        <v>1170</v>
      </c>
      <c r="N2724" s="15" t="s">
        <v>1171</v>
      </c>
      <c r="O2724" s="15" t="s">
        <v>82</v>
      </c>
      <c r="P2724" s="15" t="s">
        <v>1172</v>
      </c>
      <c r="Q2724" s="15" t="s">
        <v>1173</v>
      </c>
      <c r="R2724" s="16">
        <v>44329</v>
      </c>
      <c r="S2724" s="17" t="s">
        <v>70</v>
      </c>
      <c r="T2724" s="20">
        <f>HYPERLINK("https://vnm.spiral.com.vn//uploaded/20210513/5f84c8a1-1bcd-42b7-afd1-9b78e431455a.JPEG","07:49:00")</f>
      </c>
      <c r="U2724" s="20">
        <f>HYPERLINK("https://vnm.spiral.com.vn//uploaded/20210513/f1aa5b53-1d28-4304-b0a3-3f6c933b8054.JPEG","08:39:45")</f>
      </c>
      <c r="V2724" s="18">
        <v>0.035243055555555555</v>
      </c>
      <c r="W2724" s="15" t="s">
        <v>13887</v>
      </c>
      <c r="X2724" s="15" t="s">
        <v>13888</v>
      </c>
      <c r="Y2724" s="15" t="s">
        <v>35</v>
      </c>
      <c r="Z2724" s="19">
        <v>0</v>
      </c>
      <c r="AA2724" s="15">
        <v>0</v>
      </c>
      <c r="AB2724" s="15" t="s">
        <v>35</v>
      </c>
    </row>
    <row r="2725">
      <c r="A2725" s="15">
        <v>2721</v>
      </c>
      <c r="B2725" s="15" t="s">
        <v>87</v>
      </c>
      <c r="C2725" s="15" t="s">
        <v>88</v>
      </c>
      <c r="D2725" s="15" t="s">
        <v>610</v>
      </c>
      <c r="E2725" s="15" t="s">
        <v>90</v>
      </c>
      <c r="F2725" s="15" t="s">
        <v>35</v>
      </c>
      <c r="G2725" s="15" t="s">
        <v>74</v>
      </c>
      <c r="H2725" s="15" t="s">
        <v>13889</v>
      </c>
      <c r="I2725" s="15" t="s">
        <v>13890</v>
      </c>
      <c r="J2725" s="15" t="s">
        <v>13891</v>
      </c>
      <c r="K2725" s="15" t="s">
        <v>94</v>
      </c>
      <c r="L2725" s="15" t="s">
        <v>95</v>
      </c>
      <c r="M2725" s="15" t="s">
        <v>614</v>
      </c>
      <c r="N2725" s="15" t="s">
        <v>615</v>
      </c>
      <c r="O2725" s="15" t="s">
        <v>98</v>
      </c>
      <c r="P2725" s="15" t="s">
        <v>1769</v>
      </c>
      <c r="Q2725" s="15" t="s">
        <v>1770</v>
      </c>
      <c r="R2725" s="16">
        <v>44329</v>
      </c>
      <c r="S2725" s="17" t="s">
        <v>70</v>
      </c>
      <c r="T2725" s="20">
        <f>HYPERLINK("https://vnm.spiral.com.vn//uploaded/20210513/39936494-09E1-41EB-9E87-808C9CDD89EE.jpg","07:19:08")</f>
      </c>
      <c r="U2725" s="20">
        <f>HYPERLINK("https://vnm.spiral.com.vn//uploaded/20210513/51763236-7D37-4BC7-8808-DC9B05B2BA05.jpg","08:39:41")</f>
      </c>
      <c r="V2725" s="18">
        <v>0.0559375</v>
      </c>
      <c r="W2725" s="15" t="s">
        <v>12590</v>
      </c>
      <c r="X2725" s="15" t="s">
        <v>13892</v>
      </c>
      <c r="Y2725" s="15" t="s">
        <v>35</v>
      </c>
      <c r="Z2725" s="19">
        <v>0</v>
      </c>
      <c r="AA2725" s="15">
        <v>0</v>
      </c>
      <c r="AB2725" s="15" t="s">
        <v>35</v>
      </c>
    </row>
    <row r="2726">
      <c r="A2726" s="15">
        <v>2722</v>
      </c>
      <c r="B2726" s="15" t="s">
        <v>61</v>
      </c>
      <c r="C2726" s="15" t="s">
        <v>737</v>
      </c>
      <c r="D2726" s="15" t="s">
        <v>35</v>
      </c>
      <c r="E2726" s="15" t="s">
        <v>35</v>
      </c>
      <c r="F2726" s="15" t="s">
        <v>35</v>
      </c>
      <c r="G2726" s="15" t="s">
        <v>36</v>
      </c>
      <c r="H2726" s="15" t="s">
        <v>13893</v>
      </c>
      <c r="I2726" s="15" t="s">
        <v>13894</v>
      </c>
      <c r="J2726" s="15" t="s">
        <v>13895</v>
      </c>
      <c r="K2726" s="15" t="s">
        <v>40</v>
      </c>
      <c r="L2726" s="15" t="s">
        <v>41</v>
      </c>
      <c r="M2726" s="15" t="s">
        <v>205</v>
      </c>
      <c r="N2726" s="15" t="s">
        <v>206</v>
      </c>
      <c r="O2726" s="15" t="s">
        <v>44</v>
      </c>
      <c r="P2726" s="15" t="s">
        <v>13896</v>
      </c>
      <c r="Q2726" s="15" t="s">
        <v>13897</v>
      </c>
      <c r="R2726" s="16">
        <v>44329</v>
      </c>
      <c r="S2726" s="17" t="s">
        <v>13344</v>
      </c>
      <c r="T2726" s="20">
        <f>HYPERLINK("https://vnm.spiral.com.vn//uploaded/20210513/2D1BD702-3988-4AFF-9695-481651AD7AB5.jpg","08:39:37")</f>
      </c>
      <c r="U2726" s="18"/>
      <c r="V2726" s="18" t="s">
        <v>35</v>
      </c>
      <c r="W2726" s="15" t="s">
        <v>13898</v>
      </c>
      <c r="X2726" s="15" t="s">
        <v>35</v>
      </c>
      <c r="Y2726" s="15" t="s">
        <v>35</v>
      </c>
      <c r="Z2726" s="19">
        <v>0</v>
      </c>
      <c r="AA2726" s="15">
        <v>0</v>
      </c>
      <c r="AB2726" s="15" t="s">
        <v>35</v>
      </c>
    </row>
    <row r="2727">
      <c r="A2727" s="15">
        <v>2723</v>
      </c>
      <c r="B2727" s="15" t="s">
        <v>87</v>
      </c>
      <c r="C2727" s="15" t="s">
        <v>88</v>
      </c>
      <c r="D2727" s="15" t="s">
        <v>379</v>
      </c>
      <c r="E2727" s="15" t="s">
        <v>35</v>
      </c>
      <c r="F2727" s="15" t="s">
        <v>35</v>
      </c>
      <c r="G2727" s="15" t="s">
        <v>35</v>
      </c>
      <c r="H2727" s="15" t="s">
        <v>13899</v>
      </c>
      <c r="I2727" s="15" t="s">
        <v>13900</v>
      </c>
      <c r="J2727" s="15" t="s">
        <v>13901</v>
      </c>
      <c r="K2727" s="15" t="s">
        <v>94</v>
      </c>
      <c r="L2727" s="15" t="s">
        <v>95</v>
      </c>
      <c r="M2727" s="15" t="s">
        <v>748</v>
      </c>
      <c r="N2727" s="15" t="s">
        <v>749</v>
      </c>
      <c r="O2727" s="15" t="s">
        <v>98</v>
      </c>
      <c r="P2727" s="15" t="s">
        <v>750</v>
      </c>
      <c r="Q2727" s="15" t="s">
        <v>751</v>
      </c>
      <c r="R2727" s="16">
        <v>44329</v>
      </c>
      <c r="S2727" s="17" t="s">
        <v>70</v>
      </c>
      <c r="T2727" s="20">
        <f>HYPERLINK("https://vnm.spiral.com.vn//uploaded/20210513/5AB01B8F-B4A2-4DE8-ADC5-7073DF86CF54.jpg","08:15:20")</f>
      </c>
      <c r="U2727" s="20">
        <f>HYPERLINK("https://vnm.spiral.com.vn//uploaded/20210513/4E522077-FE54-449A-8E04-E648A5638430.jpg","08:39:28")</f>
      </c>
      <c r="V2727" s="18">
        <v>0.01675925925925926</v>
      </c>
      <c r="W2727" s="15" t="s">
        <v>13902</v>
      </c>
      <c r="X2727" s="15" t="s">
        <v>13903</v>
      </c>
      <c r="Y2727" s="15" t="s">
        <v>35</v>
      </c>
      <c r="Z2727" s="19">
        <v>0</v>
      </c>
      <c r="AA2727" s="15">
        <v>0</v>
      </c>
      <c r="AB2727" s="15" t="s">
        <v>35</v>
      </c>
    </row>
    <row r="2728">
      <c r="A2728" s="15">
        <v>2724</v>
      </c>
      <c r="B2728" s="15" t="s">
        <v>87</v>
      </c>
      <c r="C2728" s="15" t="s">
        <v>88</v>
      </c>
      <c r="D2728" s="15" t="s">
        <v>432</v>
      </c>
      <c r="E2728" s="15" t="s">
        <v>116</v>
      </c>
      <c r="F2728" s="15" t="s">
        <v>35</v>
      </c>
      <c r="G2728" s="15" t="s">
        <v>74</v>
      </c>
      <c r="H2728" s="15" t="s">
        <v>13904</v>
      </c>
      <c r="I2728" s="15" t="s">
        <v>13905</v>
      </c>
      <c r="J2728" s="15" t="s">
        <v>13906</v>
      </c>
      <c r="K2728" s="15" t="s">
        <v>94</v>
      </c>
      <c r="L2728" s="15" t="s">
        <v>95</v>
      </c>
      <c r="M2728" s="15" t="s">
        <v>625</v>
      </c>
      <c r="N2728" s="15" t="s">
        <v>626</v>
      </c>
      <c r="O2728" s="15" t="s">
        <v>98</v>
      </c>
      <c r="P2728" s="15" t="s">
        <v>1022</v>
      </c>
      <c r="Q2728" s="15" t="s">
        <v>1023</v>
      </c>
      <c r="R2728" s="16">
        <v>44329</v>
      </c>
      <c r="S2728" s="17" t="s">
        <v>70</v>
      </c>
      <c r="T2728" s="20">
        <f>HYPERLINK("https://vnm.spiral.com.vn//uploaded/20210513/da050deb-cd34-4b82-9d3c-d2d8447a6484.JPEG","07:55:58")</f>
      </c>
      <c r="U2728" s="20">
        <f>HYPERLINK("https://vnm.spiral.com.vn//uploaded/20210513/c73d2398-de0f-49ee-a274-3399e7f186e2.JPEG","08:39:22")</f>
      </c>
      <c r="V2728" s="18">
        <v>0.03013888888888889</v>
      </c>
      <c r="W2728" s="15" t="s">
        <v>13907</v>
      </c>
      <c r="X2728" s="15" t="s">
        <v>13908</v>
      </c>
      <c r="Y2728" s="15" t="s">
        <v>35</v>
      </c>
      <c r="Z2728" s="19">
        <v>0</v>
      </c>
      <c r="AA2728" s="15">
        <v>0</v>
      </c>
      <c r="AB2728" s="15" t="s">
        <v>35</v>
      </c>
    </row>
    <row r="2729">
      <c r="A2729" s="15">
        <v>2725</v>
      </c>
      <c r="B2729" s="15" t="s">
        <v>103</v>
      </c>
      <c r="C2729" s="15" t="s">
        <v>1078</v>
      </c>
      <c r="D2729" s="15" t="s">
        <v>432</v>
      </c>
      <c r="E2729" s="15" t="s">
        <v>116</v>
      </c>
      <c r="F2729" s="15" t="s">
        <v>35</v>
      </c>
      <c r="G2729" s="15" t="s">
        <v>74</v>
      </c>
      <c r="H2729" s="15" t="s">
        <v>13909</v>
      </c>
      <c r="I2729" s="15" t="s">
        <v>13910</v>
      </c>
      <c r="J2729" s="15" t="s">
        <v>13911</v>
      </c>
      <c r="K2729" s="15" t="s">
        <v>436</v>
      </c>
      <c r="L2729" s="15" t="s">
        <v>437</v>
      </c>
      <c r="M2729" s="15" t="s">
        <v>438</v>
      </c>
      <c r="N2729" s="15" t="s">
        <v>439</v>
      </c>
      <c r="O2729" s="15" t="s">
        <v>82</v>
      </c>
      <c r="P2729" s="15" t="s">
        <v>1082</v>
      </c>
      <c r="Q2729" s="15" t="s">
        <v>1083</v>
      </c>
      <c r="R2729" s="16">
        <v>44329</v>
      </c>
      <c r="S2729" s="17" t="s">
        <v>70</v>
      </c>
      <c r="T2729" s="20">
        <f>HYPERLINK("https://vnm.spiral.com.vn//uploaded/20210513/A986376E-DD73-4125-8E03-C5CA6659B6E8.jpg","07:59:54")</f>
      </c>
      <c r="U2729" s="20">
        <f>HYPERLINK("https://vnm.spiral.com.vn//uploaded/20210513/F8F59FDA-1DB9-4776-9171-8EEB79440755.jpg","08:39:21")</f>
      </c>
      <c r="V2729" s="18">
        <v>0.027395833333333335</v>
      </c>
      <c r="W2729" s="15" t="s">
        <v>13912</v>
      </c>
      <c r="X2729" s="15" t="s">
        <v>13913</v>
      </c>
      <c r="Y2729" s="15" t="s">
        <v>35</v>
      </c>
      <c r="Z2729" s="19">
        <v>0</v>
      </c>
      <c r="AA2729" s="15">
        <v>0</v>
      </c>
      <c r="AB2729" s="15" t="s">
        <v>35</v>
      </c>
    </row>
    <row r="2730">
      <c r="A2730" s="15">
        <v>2726</v>
      </c>
      <c r="B2730" s="15" t="s">
        <v>87</v>
      </c>
      <c r="C2730" s="15" t="s">
        <v>88</v>
      </c>
      <c r="D2730" s="15" t="s">
        <v>432</v>
      </c>
      <c r="E2730" s="15" t="s">
        <v>116</v>
      </c>
      <c r="F2730" s="15" t="s">
        <v>35</v>
      </c>
      <c r="G2730" s="15" t="s">
        <v>74</v>
      </c>
      <c r="H2730" s="15" t="s">
        <v>12184</v>
      </c>
      <c r="I2730" s="15" t="s">
        <v>12185</v>
      </c>
      <c r="J2730" s="15" t="s">
        <v>12186</v>
      </c>
      <c r="K2730" s="15" t="s">
        <v>94</v>
      </c>
      <c r="L2730" s="15" t="s">
        <v>95</v>
      </c>
      <c r="M2730" s="15" t="s">
        <v>625</v>
      </c>
      <c r="N2730" s="15" t="s">
        <v>626</v>
      </c>
      <c r="O2730" s="15" t="s">
        <v>98</v>
      </c>
      <c r="P2730" s="15" t="s">
        <v>627</v>
      </c>
      <c r="Q2730" s="15" t="s">
        <v>628</v>
      </c>
      <c r="R2730" s="16">
        <v>44329</v>
      </c>
      <c r="S2730" s="17" t="s">
        <v>70</v>
      </c>
      <c r="T2730" s="20">
        <f>HYPERLINK("https://vnm.spiral.com.vn//uploaded/20210513/f58c995f-ea93-46b2-885c-f4524cafa810.JPEG","07:58:41")</f>
      </c>
      <c r="U2730" s="20">
        <f>HYPERLINK("https://vnm.spiral.com.vn//uploaded/20210513/8b6fd88b-a34f-4571-b18b-d176ecc2cff8.JPEG","08:39:12")</f>
      </c>
      <c r="V2730" s="18">
        <v>0.028136574074074074</v>
      </c>
      <c r="W2730" s="15" t="s">
        <v>13914</v>
      </c>
      <c r="X2730" s="15" t="s">
        <v>13915</v>
      </c>
      <c r="Y2730" s="15" t="s">
        <v>35</v>
      </c>
      <c r="Z2730" s="19">
        <v>0</v>
      </c>
      <c r="AA2730" s="15">
        <v>0</v>
      </c>
      <c r="AB2730" s="15" t="s">
        <v>35</v>
      </c>
    </row>
    <row r="2731">
      <c r="A2731" s="15">
        <v>2727</v>
      </c>
      <c r="B2731" s="15" t="s">
        <v>61</v>
      </c>
      <c r="C2731" s="15" t="s">
        <v>904</v>
      </c>
      <c r="D2731" s="15" t="s">
        <v>432</v>
      </c>
      <c r="E2731" s="15" t="s">
        <v>116</v>
      </c>
      <c r="F2731" s="15" t="s">
        <v>35</v>
      </c>
      <c r="G2731" s="15" t="s">
        <v>74</v>
      </c>
      <c r="H2731" s="15" t="s">
        <v>13916</v>
      </c>
      <c r="I2731" s="15" t="s">
        <v>13917</v>
      </c>
      <c r="J2731" s="15" t="s">
        <v>13918</v>
      </c>
      <c r="K2731" s="15" t="s">
        <v>152</v>
      </c>
      <c r="L2731" s="15" t="s">
        <v>153</v>
      </c>
      <c r="M2731" s="15" t="s">
        <v>1586</v>
      </c>
      <c r="N2731" s="15" t="s">
        <v>1587</v>
      </c>
      <c r="O2731" s="15" t="s">
        <v>98</v>
      </c>
      <c r="P2731" s="15" t="s">
        <v>1588</v>
      </c>
      <c r="Q2731" s="15" t="s">
        <v>1589</v>
      </c>
      <c r="R2731" s="16">
        <v>44329</v>
      </c>
      <c r="S2731" s="17" t="s">
        <v>70</v>
      </c>
      <c r="T2731" s="20">
        <f>HYPERLINK("https://vnm.spiral.com.vn//uploaded/20210513/16AAED7D-E4A4-4C69-B276-F25086479AEC.jpg","08:00:24")</f>
      </c>
      <c r="U2731" s="20">
        <f>HYPERLINK("https://vnm.spiral.com.vn//uploaded/20210513/AEBAB401-EBD3-4CEF-9D18-58C23FCF01A2.jpg","08:39:02")</f>
      </c>
      <c r="V2731" s="18">
        <v>0.026828703703703705</v>
      </c>
      <c r="W2731" s="15" t="s">
        <v>13919</v>
      </c>
      <c r="X2731" s="15" t="s">
        <v>13920</v>
      </c>
      <c r="Y2731" s="15" t="s">
        <v>35</v>
      </c>
      <c r="Z2731" s="19">
        <v>0</v>
      </c>
      <c r="AA2731" s="15">
        <v>0</v>
      </c>
      <c r="AB2731" s="15" t="s">
        <v>35</v>
      </c>
    </row>
    <row r="2732">
      <c r="A2732" s="15">
        <v>2728</v>
      </c>
      <c r="B2732" s="15" t="s">
        <v>87</v>
      </c>
      <c r="C2732" s="15" t="s">
        <v>88</v>
      </c>
      <c r="D2732" s="15" t="s">
        <v>610</v>
      </c>
      <c r="E2732" s="15" t="s">
        <v>90</v>
      </c>
      <c r="F2732" s="15" t="s">
        <v>35</v>
      </c>
      <c r="G2732" s="15" t="s">
        <v>74</v>
      </c>
      <c r="H2732" s="15" t="s">
        <v>13921</v>
      </c>
      <c r="I2732" s="15" t="s">
        <v>13922</v>
      </c>
      <c r="J2732" s="15" t="s">
        <v>13923</v>
      </c>
      <c r="K2732" s="15" t="s">
        <v>94</v>
      </c>
      <c r="L2732" s="15" t="s">
        <v>95</v>
      </c>
      <c r="M2732" s="15" t="s">
        <v>614</v>
      </c>
      <c r="N2732" s="15" t="s">
        <v>615</v>
      </c>
      <c r="O2732" s="15" t="s">
        <v>98</v>
      </c>
      <c r="P2732" s="15" t="s">
        <v>616</v>
      </c>
      <c r="Q2732" s="15" t="s">
        <v>617</v>
      </c>
      <c r="R2732" s="16">
        <v>44329</v>
      </c>
      <c r="S2732" s="17" t="s">
        <v>70</v>
      </c>
      <c r="T2732" s="20">
        <f>HYPERLINK("https://vnm.spiral.com.vn//uploaded/20210513/EA2B99AD-2F60-4297-AC0A-BC03335E84D3.jpg","08:01:29")</f>
      </c>
      <c r="U2732" s="20">
        <f>HYPERLINK("https://vnm.spiral.com.vn//uploaded/20210513/1CD95704-9898-4C06-BC83-4B778DC1AA49.jpg","08:38:52")</f>
      </c>
      <c r="V2732" s="18">
        <v>0.02596064814814815</v>
      </c>
      <c r="W2732" s="15" t="s">
        <v>13924</v>
      </c>
      <c r="X2732" s="15" t="s">
        <v>13925</v>
      </c>
      <c r="Y2732" s="15" t="s">
        <v>35</v>
      </c>
      <c r="Z2732" s="19">
        <v>0</v>
      </c>
      <c r="AA2732" s="15">
        <v>0</v>
      </c>
      <c r="AB2732" s="15" t="s">
        <v>35</v>
      </c>
    </row>
    <row r="2733">
      <c r="A2733" s="15">
        <v>2729</v>
      </c>
      <c r="B2733" s="15" t="s">
        <v>343</v>
      </c>
      <c r="C2733" s="15" t="s">
        <v>1150</v>
      </c>
      <c r="D2733" s="15" t="s">
        <v>35</v>
      </c>
      <c r="E2733" s="15" t="s">
        <v>35</v>
      </c>
      <c r="F2733" s="15" t="s">
        <v>35</v>
      </c>
      <c r="G2733" s="15" t="s">
        <v>36</v>
      </c>
      <c r="H2733" s="15" t="s">
        <v>13926</v>
      </c>
      <c r="I2733" s="15" t="s">
        <v>13927</v>
      </c>
      <c r="J2733" s="15" t="s">
        <v>13928</v>
      </c>
      <c r="K2733" s="15" t="s">
        <v>40</v>
      </c>
      <c r="L2733" s="15" t="s">
        <v>41</v>
      </c>
      <c r="M2733" s="15" t="s">
        <v>409</v>
      </c>
      <c r="N2733" s="15" t="s">
        <v>410</v>
      </c>
      <c r="O2733" s="15" t="s">
        <v>44</v>
      </c>
      <c r="P2733" s="15" t="s">
        <v>13929</v>
      </c>
      <c r="Q2733" s="15" t="s">
        <v>13930</v>
      </c>
      <c r="R2733" s="16">
        <v>44329</v>
      </c>
      <c r="S2733" s="17" t="s">
        <v>13931</v>
      </c>
      <c r="T2733" s="20">
        <f>HYPERLINK("https://vnm.spiral.com.vn//uploaded/20210513/7B3EABC8-9608-4738-8413-8646940BAC41.jpg","08:38:16")</f>
      </c>
      <c r="U2733" s="18"/>
      <c r="V2733" s="18" t="s">
        <v>35</v>
      </c>
      <c r="W2733" s="15" t="s">
        <v>13932</v>
      </c>
      <c r="X2733" s="15" t="s">
        <v>35</v>
      </c>
      <c r="Y2733" s="15" t="s">
        <v>35</v>
      </c>
      <c r="Z2733" s="19">
        <v>0</v>
      </c>
      <c r="AA2733" s="15">
        <v>0</v>
      </c>
      <c r="AB2733" s="15" t="s">
        <v>35</v>
      </c>
    </row>
    <row r="2734">
      <c r="A2734" s="15">
        <v>2730</v>
      </c>
      <c r="B2734" s="15" t="s">
        <v>61</v>
      </c>
      <c r="C2734" s="15" t="s">
        <v>1730</v>
      </c>
      <c r="D2734" s="15" t="s">
        <v>35</v>
      </c>
      <c r="E2734" s="15" t="s">
        <v>35</v>
      </c>
      <c r="F2734" s="15" t="s">
        <v>35</v>
      </c>
      <c r="G2734" s="15" t="s">
        <v>36</v>
      </c>
      <c r="H2734" s="15" t="s">
        <v>13933</v>
      </c>
      <c r="I2734" s="15" t="s">
        <v>13934</v>
      </c>
      <c r="J2734" s="15" t="s">
        <v>13935</v>
      </c>
      <c r="K2734" s="15" t="s">
        <v>40</v>
      </c>
      <c r="L2734" s="15" t="s">
        <v>41</v>
      </c>
      <c r="M2734" s="15" t="s">
        <v>205</v>
      </c>
      <c r="N2734" s="15" t="s">
        <v>206</v>
      </c>
      <c r="O2734" s="15" t="s">
        <v>44</v>
      </c>
      <c r="P2734" s="15" t="s">
        <v>13936</v>
      </c>
      <c r="Q2734" s="15" t="s">
        <v>13937</v>
      </c>
      <c r="R2734" s="16">
        <v>44329</v>
      </c>
      <c r="S2734" s="17" t="s">
        <v>13344</v>
      </c>
      <c r="T2734" s="20">
        <f>HYPERLINK("https://vnm.spiral.com.vn//uploaded/20210513/4D824BF2-E100-49F4-893D-BBF1CA75E549.jpg","08:38:08")</f>
      </c>
      <c r="U2734" s="18"/>
      <c r="V2734" s="18" t="s">
        <v>35</v>
      </c>
      <c r="W2734" s="15" t="s">
        <v>13938</v>
      </c>
      <c r="X2734" s="15" t="s">
        <v>35</v>
      </c>
      <c r="Y2734" s="15" t="s">
        <v>35</v>
      </c>
      <c r="Z2734" s="19">
        <v>0</v>
      </c>
      <c r="AA2734" s="15">
        <v>0</v>
      </c>
      <c r="AB2734" s="15" t="s">
        <v>35</v>
      </c>
    </row>
    <row r="2735">
      <c r="A2735" s="15">
        <v>2731</v>
      </c>
      <c r="B2735" s="15" t="s">
        <v>87</v>
      </c>
      <c r="C2735" s="15" t="s">
        <v>88</v>
      </c>
      <c r="D2735" s="15" t="s">
        <v>610</v>
      </c>
      <c r="E2735" s="15" t="s">
        <v>90</v>
      </c>
      <c r="F2735" s="15" t="s">
        <v>35</v>
      </c>
      <c r="G2735" s="15" t="s">
        <v>74</v>
      </c>
      <c r="H2735" s="15" t="s">
        <v>13939</v>
      </c>
      <c r="I2735" s="15" t="s">
        <v>13940</v>
      </c>
      <c r="J2735" s="15" t="s">
        <v>13941</v>
      </c>
      <c r="K2735" s="15" t="s">
        <v>614</v>
      </c>
      <c r="L2735" s="15" t="s">
        <v>615</v>
      </c>
      <c r="M2735" s="15" t="s">
        <v>616</v>
      </c>
      <c r="N2735" s="15" t="s">
        <v>617</v>
      </c>
      <c r="O2735" s="15" t="s">
        <v>82</v>
      </c>
      <c r="P2735" s="15" t="s">
        <v>1251</v>
      </c>
      <c r="Q2735" s="15" t="s">
        <v>1252</v>
      </c>
      <c r="R2735" s="16">
        <v>44329</v>
      </c>
      <c r="S2735" s="17" t="s">
        <v>70</v>
      </c>
      <c r="T2735" s="20">
        <f>HYPERLINK("https://vnm.spiral.com.vn//uploaded/20210513/820E6BD2-716E-4AA8-9CE9-9469FC593EE3.jpg","07:59:29")</f>
      </c>
      <c r="U2735" s="20">
        <f>HYPERLINK("https://vnm.spiral.com.vn//uploaded/20210513/60474072-850F-4ABC-A4A4-1D8A1E027ACD.jpg","08:37:29")</f>
      </c>
      <c r="V2735" s="18">
        <v>0.02638888888888889</v>
      </c>
      <c r="W2735" s="15" t="s">
        <v>13942</v>
      </c>
      <c r="X2735" s="15" t="s">
        <v>13943</v>
      </c>
      <c r="Y2735" s="15" t="s">
        <v>35</v>
      </c>
      <c r="Z2735" s="19">
        <v>0</v>
      </c>
      <c r="AA2735" s="15">
        <v>0</v>
      </c>
      <c r="AB2735" s="15" t="s">
        <v>35</v>
      </c>
    </row>
    <row r="2736">
      <c r="A2736" s="15">
        <v>2732</v>
      </c>
      <c r="B2736" s="15" t="s">
        <v>87</v>
      </c>
      <c r="C2736" s="15" t="s">
        <v>88</v>
      </c>
      <c r="D2736" s="15" t="s">
        <v>432</v>
      </c>
      <c r="E2736" s="15" t="s">
        <v>116</v>
      </c>
      <c r="F2736" s="15" t="s">
        <v>35</v>
      </c>
      <c r="G2736" s="15" t="s">
        <v>74</v>
      </c>
      <c r="H2736" s="15" t="s">
        <v>13944</v>
      </c>
      <c r="I2736" s="15" t="s">
        <v>13945</v>
      </c>
      <c r="J2736" s="15" t="s">
        <v>13946</v>
      </c>
      <c r="K2736" s="15" t="s">
        <v>625</v>
      </c>
      <c r="L2736" s="15" t="s">
        <v>626</v>
      </c>
      <c r="M2736" s="15" t="s">
        <v>627</v>
      </c>
      <c r="N2736" s="15" t="s">
        <v>628</v>
      </c>
      <c r="O2736" s="15" t="s">
        <v>82</v>
      </c>
      <c r="P2736" s="15" t="s">
        <v>851</v>
      </c>
      <c r="Q2736" s="15" t="s">
        <v>852</v>
      </c>
      <c r="R2736" s="16">
        <v>44329</v>
      </c>
      <c r="S2736" s="17" t="s">
        <v>70</v>
      </c>
      <c r="T2736" s="20">
        <f>HYPERLINK("https://vnm.spiral.com.vn//uploaded/20210513/D13415F4-A82C-4E15-8922-6881623C07C3.jpg","07:41:54")</f>
      </c>
      <c r="U2736" s="20">
        <f>HYPERLINK("https://vnm.spiral.com.vn//uploaded/20210513/196439C5-7F8F-4B09-96D9-9FD5DB615D84.jpg","08:37:21")</f>
      </c>
      <c r="V2736" s="18">
        <v>0.03850694444444445</v>
      </c>
      <c r="W2736" s="15" t="s">
        <v>13947</v>
      </c>
      <c r="X2736" s="15" t="s">
        <v>13948</v>
      </c>
      <c r="Y2736" s="15" t="s">
        <v>35</v>
      </c>
      <c r="Z2736" s="19">
        <v>0</v>
      </c>
      <c r="AA2736" s="15">
        <v>0</v>
      </c>
      <c r="AB2736" s="15" t="s">
        <v>35</v>
      </c>
    </row>
    <row r="2737">
      <c r="A2737" s="15">
        <v>2733</v>
      </c>
      <c r="B2737" s="15" t="s">
        <v>87</v>
      </c>
      <c r="C2737" s="15" t="s">
        <v>88</v>
      </c>
      <c r="D2737" s="15" t="s">
        <v>432</v>
      </c>
      <c r="E2737" s="15" t="s">
        <v>116</v>
      </c>
      <c r="F2737" s="15" t="s">
        <v>35</v>
      </c>
      <c r="G2737" s="15" t="s">
        <v>74</v>
      </c>
      <c r="H2737" s="15" t="s">
        <v>13904</v>
      </c>
      <c r="I2737" s="15" t="s">
        <v>13905</v>
      </c>
      <c r="J2737" s="15" t="s">
        <v>13906</v>
      </c>
      <c r="K2737" s="15" t="s">
        <v>625</v>
      </c>
      <c r="L2737" s="15" t="s">
        <v>626</v>
      </c>
      <c r="M2737" s="15" t="s">
        <v>1022</v>
      </c>
      <c r="N2737" s="15" t="s">
        <v>1023</v>
      </c>
      <c r="O2737" s="15" t="s">
        <v>82</v>
      </c>
      <c r="P2737" s="15" t="s">
        <v>2209</v>
      </c>
      <c r="Q2737" s="15" t="s">
        <v>2210</v>
      </c>
      <c r="R2737" s="16">
        <v>44329</v>
      </c>
      <c r="S2737" s="17" t="s">
        <v>70</v>
      </c>
      <c r="T2737" s="20">
        <f>HYPERLINK("https://vnm.spiral.com.vn//uploaded/20210513/3008f8b8-aa18-4de9-98a3-41857b3c4715.jpg","07:49:32")</f>
      </c>
      <c r="U2737" s="20">
        <f>HYPERLINK("https://vnm.spiral.com.vn//uploaded/20210513/0fc1866f-023e-45de-a288-d65b682375a7.jpg","08:37:00")</f>
      </c>
      <c r="V2737" s="18">
        <v>0.032962962962962965</v>
      </c>
      <c r="W2737" s="15" t="s">
        <v>13949</v>
      </c>
      <c r="X2737" s="15" t="s">
        <v>13950</v>
      </c>
      <c r="Y2737" s="15" t="s">
        <v>35</v>
      </c>
      <c r="Z2737" s="19">
        <v>0</v>
      </c>
      <c r="AA2737" s="15">
        <v>0</v>
      </c>
      <c r="AB2737" s="15" t="s">
        <v>35</v>
      </c>
    </row>
    <row r="2738">
      <c r="A2738" s="15">
        <v>2734</v>
      </c>
      <c r="B2738" s="15" t="s">
        <v>87</v>
      </c>
      <c r="C2738" s="15" t="s">
        <v>88</v>
      </c>
      <c r="D2738" s="15" t="s">
        <v>357</v>
      </c>
      <c r="E2738" s="15" t="s">
        <v>90</v>
      </c>
      <c r="F2738" s="15" t="s">
        <v>35</v>
      </c>
      <c r="G2738" s="15" t="s">
        <v>74</v>
      </c>
      <c r="H2738" s="15" t="s">
        <v>13951</v>
      </c>
      <c r="I2738" s="15" t="s">
        <v>13952</v>
      </c>
      <c r="J2738" s="15" t="s">
        <v>13953</v>
      </c>
      <c r="K2738" s="15" t="s">
        <v>1570</v>
      </c>
      <c r="L2738" s="15" t="s">
        <v>1571</v>
      </c>
      <c r="M2738" s="15" t="s">
        <v>1572</v>
      </c>
      <c r="N2738" s="15" t="s">
        <v>1573</v>
      </c>
      <c r="O2738" s="15" t="s">
        <v>82</v>
      </c>
      <c r="P2738" s="15" t="s">
        <v>1579</v>
      </c>
      <c r="Q2738" s="15" t="s">
        <v>1580</v>
      </c>
      <c r="R2738" s="16">
        <v>44329</v>
      </c>
      <c r="S2738" s="17" t="s">
        <v>70</v>
      </c>
      <c r="T2738" s="20">
        <f>HYPERLINK("https://vnm.spiral.com.vn//uploaded/20210513/2AC4E32E-EB12-4025-A5C0-FE4CD1A6FF1E.jpg","07:52:13")</f>
      </c>
      <c r="U2738" s="20">
        <f>HYPERLINK("https://vnm.spiral.com.vn//uploaded/20210513/F4A7F399-FC1E-470B-A424-F7AC63D5B2C6.jpg","08:36:50")</f>
      </c>
      <c r="V2738" s="18">
        <v>0.030983796296296297</v>
      </c>
      <c r="W2738" s="15" t="s">
        <v>13954</v>
      </c>
      <c r="X2738" s="15" t="s">
        <v>13955</v>
      </c>
      <c r="Y2738" s="15" t="s">
        <v>35</v>
      </c>
      <c r="Z2738" s="19">
        <v>0</v>
      </c>
      <c r="AA2738" s="15">
        <v>0</v>
      </c>
      <c r="AB2738" s="15" t="s">
        <v>35</v>
      </c>
    </row>
    <row r="2739">
      <c r="A2739" s="15">
        <v>2735</v>
      </c>
      <c r="B2739" s="15" t="s">
        <v>87</v>
      </c>
      <c r="C2739" s="15" t="s">
        <v>88</v>
      </c>
      <c r="D2739" s="15" t="s">
        <v>135</v>
      </c>
      <c r="E2739" s="15" t="s">
        <v>116</v>
      </c>
      <c r="F2739" s="15" t="s">
        <v>35</v>
      </c>
      <c r="G2739" s="15" t="s">
        <v>74</v>
      </c>
      <c r="H2739" s="15" t="s">
        <v>13956</v>
      </c>
      <c r="I2739" s="15" t="s">
        <v>13957</v>
      </c>
      <c r="J2739" s="15" t="s">
        <v>13958</v>
      </c>
      <c r="K2739" s="15" t="s">
        <v>390</v>
      </c>
      <c r="L2739" s="15" t="s">
        <v>391</v>
      </c>
      <c r="M2739" s="15" t="s">
        <v>392</v>
      </c>
      <c r="N2739" s="15" t="s">
        <v>393</v>
      </c>
      <c r="O2739" s="15" t="s">
        <v>82</v>
      </c>
      <c r="P2739" s="15" t="s">
        <v>1980</v>
      </c>
      <c r="Q2739" s="15" t="s">
        <v>1981</v>
      </c>
      <c r="R2739" s="16">
        <v>44329</v>
      </c>
      <c r="S2739" s="17" t="s">
        <v>70</v>
      </c>
      <c r="T2739" s="20">
        <f>HYPERLINK("https://vnm.spiral.com.vn//uploaded/20210513/673d7f62-29ea-49eb-b4af-867855004162.JPEG","07:50:05")</f>
      </c>
      <c r="U2739" s="20">
        <f>HYPERLINK("https://vnm.spiral.com.vn//uploaded/20210513/8bef7a92-f4a9-4a58-8ea1-e4adbee48363.JPEG","08:36:47")</f>
      </c>
      <c r="V2739" s="18">
        <v>0.03243055555555555</v>
      </c>
      <c r="W2739" s="15" t="s">
        <v>13959</v>
      </c>
      <c r="X2739" s="15" t="s">
        <v>13960</v>
      </c>
      <c r="Y2739" s="15" t="s">
        <v>35</v>
      </c>
      <c r="Z2739" s="19">
        <v>0</v>
      </c>
      <c r="AA2739" s="15">
        <v>0</v>
      </c>
      <c r="AB2739" s="15" t="s">
        <v>35</v>
      </c>
    </row>
    <row r="2740">
      <c r="A2740" s="15">
        <v>2736</v>
      </c>
      <c r="B2740" s="15" t="s">
        <v>61</v>
      </c>
      <c r="C2740" s="15" t="s">
        <v>303</v>
      </c>
      <c r="D2740" s="15" t="s">
        <v>115</v>
      </c>
      <c r="E2740" s="15" t="s">
        <v>116</v>
      </c>
      <c r="F2740" s="15" t="s">
        <v>35</v>
      </c>
      <c r="G2740" s="15" t="s">
        <v>74</v>
      </c>
      <c r="H2740" s="15" t="s">
        <v>13961</v>
      </c>
      <c r="I2740" s="15" t="s">
        <v>13962</v>
      </c>
      <c r="J2740" s="15" t="s">
        <v>13963</v>
      </c>
      <c r="K2740" s="15" t="s">
        <v>232</v>
      </c>
      <c r="L2740" s="15" t="s">
        <v>233</v>
      </c>
      <c r="M2740" s="15" t="s">
        <v>503</v>
      </c>
      <c r="N2740" s="15" t="s">
        <v>504</v>
      </c>
      <c r="O2740" s="15" t="s">
        <v>82</v>
      </c>
      <c r="P2740" s="15" t="s">
        <v>505</v>
      </c>
      <c r="Q2740" s="15" t="s">
        <v>506</v>
      </c>
      <c r="R2740" s="16">
        <v>44329</v>
      </c>
      <c r="S2740" s="17" t="s">
        <v>70</v>
      </c>
      <c r="T2740" s="20">
        <f>HYPERLINK("https://vnm.spiral.com.vn//uploaded/20210513/92F0E9DA-248F-4DDF-813A-BAB1AC8958F9.jpg","07:51:16")</f>
      </c>
      <c r="U2740" s="20">
        <f>HYPERLINK("https://vnm.spiral.com.vn//uploaded/20210513/6F9BE370-6403-4936-AEEB-4BD897F7FD9A.jpg","08:36:36")</f>
      </c>
      <c r="V2740" s="18">
        <v>0.03148148148148148</v>
      </c>
      <c r="W2740" s="15" t="s">
        <v>13964</v>
      </c>
      <c r="X2740" s="15" t="s">
        <v>13965</v>
      </c>
      <c r="Y2740" s="15" t="s">
        <v>35</v>
      </c>
      <c r="Z2740" s="19">
        <v>0</v>
      </c>
      <c r="AA2740" s="15">
        <v>0</v>
      </c>
      <c r="AB2740" s="15" t="s">
        <v>35</v>
      </c>
    </row>
    <row r="2741">
      <c r="A2741" s="15">
        <v>2737</v>
      </c>
      <c r="B2741" s="15" t="s">
        <v>343</v>
      </c>
      <c r="C2741" s="15" t="s">
        <v>344</v>
      </c>
      <c r="D2741" s="15" t="s">
        <v>1644</v>
      </c>
      <c r="E2741" s="15" t="s">
        <v>35</v>
      </c>
      <c r="F2741" s="15" t="s">
        <v>35</v>
      </c>
      <c r="G2741" s="15" t="s">
        <v>74</v>
      </c>
      <c r="H2741" s="15" t="s">
        <v>13966</v>
      </c>
      <c r="I2741" s="15" t="s">
        <v>13967</v>
      </c>
      <c r="J2741" s="15" t="s">
        <v>13968</v>
      </c>
      <c r="K2741" s="15" t="s">
        <v>584</v>
      </c>
      <c r="L2741" s="15" t="s">
        <v>585</v>
      </c>
      <c r="M2741" s="15" t="s">
        <v>827</v>
      </c>
      <c r="N2741" s="15" t="s">
        <v>828</v>
      </c>
      <c r="O2741" s="15" t="s">
        <v>82</v>
      </c>
      <c r="P2741" s="15" t="s">
        <v>2484</v>
      </c>
      <c r="Q2741" s="15" t="s">
        <v>2485</v>
      </c>
      <c r="R2741" s="16">
        <v>44329</v>
      </c>
      <c r="S2741" s="17" t="s">
        <v>70</v>
      </c>
      <c r="T2741" s="20">
        <f>HYPERLINK("https://vnm.spiral.com.vn//uploaded/20210513/F35D5150-5B2D-49B9-80B1-794F30934B76.jpg","08:21:14")</f>
      </c>
      <c r="U2741" s="20">
        <f>HYPERLINK("https://vnm.spiral.com.vn//uploaded/20210513/2092595C-F49C-4A55-9EC9-00E3F5EA1380.jpg","08:36:34")</f>
      </c>
      <c r="V2741" s="18">
        <v>0.010648148148148148</v>
      </c>
      <c r="W2741" s="15" t="s">
        <v>13969</v>
      </c>
      <c r="X2741" s="15" t="s">
        <v>13970</v>
      </c>
      <c r="Y2741" s="15" t="s">
        <v>35</v>
      </c>
      <c r="Z2741" s="19">
        <v>0</v>
      </c>
      <c r="AA2741" s="15">
        <v>0</v>
      </c>
      <c r="AB2741" s="15" t="s">
        <v>35</v>
      </c>
    </row>
    <row r="2742">
      <c r="A2742" s="15">
        <v>2738</v>
      </c>
      <c r="B2742" s="15" t="s">
        <v>87</v>
      </c>
      <c r="C2742" s="15" t="s">
        <v>88</v>
      </c>
      <c r="D2742" s="15" t="s">
        <v>35</v>
      </c>
      <c r="E2742" s="15" t="s">
        <v>35</v>
      </c>
      <c r="F2742" s="15" t="s">
        <v>35</v>
      </c>
      <c r="G2742" s="15" t="s">
        <v>74</v>
      </c>
      <c r="H2742" s="15" t="s">
        <v>13971</v>
      </c>
      <c r="I2742" s="15" t="s">
        <v>13972</v>
      </c>
      <c r="J2742" s="15" t="s">
        <v>13973</v>
      </c>
      <c r="K2742" s="15" t="s">
        <v>888</v>
      </c>
      <c r="L2742" s="15" t="s">
        <v>889</v>
      </c>
      <c r="M2742" s="15" t="s">
        <v>924</v>
      </c>
      <c r="N2742" s="15" t="s">
        <v>925</v>
      </c>
      <c r="O2742" s="15" t="s">
        <v>82</v>
      </c>
      <c r="P2742" s="15" t="s">
        <v>1987</v>
      </c>
      <c r="Q2742" s="15" t="s">
        <v>1988</v>
      </c>
      <c r="R2742" s="16">
        <v>44329</v>
      </c>
      <c r="S2742" s="17" t="s">
        <v>70</v>
      </c>
      <c r="T2742" s="20">
        <f>HYPERLINK("https://vnm.spiral.com.vn//uploaded/20210513/5fcbdfde-f1fd-4e95-b034-a1a39d96bef7.JPEG","07:10:23")</f>
      </c>
      <c r="U2742" s="20">
        <f>HYPERLINK("https://vnm.spiral.com.vn//uploaded/20210513/098266f4-47a3-4f0a-abb0-8250c14f9eb9.JPEG","08:36:25")</f>
      </c>
      <c r="V2742" s="18">
        <v>0.05974537037037037</v>
      </c>
      <c r="W2742" s="15" t="s">
        <v>13974</v>
      </c>
      <c r="X2742" s="15" t="s">
        <v>13975</v>
      </c>
      <c r="Y2742" s="15" t="s">
        <v>35</v>
      </c>
      <c r="Z2742" s="19">
        <v>0</v>
      </c>
      <c r="AA2742" s="15">
        <v>0</v>
      </c>
      <c r="AB2742" s="15" t="s">
        <v>35</v>
      </c>
    </row>
    <row r="2743">
      <c r="A2743" s="15">
        <v>2739</v>
      </c>
      <c r="B2743" s="15" t="s">
        <v>61</v>
      </c>
      <c r="C2743" s="15" t="s">
        <v>1106</v>
      </c>
      <c r="D2743" s="15" t="s">
        <v>35</v>
      </c>
      <c r="E2743" s="15" t="s">
        <v>35</v>
      </c>
      <c r="F2743" s="15" t="s">
        <v>35</v>
      </c>
      <c r="G2743" s="15" t="s">
        <v>36</v>
      </c>
      <c r="H2743" s="15" t="s">
        <v>13976</v>
      </c>
      <c r="I2743" s="15" t="s">
        <v>13977</v>
      </c>
      <c r="J2743" s="15" t="s">
        <v>13978</v>
      </c>
      <c r="K2743" s="15" t="s">
        <v>40</v>
      </c>
      <c r="L2743" s="15" t="s">
        <v>41</v>
      </c>
      <c r="M2743" s="15" t="s">
        <v>205</v>
      </c>
      <c r="N2743" s="15" t="s">
        <v>206</v>
      </c>
      <c r="O2743" s="15" t="s">
        <v>44</v>
      </c>
      <c r="P2743" s="15" t="s">
        <v>13979</v>
      </c>
      <c r="Q2743" s="15" t="s">
        <v>13980</v>
      </c>
      <c r="R2743" s="16">
        <v>44329</v>
      </c>
      <c r="S2743" s="17" t="s">
        <v>13344</v>
      </c>
      <c r="T2743" s="20">
        <f>HYPERLINK("https://vnm.spiral.com.vn//uploaded/20210513/D2A675EE-291F-4741-9073-4728FB47BD87.jpg","08:36:07")</f>
      </c>
      <c r="U2743" s="18"/>
      <c r="V2743" s="18" t="s">
        <v>35</v>
      </c>
      <c r="W2743" s="15" t="s">
        <v>13981</v>
      </c>
      <c r="X2743" s="15" t="s">
        <v>35</v>
      </c>
      <c r="Y2743" s="15" t="s">
        <v>35</v>
      </c>
      <c r="Z2743" s="19">
        <v>0</v>
      </c>
      <c r="AA2743" s="15">
        <v>0</v>
      </c>
      <c r="AB2743" s="15" t="s">
        <v>35</v>
      </c>
    </row>
    <row r="2744">
      <c r="A2744" s="15">
        <v>2740</v>
      </c>
      <c r="B2744" s="15" t="s">
        <v>87</v>
      </c>
      <c r="C2744" s="15" t="s">
        <v>88</v>
      </c>
      <c r="D2744" s="15" t="s">
        <v>89</v>
      </c>
      <c r="E2744" s="15" t="s">
        <v>90</v>
      </c>
      <c r="F2744" s="15" t="s">
        <v>35</v>
      </c>
      <c r="G2744" s="15" t="s">
        <v>74</v>
      </c>
      <c r="H2744" s="15" t="s">
        <v>13982</v>
      </c>
      <c r="I2744" s="15" t="s">
        <v>13983</v>
      </c>
      <c r="J2744" s="15" t="s">
        <v>13984</v>
      </c>
      <c r="K2744" s="15" t="s">
        <v>1554</v>
      </c>
      <c r="L2744" s="15" t="s">
        <v>1555</v>
      </c>
      <c r="M2744" s="15" t="s">
        <v>2528</v>
      </c>
      <c r="N2744" s="15" t="s">
        <v>2529</v>
      </c>
      <c r="O2744" s="15" t="s">
        <v>156</v>
      </c>
      <c r="P2744" s="15" t="s">
        <v>13985</v>
      </c>
      <c r="Q2744" s="15" t="s">
        <v>13986</v>
      </c>
      <c r="R2744" s="16">
        <v>44329</v>
      </c>
      <c r="S2744" s="17" t="s">
        <v>70</v>
      </c>
      <c r="T2744" s="20">
        <f>HYPERLINK("https://vnm.spiral.com.vn//uploaded/20210513/9bcad246-ce0a-43e0-88eb-c486d45b3dd6.JPEG","08:35:20")</f>
      </c>
      <c r="U2744" s="18"/>
      <c r="V2744" s="18" t="s">
        <v>35</v>
      </c>
      <c r="W2744" s="15" t="s">
        <v>13987</v>
      </c>
      <c r="X2744" s="15" t="s">
        <v>35</v>
      </c>
      <c r="Y2744" s="15" t="s">
        <v>35</v>
      </c>
      <c r="Z2744" s="19">
        <v>0</v>
      </c>
      <c r="AA2744" s="15">
        <v>0</v>
      </c>
      <c r="AB2744" s="15" t="s">
        <v>35</v>
      </c>
    </row>
    <row r="2745">
      <c r="A2745" s="15">
        <v>2741</v>
      </c>
      <c r="B2745" s="15" t="s">
        <v>87</v>
      </c>
      <c r="C2745" s="15" t="s">
        <v>88</v>
      </c>
      <c r="D2745" s="15" t="s">
        <v>432</v>
      </c>
      <c r="E2745" s="15" t="s">
        <v>116</v>
      </c>
      <c r="F2745" s="15" t="s">
        <v>35</v>
      </c>
      <c r="G2745" s="15" t="s">
        <v>74</v>
      </c>
      <c r="H2745" s="15" t="s">
        <v>13988</v>
      </c>
      <c r="I2745" s="15" t="s">
        <v>13989</v>
      </c>
      <c r="J2745" s="15" t="s">
        <v>13990</v>
      </c>
      <c r="K2745" s="15" t="s">
        <v>625</v>
      </c>
      <c r="L2745" s="15" t="s">
        <v>626</v>
      </c>
      <c r="M2745" s="15" t="s">
        <v>627</v>
      </c>
      <c r="N2745" s="15" t="s">
        <v>628</v>
      </c>
      <c r="O2745" s="15" t="s">
        <v>82</v>
      </c>
      <c r="P2745" s="15" t="s">
        <v>2569</v>
      </c>
      <c r="Q2745" s="15" t="s">
        <v>2570</v>
      </c>
      <c r="R2745" s="16">
        <v>44329</v>
      </c>
      <c r="S2745" s="17" t="s">
        <v>70</v>
      </c>
      <c r="T2745" s="20">
        <f>HYPERLINK("https://vnm.spiral.com.vn//uploaded/20210513/0EE17BC5-376B-4133-AEF2-F3255E63BD26.jpg","07:58:08")</f>
      </c>
      <c r="U2745" s="20">
        <f>HYPERLINK("https://vnm.spiral.com.vn//uploaded/20210513/E012CFE2-84F4-4A62-8961-A6059DB8C395.jpg","08:34:50")</f>
      </c>
      <c r="V2745" s="18">
        <v>0.025486111111111112</v>
      </c>
      <c r="W2745" s="15" t="s">
        <v>13991</v>
      </c>
      <c r="X2745" s="15" t="s">
        <v>13992</v>
      </c>
      <c r="Y2745" s="15" t="s">
        <v>35</v>
      </c>
      <c r="Z2745" s="19">
        <v>0</v>
      </c>
      <c r="AA2745" s="15">
        <v>0</v>
      </c>
      <c r="AB2745" s="15" t="s">
        <v>35</v>
      </c>
    </row>
    <row r="2746">
      <c r="A2746" s="15">
        <v>2742</v>
      </c>
      <c r="B2746" s="15" t="s">
        <v>87</v>
      </c>
      <c r="C2746" s="15" t="s">
        <v>88</v>
      </c>
      <c r="D2746" s="15" t="s">
        <v>35</v>
      </c>
      <c r="E2746" s="15" t="s">
        <v>35</v>
      </c>
      <c r="F2746" s="15" t="s">
        <v>35</v>
      </c>
      <c r="G2746" s="15" t="s">
        <v>74</v>
      </c>
      <c r="H2746" s="15" t="s">
        <v>13993</v>
      </c>
      <c r="I2746" s="15" t="s">
        <v>13994</v>
      </c>
      <c r="J2746" s="15" t="s">
        <v>13995</v>
      </c>
      <c r="K2746" s="15" t="s">
        <v>190</v>
      </c>
      <c r="L2746" s="15" t="s">
        <v>191</v>
      </c>
      <c r="M2746" s="15" t="s">
        <v>888</v>
      </c>
      <c r="N2746" s="15" t="s">
        <v>889</v>
      </c>
      <c r="O2746" s="15" t="s">
        <v>98</v>
      </c>
      <c r="P2746" s="15" t="s">
        <v>924</v>
      </c>
      <c r="Q2746" s="15" t="s">
        <v>925</v>
      </c>
      <c r="R2746" s="16">
        <v>44329</v>
      </c>
      <c r="S2746" s="17" t="s">
        <v>35</v>
      </c>
      <c r="T2746" s="20">
        <f>HYPERLINK("https://vnm.spiral.com.vn//uploaded/20210513/31e75ffc-4579-4015-a84d-9f797ed82acf.JPEG","08:18:05")</f>
      </c>
      <c r="U2746" s="20">
        <f>HYPERLINK("https://vnm.spiral.com.vn//uploaded/20210513/96d8d84b-a4d0-4b9e-94c0-e25f2ed615a8.JPEG","08:34:47")</f>
      </c>
      <c r="V2746" s="18">
        <v>0.011597222222222222</v>
      </c>
      <c r="W2746" s="15" t="s">
        <v>13996</v>
      </c>
      <c r="X2746" s="15" t="s">
        <v>13997</v>
      </c>
      <c r="Y2746" s="15" t="s">
        <v>35</v>
      </c>
      <c r="Z2746" s="19">
        <v>0</v>
      </c>
      <c r="AA2746" s="15">
        <v>0</v>
      </c>
      <c r="AB2746" s="15" t="s">
        <v>35</v>
      </c>
    </row>
    <row r="2747">
      <c r="A2747" s="15">
        <v>2743</v>
      </c>
      <c r="B2747" s="15" t="s">
        <v>33</v>
      </c>
      <c r="C2747" s="15" t="s">
        <v>492</v>
      </c>
      <c r="D2747" s="15" t="s">
        <v>35</v>
      </c>
      <c r="E2747" s="15" t="s">
        <v>35</v>
      </c>
      <c r="F2747" s="15" t="s">
        <v>13998</v>
      </c>
      <c r="G2747" s="15" t="s">
        <v>36</v>
      </c>
      <c r="H2747" s="15" t="s">
        <v>13999</v>
      </c>
      <c r="I2747" s="15" t="s">
        <v>14000</v>
      </c>
      <c r="J2747" s="15" t="s">
        <v>14001</v>
      </c>
      <c r="K2747" s="15" t="s">
        <v>40</v>
      </c>
      <c r="L2747" s="15" t="s">
        <v>41</v>
      </c>
      <c r="M2747" s="15" t="s">
        <v>42</v>
      </c>
      <c r="N2747" s="15" t="s">
        <v>43</v>
      </c>
      <c r="O2747" s="15" t="s">
        <v>44</v>
      </c>
      <c r="P2747" s="15" t="s">
        <v>14002</v>
      </c>
      <c r="Q2747" s="15" t="s">
        <v>14003</v>
      </c>
      <c r="R2747" s="16">
        <v>44329</v>
      </c>
      <c r="S2747" s="17" t="s">
        <v>13344</v>
      </c>
      <c r="T2747" s="20">
        <f>HYPERLINK("https://vnm.spiral.com.vn//uploaded/20210513/8ffe3cd4-e8fd-40e4-bd5b-fe4418eff8d6.JPEG","08:34:27")</f>
      </c>
      <c r="U2747" s="18"/>
      <c r="V2747" s="18" t="s">
        <v>35</v>
      </c>
      <c r="W2747" s="15" t="s">
        <v>14004</v>
      </c>
      <c r="X2747" s="15" t="s">
        <v>35</v>
      </c>
      <c r="Y2747" s="15" t="s">
        <v>35</v>
      </c>
      <c r="Z2747" s="19">
        <v>0</v>
      </c>
      <c r="AA2747" s="15">
        <v>0</v>
      </c>
      <c r="AB2747" s="15" t="s">
        <v>35</v>
      </c>
    </row>
    <row r="2748">
      <c r="A2748" s="15">
        <v>2744</v>
      </c>
      <c r="B2748" s="15" t="s">
        <v>61</v>
      </c>
      <c r="C2748" s="15" t="s">
        <v>1106</v>
      </c>
      <c r="D2748" s="15" t="s">
        <v>35</v>
      </c>
      <c r="E2748" s="15" t="s">
        <v>35</v>
      </c>
      <c r="F2748" s="15" t="s">
        <v>35</v>
      </c>
      <c r="G2748" s="15" t="s">
        <v>36</v>
      </c>
      <c r="H2748" s="15" t="s">
        <v>14005</v>
      </c>
      <c r="I2748" s="15" t="s">
        <v>14006</v>
      </c>
      <c r="J2748" s="15" t="s">
        <v>14007</v>
      </c>
      <c r="K2748" s="15" t="s">
        <v>40</v>
      </c>
      <c r="L2748" s="15" t="s">
        <v>41</v>
      </c>
      <c r="M2748" s="15" t="s">
        <v>205</v>
      </c>
      <c r="N2748" s="15" t="s">
        <v>206</v>
      </c>
      <c r="O2748" s="15" t="s">
        <v>44</v>
      </c>
      <c r="P2748" s="15" t="s">
        <v>14008</v>
      </c>
      <c r="Q2748" s="15" t="s">
        <v>14009</v>
      </c>
      <c r="R2748" s="16">
        <v>44329</v>
      </c>
      <c r="S2748" s="17" t="s">
        <v>13344</v>
      </c>
      <c r="T2748" s="20">
        <f>HYPERLINK("https://vnm.spiral.com.vn//uploaded/20210513/4b340fb9-8159-45ee-8935-37c94ecd3ce5.JPEG","08:34:23")</f>
      </c>
      <c r="U2748" s="18"/>
      <c r="V2748" s="18" t="s">
        <v>35</v>
      </c>
      <c r="W2748" s="15" t="s">
        <v>14010</v>
      </c>
      <c r="X2748" s="15" t="s">
        <v>35</v>
      </c>
      <c r="Y2748" s="15" t="s">
        <v>35</v>
      </c>
      <c r="Z2748" s="19">
        <v>0</v>
      </c>
      <c r="AA2748" s="15">
        <v>0</v>
      </c>
      <c r="AB2748" s="15" t="s">
        <v>35</v>
      </c>
    </row>
    <row r="2749">
      <c r="A2749" s="15">
        <v>2745</v>
      </c>
      <c r="B2749" s="15" t="s">
        <v>87</v>
      </c>
      <c r="C2749" s="15" t="s">
        <v>88</v>
      </c>
      <c r="D2749" s="15" t="s">
        <v>357</v>
      </c>
      <c r="E2749" s="15" t="s">
        <v>90</v>
      </c>
      <c r="F2749" s="15" t="s">
        <v>35</v>
      </c>
      <c r="G2749" s="15" t="s">
        <v>74</v>
      </c>
      <c r="H2749" s="15" t="s">
        <v>14011</v>
      </c>
      <c r="I2749" s="15" t="s">
        <v>14012</v>
      </c>
      <c r="J2749" s="15" t="s">
        <v>14013</v>
      </c>
      <c r="K2749" s="15" t="s">
        <v>1570</v>
      </c>
      <c r="L2749" s="15" t="s">
        <v>1571</v>
      </c>
      <c r="M2749" s="15" t="s">
        <v>2024</v>
      </c>
      <c r="N2749" s="15" t="s">
        <v>2025</v>
      </c>
      <c r="O2749" s="15" t="s">
        <v>82</v>
      </c>
      <c r="P2749" s="15" t="s">
        <v>2026</v>
      </c>
      <c r="Q2749" s="15" t="s">
        <v>2027</v>
      </c>
      <c r="R2749" s="16">
        <v>44329</v>
      </c>
      <c r="S2749" s="17" t="s">
        <v>70</v>
      </c>
      <c r="T2749" s="20">
        <f>HYPERLINK("https://vnm.spiral.com.vn//uploaded/20210513/773f8821-cbf6-43ee-8aa1-e1e25fc02ec8.JPEG","07:54:06")</f>
      </c>
      <c r="U2749" s="20">
        <f>HYPERLINK("https://vnm.spiral.com.vn//uploaded/20210513/c89c396d-cb9e-4047-9167-6c734afbea00.JPEG","08:34:14")</f>
      </c>
      <c r="V2749" s="18">
        <v>0.027870370370370372</v>
      </c>
      <c r="W2749" s="15" t="s">
        <v>14014</v>
      </c>
      <c r="X2749" s="15" t="s">
        <v>14015</v>
      </c>
      <c r="Y2749" s="15" t="s">
        <v>35</v>
      </c>
      <c r="Z2749" s="19">
        <v>0</v>
      </c>
      <c r="AA2749" s="15">
        <v>0</v>
      </c>
      <c r="AB2749" s="15" t="s">
        <v>35</v>
      </c>
    </row>
    <row r="2750">
      <c r="A2750" s="15">
        <v>2746</v>
      </c>
      <c r="B2750" s="15" t="s">
        <v>33</v>
      </c>
      <c r="C2750" s="15" t="s">
        <v>8154</v>
      </c>
      <c r="D2750" s="15" t="s">
        <v>35</v>
      </c>
      <c r="E2750" s="15" t="s">
        <v>35</v>
      </c>
      <c r="F2750" s="15" t="s">
        <v>35</v>
      </c>
      <c r="G2750" s="15" t="s">
        <v>74</v>
      </c>
      <c r="H2750" s="15" t="s">
        <v>14016</v>
      </c>
      <c r="I2750" s="15" t="s">
        <v>14017</v>
      </c>
      <c r="J2750" s="15" t="s">
        <v>14018</v>
      </c>
      <c r="K2750" s="15" t="s">
        <v>540</v>
      </c>
      <c r="L2750" s="15" t="s">
        <v>541</v>
      </c>
      <c r="M2750" s="15" t="s">
        <v>2887</v>
      </c>
      <c r="N2750" s="15" t="s">
        <v>2888</v>
      </c>
      <c r="O2750" s="15" t="s">
        <v>82</v>
      </c>
      <c r="P2750" s="15" t="s">
        <v>14019</v>
      </c>
      <c r="Q2750" s="15" t="s">
        <v>14020</v>
      </c>
      <c r="R2750" s="16">
        <v>44329</v>
      </c>
      <c r="S2750" s="17" t="s">
        <v>159</v>
      </c>
      <c r="T2750" s="20">
        <f>HYPERLINK("https://vnm.spiral.com.vn//uploaded/20210513/AB9BE5D2-2C49-44B4-A133-E9A1004F186A.jpg","08:33:54")</f>
      </c>
      <c r="U2750" s="18"/>
      <c r="V2750" s="18" t="s">
        <v>35</v>
      </c>
      <c r="W2750" s="15" t="s">
        <v>14021</v>
      </c>
      <c r="X2750" s="15" t="s">
        <v>35</v>
      </c>
      <c r="Y2750" s="15" t="s">
        <v>35</v>
      </c>
      <c r="Z2750" s="19">
        <v>0</v>
      </c>
      <c r="AA2750" s="15">
        <v>0</v>
      </c>
      <c r="AB2750" s="15" t="s">
        <v>35</v>
      </c>
    </row>
    <row r="2751">
      <c r="A2751" s="15">
        <v>2747</v>
      </c>
      <c r="B2751" s="15" t="s">
        <v>33</v>
      </c>
      <c r="C2751" s="15" t="s">
        <v>2999</v>
      </c>
      <c r="D2751" s="15" t="s">
        <v>35</v>
      </c>
      <c r="E2751" s="15" t="s">
        <v>35</v>
      </c>
      <c r="F2751" s="15" t="s">
        <v>35</v>
      </c>
      <c r="G2751" s="15" t="s">
        <v>36</v>
      </c>
      <c r="H2751" s="15" t="s">
        <v>14022</v>
      </c>
      <c r="I2751" s="15" t="s">
        <v>14023</v>
      </c>
      <c r="J2751" s="15" t="s">
        <v>14024</v>
      </c>
      <c r="K2751" s="15" t="s">
        <v>40</v>
      </c>
      <c r="L2751" s="15" t="s">
        <v>41</v>
      </c>
      <c r="M2751" s="15" t="s">
        <v>42</v>
      </c>
      <c r="N2751" s="15" t="s">
        <v>43</v>
      </c>
      <c r="O2751" s="15" t="s">
        <v>44</v>
      </c>
      <c r="P2751" s="15" t="s">
        <v>14025</v>
      </c>
      <c r="Q2751" s="15" t="s">
        <v>14026</v>
      </c>
      <c r="R2751" s="16">
        <v>44329</v>
      </c>
      <c r="S2751" s="17" t="s">
        <v>326</v>
      </c>
      <c r="T2751" s="20">
        <f>HYPERLINK("https://vnm.spiral.com.vn//uploaded/20210513/8e47286f-a1d9-4bcf-8e15-9965a37d3d2d.JPEG","08:33:33")</f>
      </c>
      <c r="U2751" s="18"/>
      <c r="V2751" s="18" t="s">
        <v>35</v>
      </c>
      <c r="W2751" s="15" t="s">
        <v>14027</v>
      </c>
      <c r="X2751" s="15" t="s">
        <v>35</v>
      </c>
      <c r="Y2751" s="15" t="s">
        <v>35</v>
      </c>
      <c r="Z2751" s="19">
        <v>0</v>
      </c>
      <c r="AA2751" s="15">
        <v>0</v>
      </c>
      <c r="AB2751" s="15" t="s">
        <v>35</v>
      </c>
    </row>
    <row r="2752">
      <c r="A2752" s="15">
        <v>2748</v>
      </c>
      <c r="B2752" s="15" t="s">
        <v>343</v>
      </c>
      <c r="C2752" s="15" t="s">
        <v>344</v>
      </c>
      <c r="D2752" s="15" t="s">
        <v>35</v>
      </c>
      <c r="E2752" s="15" t="s">
        <v>35</v>
      </c>
      <c r="F2752" s="15" t="s">
        <v>35</v>
      </c>
      <c r="G2752" s="15" t="s">
        <v>36</v>
      </c>
      <c r="H2752" s="15" t="s">
        <v>14028</v>
      </c>
      <c r="I2752" s="15" t="s">
        <v>14029</v>
      </c>
      <c r="J2752" s="15" t="s">
        <v>14030</v>
      </c>
      <c r="K2752" s="15" t="s">
        <v>40</v>
      </c>
      <c r="L2752" s="15" t="s">
        <v>41</v>
      </c>
      <c r="M2752" s="15" t="s">
        <v>595</v>
      </c>
      <c r="N2752" s="15" t="s">
        <v>596</v>
      </c>
      <c r="O2752" s="15" t="s">
        <v>44</v>
      </c>
      <c r="P2752" s="15" t="s">
        <v>14031</v>
      </c>
      <c r="Q2752" s="15" t="s">
        <v>1155</v>
      </c>
      <c r="R2752" s="16">
        <v>44329</v>
      </c>
      <c r="S2752" s="17" t="s">
        <v>326</v>
      </c>
      <c r="T2752" s="20">
        <f>HYPERLINK("https://vnm.spiral.com.vn//uploaded/20210513/f3ea1bf5-1a27-4922-8731-80aca7b54376.JPEG","08:32:58")</f>
      </c>
      <c r="U2752" s="18"/>
      <c r="V2752" s="18" t="s">
        <v>35</v>
      </c>
      <c r="W2752" s="15" t="s">
        <v>14032</v>
      </c>
      <c r="X2752" s="15" t="s">
        <v>35</v>
      </c>
      <c r="Y2752" s="15" t="s">
        <v>35</v>
      </c>
      <c r="Z2752" s="19">
        <v>0</v>
      </c>
      <c r="AA2752" s="15">
        <v>0</v>
      </c>
      <c r="AB2752" s="15" t="s">
        <v>35</v>
      </c>
    </row>
    <row r="2753">
      <c r="A2753" s="15">
        <v>2749</v>
      </c>
      <c r="B2753" s="15" t="s">
        <v>343</v>
      </c>
      <c r="C2753" s="15" t="s">
        <v>344</v>
      </c>
      <c r="D2753" s="15" t="s">
        <v>35</v>
      </c>
      <c r="E2753" s="15" t="s">
        <v>35</v>
      </c>
      <c r="F2753" s="15" t="s">
        <v>35</v>
      </c>
      <c r="G2753" s="15" t="s">
        <v>36</v>
      </c>
      <c r="H2753" s="15" t="s">
        <v>14033</v>
      </c>
      <c r="I2753" s="15" t="s">
        <v>1465</v>
      </c>
      <c r="J2753" s="15" t="s">
        <v>14034</v>
      </c>
      <c r="K2753" s="15" t="s">
        <v>40</v>
      </c>
      <c r="L2753" s="15" t="s">
        <v>41</v>
      </c>
      <c r="M2753" s="15" t="s">
        <v>409</v>
      </c>
      <c r="N2753" s="15" t="s">
        <v>410</v>
      </c>
      <c r="O2753" s="15" t="s">
        <v>44</v>
      </c>
      <c r="P2753" s="15" t="s">
        <v>14035</v>
      </c>
      <c r="Q2753" s="15" t="s">
        <v>545</v>
      </c>
      <c r="R2753" s="16">
        <v>44329</v>
      </c>
      <c r="S2753" s="17" t="s">
        <v>326</v>
      </c>
      <c r="T2753" s="20">
        <f>HYPERLINK("https://vnm.spiral.com.vn//uploaded/20210513/F69F81AF-09F3-4881-9820-D9289E26ED67.jpg","08:32:34")</f>
      </c>
      <c r="U2753" s="18"/>
      <c r="V2753" s="18" t="s">
        <v>35</v>
      </c>
      <c r="W2753" s="15" t="s">
        <v>14036</v>
      </c>
      <c r="X2753" s="15" t="s">
        <v>35</v>
      </c>
      <c r="Y2753" s="15" t="s">
        <v>35</v>
      </c>
      <c r="Z2753" s="19">
        <v>0</v>
      </c>
      <c r="AA2753" s="15">
        <v>0</v>
      </c>
      <c r="AB2753" s="15" t="s">
        <v>35</v>
      </c>
    </row>
    <row r="2754">
      <c r="A2754" s="15">
        <v>2750</v>
      </c>
      <c r="B2754" s="15" t="s">
        <v>33</v>
      </c>
      <c r="C2754" s="15" t="s">
        <v>979</v>
      </c>
      <c r="D2754" s="15" t="s">
        <v>35</v>
      </c>
      <c r="E2754" s="15" t="s">
        <v>35</v>
      </c>
      <c r="F2754" s="15" t="s">
        <v>35</v>
      </c>
      <c r="G2754" s="15" t="s">
        <v>36</v>
      </c>
      <c r="H2754" s="15" t="s">
        <v>14037</v>
      </c>
      <c r="I2754" s="15" t="s">
        <v>14038</v>
      </c>
      <c r="J2754" s="15" t="s">
        <v>14039</v>
      </c>
      <c r="K2754" s="15" t="s">
        <v>40</v>
      </c>
      <c r="L2754" s="15" t="s">
        <v>41</v>
      </c>
      <c r="M2754" s="15" t="s">
        <v>42</v>
      </c>
      <c r="N2754" s="15" t="s">
        <v>43</v>
      </c>
      <c r="O2754" s="15" t="s">
        <v>44</v>
      </c>
      <c r="P2754" s="15" t="s">
        <v>14040</v>
      </c>
      <c r="Q2754" s="15" t="s">
        <v>14041</v>
      </c>
      <c r="R2754" s="16">
        <v>44329</v>
      </c>
      <c r="S2754" s="17" t="s">
        <v>70</v>
      </c>
      <c r="T2754" s="20">
        <f>HYPERLINK("https://vnm.spiral.com.vn//uploaded/20210513/2C976B80-0363-4A08-8DE2-C576FAE17D46.jpg","08:32:28")</f>
      </c>
      <c r="U2754" s="18"/>
      <c r="V2754" s="18" t="s">
        <v>35</v>
      </c>
      <c r="W2754" s="15" t="s">
        <v>14042</v>
      </c>
      <c r="X2754" s="15" t="s">
        <v>35</v>
      </c>
      <c r="Y2754" s="15" t="s">
        <v>35</v>
      </c>
      <c r="Z2754" s="19">
        <v>0</v>
      </c>
      <c r="AA2754" s="15">
        <v>0</v>
      </c>
      <c r="AB2754" s="15" t="s">
        <v>35</v>
      </c>
    </row>
    <row r="2755">
      <c r="A2755" s="15">
        <v>2751</v>
      </c>
      <c r="B2755" s="15" t="s">
        <v>49</v>
      </c>
      <c r="C2755" s="15" t="s">
        <v>1715</v>
      </c>
      <c r="D2755" s="15" t="s">
        <v>35</v>
      </c>
      <c r="E2755" s="15" t="s">
        <v>35</v>
      </c>
      <c r="F2755" s="15" t="s">
        <v>2287</v>
      </c>
      <c r="G2755" s="15" t="s">
        <v>36</v>
      </c>
      <c r="H2755" s="15" t="s">
        <v>14043</v>
      </c>
      <c r="I2755" s="15" t="s">
        <v>14044</v>
      </c>
      <c r="J2755" s="15" t="s">
        <v>14045</v>
      </c>
      <c r="K2755" s="15" t="s">
        <v>40</v>
      </c>
      <c r="L2755" s="15" t="s">
        <v>41</v>
      </c>
      <c r="M2755" s="15" t="s">
        <v>55</v>
      </c>
      <c r="N2755" s="15" t="s">
        <v>56</v>
      </c>
      <c r="O2755" s="15" t="s">
        <v>44</v>
      </c>
      <c r="P2755" s="15" t="s">
        <v>14046</v>
      </c>
      <c r="Q2755" s="15" t="s">
        <v>14047</v>
      </c>
      <c r="R2755" s="16">
        <v>44329</v>
      </c>
      <c r="S2755" s="17" t="s">
        <v>293</v>
      </c>
      <c r="T2755" s="20">
        <f>HYPERLINK("https://vnm.spiral.com.vn//uploaded/20210513/5763779b-55a0-4ab9-a54f-c8615524d829.JPEG","08:32:23")</f>
      </c>
      <c r="U2755" s="18"/>
      <c r="V2755" s="18" t="s">
        <v>35</v>
      </c>
      <c r="W2755" s="15" t="s">
        <v>14048</v>
      </c>
      <c r="X2755" s="15" t="s">
        <v>35</v>
      </c>
      <c r="Y2755" s="15" t="s">
        <v>35</v>
      </c>
      <c r="Z2755" s="19">
        <v>0</v>
      </c>
      <c r="AA2755" s="15">
        <v>0</v>
      </c>
      <c r="AB2755" s="15" t="s">
        <v>35</v>
      </c>
    </row>
    <row r="2756">
      <c r="A2756" s="15">
        <v>2752</v>
      </c>
      <c r="B2756" s="15" t="s">
        <v>343</v>
      </c>
      <c r="C2756" s="15" t="s">
        <v>344</v>
      </c>
      <c r="D2756" s="15" t="s">
        <v>35</v>
      </c>
      <c r="E2756" s="15" t="s">
        <v>35</v>
      </c>
      <c r="F2756" s="15" t="s">
        <v>35</v>
      </c>
      <c r="G2756" s="15" t="s">
        <v>36</v>
      </c>
      <c r="H2756" s="15" t="s">
        <v>14049</v>
      </c>
      <c r="I2756" s="15" t="s">
        <v>1949</v>
      </c>
      <c r="J2756" s="15" t="s">
        <v>14050</v>
      </c>
      <c r="K2756" s="15" t="s">
        <v>40</v>
      </c>
      <c r="L2756" s="15" t="s">
        <v>41</v>
      </c>
      <c r="M2756" s="15" t="s">
        <v>595</v>
      </c>
      <c r="N2756" s="15" t="s">
        <v>596</v>
      </c>
      <c r="O2756" s="15" t="s">
        <v>44</v>
      </c>
      <c r="P2756" s="15" t="s">
        <v>14051</v>
      </c>
      <c r="Q2756" s="15" t="s">
        <v>3435</v>
      </c>
      <c r="R2756" s="16">
        <v>44329</v>
      </c>
      <c r="S2756" s="17" t="s">
        <v>326</v>
      </c>
      <c r="T2756" s="20">
        <f>HYPERLINK("https://vnm.spiral.com.vn//uploaded/20210513/08F40A81-95C8-46D7-B4DF-89EDD262A067.jpg","08:32:07")</f>
      </c>
      <c r="U2756" s="18"/>
      <c r="V2756" s="18" t="s">
        <v>35</v>
      </c>
      <c r="W2756" s="15" t="s">
        <v>14052</v>
      </c>
      <c r="X2756" s="15" t="s">
        <v>35</v>
      </c>
      <c r="Y2756" s="15" t="s">
        <v>35</v>
      </c>
      <c r="Z2756" s="19">
        <v>0</v>
      </c>
      <c r="AA2756" s="15">
        <v>0</v>
      </c>
      <c r="AB2756" s="15" t="s">
        <v>35</v>
      </c>
    </row>
    <row r="2757">
      <c r="A2757" s="15">
        <v>2753</v>
      </c>
      <c r="B2757" s="15" t="s">
        <v>87</v>
      </c>
      <c r="C2757" s="15" t="s">
        <v>88</v>
      </c>
      <c r="D2757" s="15" t="s">
        <v>35</v>
      </c>
      <c r="E2757" s="15" t="s">
        <v>35</v>
      </c>
      <c r="F2757" s="15" t="s">
        <v>35</v>
      </c>
      <c r="G2757" s="15" t="s">
        <v>74</v>
      </c>
      <c r="H2757" s="15" t="s">
        <v>14053</v>
      </c>
      <c r="I2757" s="15" t="s">
        <v>14054</v>
      </c>
      <c r="J2757" s="15" t="s">
        <v>14055</v>
      </c>
      <c r="K2757" s="15" t="s">
        <v>888</v>
      </c>
      <c r="L2757" s="15" t="s">
        <v>889</v>
      </c>
      <c r="M2757" s="15" t="s">
        <v>924</v>
      </c>
      <c r="N2757" s="15" t="s">
        <v>925</v>
      </c>
      <c r="O2757" s="15" t="s">
        <v>82</v>
      </c>
      <c r="P2757" s="15" t="s">
        <v>1906</v>
      </c>
      <c r="Q2757" s="15" t="s">
        <v>1907</v>
      </c>
      <c r="R2757" s="16">
        <v>44329</v>
      </c>
      <c r="S2757" s="17" t="s">
        <v>70</v>
      </c>
      <c r="T2757" s="20">
        <f>HYPERLINK("https://vnm.spiral.com.vn//uploaded/20210513/6a4bf886-1691-4b4e-954c-c4737b550765.JPEG","08:04:59")</f>
      </c>
      <c r="U2757" s="20">
        <f>HYPERLINK("https://vnm.spiral.com.vn//uploaded/20210513/f76b9629-4aa0-4554-9358-bc0e8e15b2bf.JPEG","08:31:32")</f>
      </c>
      <c r="V2757" s="18">
        <v>0.0184375</v>
      </c>
      <c r="W2757" s="15" t="s">
        <v>14056</v>
      </c>
      <c r="X2757" s="15" t="s">
        <v>14057</v>
      </c>
      <c r="Y2757" s="15" t="s">
        <v>35</v>
      </c>
      <c r="Z2757" s="19">
        <v>0</v>
      </c>
      <c r="AA2757" s="15">
        <v>0</v>
      </c>
      <c r="AB2757" s="15" t="s">
        <v>35</v>
      </c>
    </row>
    <row r="2758">
      <c r="A2758" s="15">
        <v>2754</v>
      </c>
      <c r="B2758" s="15" t="s">
        <v>343</v>
      </c>
      <c r="C2758" s="15" t="s">
        <v>344</v>
      </c>
      <c r="D2758" s="15" t="s">
        <v>432</v>
      </c>
      <c r="E2758" s="15" t="s">
        <v>116</v>
      </c>
      <c r="F2758" s="15" t="s">
        <v>35</v>
      </c>
      <c r="G2758" s="15" t="s">
        <v>74</v>
      </c>
      <c r="H2758" s="15" t="s">
        <v>14058</v>
      </c>
      <c r="I2758" s="15" t="s">
        <v>14059</v>
      </c>
      <c r="J2758" s="15" t="s">
        <v>14060</v>
      </c>
      <c r="K2758" s="15" t="s">
        <v>1168</v>
      </c>
      <c r="L2758" s="15" t="s">
        <v>1169</v>
      </c>
      <c r="M2758" s="15" t="s">
        <v>1170</v>
      </c>
      <c r="N2758" s="15" t="s">
        <v>1171</v>
      </c>
      <c r="O2758" s="15" t="s">
        <v>82</v>
      </c>
      <c r="P2758" s="15" t="s">
        <v>1258</v>
      </c>
      <c r="Q2758" s="15" t="s">
        <v>1259</v>
      </c>
      <c r="R2758" s="16">
        <v>44329</v>
      </c>
      <c r="S2758" s="17" t="s">
        <v>70</v>
      </c>
      <c r="T2758" s="20">
        <f>HYPERLINK("https://vnm.spiral.com.vn//uploaded/20210513/d3f6b948-6fbc-4157-942d-ba4b9ec8175d.JPEG","07:59:51")</f>
      </c>
      <c r="U2758" s="20">
        <f>HYPERLINK("https://vnm.spiral.com.vn//uploaded/20210513/96ebce6f-7868-483b-8fb3-9109308c71af.JPEG","08:31:25")</f>
      </c>
      <c r="V2758" s="18">
        <v>0.021921296296296296</v>
      </c>
      <c r="W2758" s="15" t="s">
        <v>14061</v>
      </c>
      <c r="X2758" s="15" t="s">
        <v>14062</v>
      </c>
      <c r="Y2758" s="15" t="s">
        <v>35</v>
      </c>
      <c r="Z2758" s="19">
        <v>0</v>
      </c>
      <c r="AA2758" s="15">
        <v>0</v>
      </c>
      <c r="AB2758" s="15" t="s">
        <v>35</v>
      </c>
    </row>
    <row r="2759">
      <c r="A2759" s="15">
        <v>2755</v>
      </c>
      <c r="B2759" s="15" t="s">
        <v>49</v>
      </c>
      <c r="C2759" s="15" t="s">
        <v>162</v>
      </c>
      <c r="D2759" s="15" t="s">
        <v>135</v>
      </c>
      <c r="E2759" s="15" t="s">
        <v>116</v>
      </c>
      <c r="F2759" s="15" t="s">
        <v>35</v>
      </c>
      <c r="G2759" s="15" t="s">
        <v>74</v>
      </c>
      <c r="H2759" s="15" t="s">
        <v>14063</v>
      </c>
      <c r="I2759" s="15" t="s">
        <v>14064</v>
      </c>
      <c r="J2759" s="15" t="s">
        <v>14065</v>
      </c>
      <c r="K2759" s="15" t="s">
        <v>166</v>
      </c>
      <c r="L2759" s="15" t="s">
        <v>167</v>
      </c>
      <c r="M2759" s="15" t="s">
        <v>168</v>
      </c>
      <c r="N2759" s="15" t="s">
        <v>169</v>
      </c>
      <c r="O2759" s="15" t="s">
        <v>82</v>
      </c>
      <c r="P2759" s="15" t="s">
        <v>3365</v>
      </c>
      <c r="Q2759" s="15" t="s">
        <v>3366</v>
      </c>
      <c r="R2759" s="16">
        <v>44329</v>
      </c>
      <c r="S2759" s="17" t="s">
        <v>70</v>
      </c>
      <c r="T2759" s="20">
        <f>HYPERLINK("https://vnm.spiral.com.vn//uploaded/20210513/dd8f6fb7-b5b5-41d5-925a-e4892dd63c4a.JPEG","07:51:40")</f>
      </c>
      <c r="U2759" s="20">
        <f>HYPERLINK("https://vnm.spiral.com.vn//uploaded/20210513/d026664b-837f-4f59-9823-706944aaadb2.JPEG","08:31:18")</f>
      </c>
      <c r="V2759" s="18">
        <v>0.027523148148148147</v>
      </c>
      <c r="W2759" s="15" t="s">
        <v>14066</v>
      </c>
      <c r="X2759" s="15" t="s">
        <v>14067</v>
      </c>
      <c r="Y2759" s="15" t="s">
        <v>35</v>
      </c>
      <c r="Z2759" s="19">
        <v>0</v>
      </c>
      <c r="AA2759" s="15">
        <v>0</v>
      </c>
      <c r="AB2759" s="15" t="s">
        <v>35</v>
      </c>
    </row>
    <row r="2760">
      <c r="A2760" s="15">
        <v>2756</v>
      </c>
      <c r="B2760" s="15" t="s">
        <v>343</v>
      </c>
      <c r="C2760" s="15" t="s">
        <v>645</v>
      </c>
      <c r="D2760" s="15" t="s">
        <v>35</v>
      </c>
      <c r="E2760" s="15" t="s">
        <v>35</v>
      </c>
      <c r="F2760" s="15" t="s">
        <v>35</v>
      </c>
      <c r="G2760" s="15" t="s">
        <v>36</v>
      </c>
      <c r="H2760" s="15" t="s">
        <v>14068</v>
      </c>
      <c r="I2760" s="15" t="s">
        <v>14069</v>
      </c>
      <c r="J2760" s="15" t="s">
        <v>14070</v>
      </c>
      <c r="K2760" s="15" t="s">
        <v>40</v>
      </c>
      <c r="L2760" s="15" t="s">
        <v>41</v>
      </c>
      <c r="M2760" s="15" t="s">
        <v>42</v>
      </c>
      <c r="N2760" s="15" t="s">
        <v>43</v>
      </c>
      <c r="O2760" s="15" t="s">
        <v>44</v>
      </c>
      <c r="P2760" s="15" t="s">
        <v>14071</v>
      </c>
      <c r="Q2760" s="15" t="s">
        <v>14072</v>
      </c>
      <c r="R2760" s="16">
        <v>44329</v>
      </c>
      <c r="S2760" s="17" t="s">
        <v>13344</v>
      </c>
      <c r="T2760" s="20">
        <f>HYPERLINK("https://vnm.spiral.com.vn//uploaded/20210513/D4259160-2F42-4CBF-BD2A-7AF789A25992.jpg","08:30:56")</f>
      </c>
      <c r="U2760" s="18"/>
      <c r="V2760" s="18" t="s">
        <v>35</v>
      </c>
      <c r="W2760" s="15" t="s">
        <v>14073</v>
      </c>
      <c r="X2760" s="15" t="s">
        <v>35</v>
      </c>
      <c r="Y2760" s="15" t="s">
        <v>35</v>
      </c>
      <c r="Z2760" s="19">
        <v>0</v>
      </c>
      <c r="AA2760" s="15">
        <v>0</v>
      </c>
      <c r="AB2760" s="15" t="s">
        <v>35</v>
      </c>
    </row>
    <row r="2761">
      <c r="A2761" s="15">
        <v>2757</v>
      </c>
      <c r="B2761" s="15" t="s">
        <v>246</v>
      </c>
      <c r="C2761" s="15" t="s">
        <v>2005</v>
      </c>
      <c r="D2761" s="15" t="s">
        <v>35</v>
      </c>
      <c r="E2761" s="15" t="s">
        <v>35</v>
      </c>
      <c r="F2761" s="15" t="s">
        <v>6614</v>
      </c>
      <c r="G2761" s="15" t="s">
        <v>36</v>
      </c>
      <c r="H2761" s="15" t="s">
        <v>14074</v>
      </c>
      <c r="I2761" s="15" t="s">
        <v>14075</v>
      </c>
      <c r="J2761" s="15" t="s">
        <v>14076</v>
      </c>
      <c r="K2761" s="15" t="s">
        <v>40</v>
      </c>
      <c r="L2761" s="15" t="s">
        <v>41</v>
      </c>
      <c r="M2761" s="15" t="s">
        <v>252</v>
      </c>
      <c r="N2761" s="15" t="s">
        <v>253</v>
      </c>
      <c r="O2761" s="15" t="s">
        <v>44</v>
      </c>
      <c r="P2761" s="15" t="s">
        <v>14077</v>
      </c>
      <c r="Q2761" s="15" t="s">
        <v>14078</v>
      </c>
      <c r="R2761" s="16">
        <v>44329</v>
      </c>
      <c r="S2761" s="17" t="s">
        <v>13344</v>
      </c>
      <c r="T2761" s="20">
        <f>HYPERLINK("https://vnm.spiral.com.vn//uploaded/20210513/79602A82-C165-4F94-A782-FF35CA43B696.jpg","08:30:09")</f>
      </c>
      <c r="U2761" s="18"/>
      <c r="V2761" s="18" t="s">
        <v>35</v>
      </c>
      <c r="W2761" s="15" t="s">
        <v>14079</v>
      </c>
      <c r="X2761" s="15" t="s">
        <v>35</v>
      </c>
      <c r="Y2761" s="15" t="s">
        <v>35</v>
      </c>
      <c r="Z2761" s="19">
        <v>0</v>
      </c>
      <c r="AA2761" s="15">
        <v>0</v>
      </c>
      <c r="AB2761" s="15" t="s">
        <v>35</v>
      </c>
    </row>
    <row r="2762">
      <c r="A2762" s="15">
        <v>2758</v>
      </c>
      <c r="B2762" s="15" t="s">
        <v>87</v>
      </c>
      <c r="C2762" s="15" t="s">
        <v>88</v>
      </c>
      <c r="D2762" s="15" t="s">
        <v>357</v>
      </c>
      <c r="E2762" s="15" t="s">
        <v>90</v>
      </c>
      <c r="F2762" s="15" t="s">
        <v>35</v>
      </c>
      <c r="G2762" s="15" t="s">
        <v>74</v>
      </c>
      <c r="H2762" s="15" t="s">
        <v>14080</v>
      </c>
      <c r="I2762" s="15" t="s">
        <v>14081</v>
      </c>
      <c r="J2762" s="15" t="s">
        <v>14082</v>
      </c>
      <c r="K2762" s="15" t="s">
        <v>94</v>
      </c>
      <c r="L2762" s="15" t="s">
        <v>95</v>
      </c>
      <c r="M2762" s="15" t="s">
        <v>1570</v>
      </c>
      <c r="N2762" s="15" t="s">
        <v>1571</v>
      </c>
      <c r="O2762" s="15" t="s">
        <v>98</v>
      </c>
      <c r="P2762" s="15" t="s">
        <v>2024</v>
      </c>
      <c r="Q2762" s="15" t="s">
        <v>2025</v>
      </c>
      <c r="R2762" s="16">
        <v>44329</v>
      </c>
      <c r="S2762" s="17" t="s">
        <v>70</v>
      </c>
      <c r="T2762" s="20">
        <f>HYPERLINK("https://vnm.spiral.com.vn//uploaded/20210513/a139fa02-3712-42aa-988c-93930a3675d0.JPEG","07:58:27")</f>
      </c>
      <c r="U2762" s="20">
        <f>HYPERLINK("https://vnm.spiral.com.vn//uploaded/20210513/481f3cf7-73a8-4117-9c25-e43449301efa.JPEG","08:29:53")</f>
      </c>
      <c r="V2762" s="18">
        <v>0.021828703703703704</v>
      </c>
      <c r="W2762" s="15" t="s">
        <v>14083</v>
      </c>
      <c r="X2762" s="15" t="s">
        <v>14084</v>
      </c>
      <c r="Y2762" s="15" t="s">
        <v>35</v>
      </c>
      <c r="Z2762" s="19">
        <v>0</v>
      </c>
      <c r="AA2762" s="15">
        <v>0</v>
      </c>
      <c r="AB2762" s="15" t="s">
        <v>35</v>
      </c>
    </row>
    <row r="2763">
      <c r="A2763" s="15">
        <v>2759</v>
      </c>
      <c r="B2763" s="15" t="s">
        <v>33</v>
      </c>
      <c r="C2763" s="15" t="s">
        <v>492</v>
      </c>
      <c r="D2763" s="15" t="s">
        <v>35</v>
      </c>
      <c r="E2763" s="15" t="s">
        <v>35</v>
      </c>
      <c r="F2763" s="15" t="s">
        <v>35</v>
      </c>
      <c r="G2763" s="15" t="s">
        <v>36</v>
      </c>
      <c r="H2763" s="15" t="s">
        <v>14085</v>
      </c>
      <c r="I2763" s="15" t="s">
        <v>14086</v>
      </c>
      <c r="J2763" s="15" t="s">
        <v>14087</v>
      </c>
      <c r="K2763" s="15" t="s">
        <v>40</v>
      </c>
      <c r="L2763" s="15" t="s">
        <v>41</v>
      </c>
      <c r="M2763" s="15" t="s">
        <v>42</v>
      </c>
      <c r="N2763" s="15" t="s">
        <v>43</v>
      </c>
      <c r="O2763" s="15" t="s">
        <v>44</v>
      </c>
      <c r="P2763" s="15" t="s">
        <v>14088</v>
      </c>
      <c r="Q2763" s="15" t="s">
        <v>3035</v>
      </c>
      <c r="R2763" s="16">
        <v>44329</v>
      </c>
      <c r="S2763" s="17" t="s">
        <v>326</v>
      </c>
      <c r="T2763" s="20">
        <f>HYPERLINK("https://vnm.spiral.com.vn//uploaded/20210513/0f365f0b-4d17-4c43-9352-124e66ee53d9.JPEG","08:28:53")</f>
      </c>
      <c r="U2763" s="18"/>
      <c r="V2763" s="18" t="s">
        <v>35</v>
      </c>
      <c r="W2763" s="15" t="s">
        <v>14089</v>
      </c>
      <c r="X2763" s="15" t="s">
        <v>35</v>
      </c>
      <c r="Y2763" s="15" t="s">
        <v>35</v>
      </c>
      <c r="Z2763" s="19">
        <v>0</v>
      </c>
      <c r="AA2763" s="15">
        <v>0</v>
      </c>
      <c r="AB2763" s="15" t="s">
        <v>35</v>
      </c>
    </row>
    <row r="2764">
      <c r="A2764" s="15">
        <v>2760</v>
      </c>
      <c r="B2764" s="15" t="s">
        <v>61</v>
      </c>
      <c r="C2764" s="15" t="s">
        <v>62</v>
      </c>
      <c r="D2764" s="15" t="s">
        <v>35</v>
      </c>
      <c r="E2764" s="15" t="s">
        <v>35</v>
      </c>
      <c r="F2764" s="15" t="s">
        <v>3325</v>
      </c>
      <c r="G2764" s="15" t="s">
        <v>36</v>
      </c>
      <c r="H2764" s="15" t="s">
        <v>14090</v>
      </c>
      <c r="I2764" s="15" t="s">
        <v>14091</v>
      </c>
      <c r="J2764" s="15" t="s">
        <v>14092</v>
      </c>
      <c r="K2764" s="15" t="s">
        <v>40</v>
      </c>
      <c r="L2764" s="15" t="s">
        <v>41</v>
      </c>
      <c r="M2764" s="15" t="s">
        <v>66</v>
      </c>
      <c r="N2764" s="15" t="s">
        <v>67</v>
      </c>
      <c r="O2764" s="15" t="s">
        <v>44</v>
      </c>
      <c r="P2764" s="15" t="s">
        <v>14093</v>
      </c>
      <c r="Q2764" s="15" t="s">
        <v>14094</v>
      </c>
      <c r="R2764" s="16">
        <v>44329</v>
      </c>
      <c r="S2764" s="17" t="s">
        <v>577</v>
      </c>
      <c r="T2764" s="20">
        <f>HYPERLINK("https://vnm.spiral.com.vn//uploaded/20210513/ebf726ad-e7a0-43ff-b477-8099914a2204.JPEG","08:28:37")</f>
      </c>
      <c r="U2764" s="18"/>
      <c r="V2764" s="18" t="s">
        <v>35</v>
      </c>
      <c r="W2764" s="15" t="s">
        <v>14095</v>
      </c>
      <c r="X2764" s="15" t="s">
        <v>35</v>
      </c>
      <c r="Y2764" s="15" t="s">
        <v>35</v>
      </c>
      <c r="Z2764" s="19">
        <v>0</v>
      </c>
      <c r="AA2764" s="15">
        <v>0</v>
      </c>
      <c r="AB2764" s="15" t="s">
        <v>35</v>
      </c>
    </row>
    <row r="2765">
      <c r="A2765" s="15">
        <v>2761</v>
      </c>
      <c r="B2765" s="15" t="s">
        <v>87</v>
      </c>
      <c r="C2765" s="15" t="s">
        <v>88</v>
      </c>
      <c r="D2765" s="15" t="s">
        <v>35</v>
      </c>
      <c r="E2765" s="15" t="s">
        <v>35</v>
      </c>
      <c r="F2765" s="15" t="s">
        <v>2721</v>
      </c>
      <c r="G2765" s="15" t="s">
        <v>36</v>
      </c>
      <c r="H2765" s="15" t="s">
        <v>14096</v>
      </c>
      <c r="I2765" s="15" t="s">
        <v>14097</v>
      </c>
      <c r="J2765" s="15" t="s">
        <v>14098</v>
      </c>
      <c r="K2765" s="15" t="s">
        <v>40</v>
      </c>
      <c r="L2765" s="15" t="s">
        <v>41</v>
      </c>
      <c r="M2765" s="15" t="s">
        <v>1195</v>
      </c>
      <c r="N2765" s="15" t="s">
        <v>1196</v>
      </c>
      <c r="O2765" s="15" t="s">
        <v>44</v>
      </c>
      <c r="P2765" s="15" t="s">
        <v>14099</v>
      </c>
      <c r="Q2765" s="15" t="s">
        <v>7582</v>
      </c>
      <c r="R2765" s="16">
        <v>44329</v>
      </c>
      <c r="S2765" s="17" t="s">
        <v>326</v>
      </c>
      <c r="T2765" s="20">
        <f>HYPERLINK("https://vnm.spiral.com.vn//uploaded/20210513/e224491a-dae1-4bdf-9dfe-ceb976d70d07.JPEG","08:28:10")</f>
      </c>
      <c r="U2765" s="18"/>
      <c r="V2765" s="18" t="s">
        <v>35</v>
      </c>
      <c r="W2765" s="15" t="s">
        <v>14100</v>
      </c>
      <c r="X2765" s="15" t="s">
        <v>35</v>
      </c>
      <c r="Y2765" s="15" t="s">
        <v>35</v>
      </c>
      <c r="Z2765" s="19">
        <v>0</v>
      </c>
      <c r="AA2765" s="15">
        <v>0</v>
      </c>
      <c r="AB2765" s="15" t="s">
        <v>35</v>
      </c>
    </row>
    <row r="2766">
      <c r="A2766" s="15">
        <v>2762</v>
      </c>
      <c r="B2766" s="15" t="s">
        <v>61</v>
      </c>
      <c r="C2766" s="15" t="s">
        <v>303</v>
      </c>
      <c r="D2766" s="15" t="s">
        <v>135</v>
      </c>
      <c r="E2766" s="15" t="s">
        <v>116</v>
      </c>
      <c r="F2766" s="15" t="s">
        <v>35</v>
      </c>
      <c r="G2766" s="15" t="s">
        <v>74</v>
      </c>
      <c r="H2766" s="15" t="s">
        <v>14101</v>
      </c>
      <c r="I2766" s="15" t="s">
        <v>14102</v>
      </c>
      <c r="J2766" s="15" t="s">
        <v>14103</v>
      </c>
      <c r="K2766" s="15" t="s">
        <v>232</v>
      </c>
      <c r="L2766" s="15" t="s">
        <v>233</v>
      </c>
      <c r="M2766" s="15" t="s">
        <v>503</v>
      </c>
      <c r="N2766" s="15" t="s">
        <v>504</v>
      </c>
      <c r="O2766" s="15" t="s">
        <v>82</v>
      </c>
      <c r="P2766" s="15" t="s">
        <v>2063</v>
      </c>
      <c r="Q2766" s="15" t="s">
        <v>2064</v>
      </c>
      <c r="R2766" s="16">
        <v>44329</v>
      </c>
      <c r="S2766" s="17" t="s">
        <v>70</v>
      </c>
      <c r="T2766" s="20">
        <f>HYPERLINK("https://vnm.spiral.com.vn//uploaded/20210513/6FED4F37-A522-4337-81DA-08C96EEA298F.jpg","07:45:33")</f>
      </c>
      <c r="U2766" s="20">
        <f>HYPERLINK("https://vnm.spiral.com.vn//uploaded/20210513/1BEF0E52-CB50-4767-8764-363930C6C343.jpg","08:27:58")</f>
      </c>
      <c r="V2766" s="18">
        <v>0.029456018518518517</v>
      </c>
      <c r="W2766" s="15" t="s">
        <v>14104</v>
      </c>
      <c r="X2766" s="15" t="s">
        <v>14105</v>
      </c>
      <c r="Y2766" s="15" t="s">
        <v>35</v>
      </c>
      <c r="Z2766" s="19">
        <v>0</v>
      </c>
      <c r="AA2766" s="15">
        <v>0</v>
      </c>
      <c r="AB2766" s="15" t="s">
        <v>35</v>
      </c>
    </row>
    <row r="2767">
      <c r="A2767" s="15">
        <v>2763</v>
      </c>
      <c r="B2767" s="15" t="s">
        <v>87</v>
      </c>
      <c r="C2767" s="15" t="s">
        <v>88</v>
      </c>
      <c r="D2767" s="15" t="s">
        <v>1910</v>
      </c>
      <c r="E2767" s="15" t="s">
        <v>1910</v>
      </c>
      <c r="F2767" s="15" t="s">
        <v>35</v>
      </c>
      <c r="G2767" s="15" t="s">
        <v>74</v>
      </c>
      <c r="H2767" s="15" t="s">
        <v>14106</v>
      </c>
      <c r="I2767" s="15" t="s">
        <v>14107</v>
      </c>
      <c r="J2767" s="15" t="s">
        <v>14108</v>
      </c>
      <c r="K2767" s="15" t="s">
        <v>888</v>
      </c>
      <c r="L2767" s="15" t="s">
        <v>889</v>
      </c>
      <c r="M2767" s="15" t="s">
        <v>1666</v>
      </c>
      <c r="N2767" s="15" t="s">
        <v>1667</v>
      </c>
      <c r="O2767" s="15" t="s">
        <v>82</v>
      </c>
      <c r="P2767" s="15" t="s">
        <v>6570</v>
      </c>
      <c r="Q2767" s="15" t="s">
        <v>6571</v>
      </c>
      <c r="R2767" s="16">
        <v>44329</v>
      </c>
      <c r="S2767" s="17" t="s">
        <v>70</v>
      </c>
      <c r="T2767" s="20">
        <f>HYPERLINK("https://vnm.spiral.com.vn//uploaded/20210513/6329B628-1C33-4CD8-9966-22FE284EA73A.jpg","08:05:14")</f>
      </c>
      <c r="U2767" s="20">
        <f>HYPERLINK("https://vnm.spiral.com.vn//uploaded/20210513/DE073562-9BA1-4FF8-9833-12ACB9E01CA0.jpg","08:27:54")</f>
      </c>
      <c r="V2767" s="18">
        <v>0.01574074074074074</v>
      </c>
      <c r="W2767" s="15" t="s">
        <v>14109</v>
      </c>
      <c r="X2767" s="15" t="s">
        <v>14110</v>
      </c>
      <c r="Y2767" s="15" t="s">
        <v>35</v>
      </c>
      <c r="Z2767" s="19">
        <v>0</v>
      </c>
      <c r="AA2767" s="15">
        <v>0</v>
      </c>
      <c r="AB2767" s="15" t="s">
        <v>35</v>
      </c>
    </row>
    <row r="2768">
      <c r="A2768" s="15">
        <v>2764</v>
      </c>
      <c r="B2768" s="15" t="s">
        <v>33</v>
      </c>
      <c r="C2768" s="15" t="s">
        <v>2999</v>
      </c>
      <c r="D2768" s="15" t="s">
        <v>35</v>
      </c>
      <c r="E2768" s="15" t="s">
        <v>35</v>
      </c>
      <c r="F2768" s="15" t="s">
        <v>35</v>
      </c>
      <c r="G2768" s="15" t="s">
        <v>74</v>
      </c>
      <c r="H2768" s="15" t="s">
        <v>14111</v>
      </c>
      <c r="I2768" s="15" t="s">
        <v>14112</v>
      </c>
      <c r="J2768" s="15" t="s">
        <v>14113</v>
      </c>
      <c r="K2768" s="15" t="s">
        <v>2887</v>
      </c>
      <c r="L2768" s="15" t="s">
        <v>2888</v>
      </c>
      <c r="M2768" s="15" t="s">
        <v>2889</v>
      </c>
      <c r="N2768" s="15" t="s">
        <v>2890</v>
      </c>
      <c r="O2768" s="15" t="s">
        <v>82</v>
      </c>
      <c r="P2768" s="15" t="s">
        <v>3003</v>
      </c>
      <c r="Q2768" s="15" t="s">
        <v>1155</v>
      </c>
      <c r="R2768" s="16">
        <v>44329</v>
      </c>
      <c r="S2768" s="17" t="s">
        <v>70</v>
      </c>
      <c r="T2768" s="20">
        <f>HYPERLINK("https://vnm.spiral.com.vn//uploaded/20210513/874ffc26-1fac-4057-ae25-7b9a631804f4.JPEG","07:35:50")</f>
      </c>
      <c r="U2768" s="20">
        <f>HYPERLINK("https://vnm.spiral.com.vn//uploaded/20210513/b4a5a9ba-df0c-446a-91fc-b7343425fab8.JPEG","08:27:36")</f>
      </c>
      <c r="V2768" s="18">
        <v>0.03594907407407407</v>
      </c>
      <c r="W2768" s="15" t="s">
        <v>14114</v>
      </c>
      <c r="X2768" s="15" t="s">
        <v>14115</v>
      </c>
      <c r="Y2768" s="15" t="s">
        <v>35</v>
      </c>
      <c r="Z2768" s="19">
        <v>0</v>
      </c>
      <c r="AA2768" s="15">
        <v>0</v>
      </c>
      <c r="AB2768" s="15" t="s">
        <v>35</v>
      </c>
    </row>
    <row r="2769">
      <c r="A2769" s="15">
        <v>2765</v>
      </c>
      <c r="B2769" s="15" t="s">
        <v>87</v>
      </c>
      <c r="C2769" s="15" t="s">
        <v>88</v>
      </c>
      <c r="D2769" s="15" t="s">
        <v>35</v>
      </c>
      <c r="E2769" s="15" t="s">
        <v>35</v>
      </c>
      <c r="F2769" s="15" t="s">
        <v>35</v>
      </c>
      <c r="G2769" s="15" t="s">
        <v>74</v>
      </c>
      <c r="H2769" s="15" t="s">
        <v>14116</v>
      </c>
      <c r="I2769" s="15" t="s">
        <v>14117</v>
      </c>
      <c r="J2769" s="15" t="s">
        <v>14118</v>
      </c>
      <c r="K2769" s="15" t="s">
        <v>888</v>
      </c>
      <c r="L2769" s="15" t="s">
        <v>889</v>
      </c>
      <c r="M2769" s="15" t="s">
        <v>890</v>
      </c>
      <c r="N2769" s="15" t="s">
        <v>891</v>
      </c>
      <c r="O2769" s="15" t="s">
        <v>82</v>
      </c>
      <c r="P2769" s="15" t="s">
        <v>1547</v>
      </c>
      <c r="Q2769" s="15" t="s">
        <v>1548</v>
      </c>
      <c r="R2769" s="16">
        <v>44329</v>
      </c>
      <c r="S2769" s="17" t="s">
        <v>70</v>
      </c>
      <c r="T2769" s="20">
        <f>HYPERLINK("https://vnm.spiral.com.vn//uploaded/20210513/6DA07BA9-77A0-462F-82E8-E97235EA21B4.jpg","07:43:51")</f>
      </c>
      <c r="U2769" s="20">
        <f>HYPERLINK("https://vnm.spiral.com.vn//uploaded/20210513/E0A4ABC0-FE92-4E60-BC17-50BA8B9F79B3.jpg","08:27:23")</f>
      </c>
      <c r="V2769" s="18">
        <v>0.03023148148148148</v>
      </c>
      <c r="W2769" s="15" t="s">
        <v>14119</v>
      </c>
      <c r="X2769" s="15" t="s">
        <v>13482</v>
      </c>
      <c r="Y2769" s="15" t="s">
        <v>35</v>
      </c>
      <c r="Z2769" s="19">
        <v>0</v>
      </c>
      <c r="AA2769" s="15">
        <v>0</v>
      </c>
      <c r="AB2769" s="15" t="s">
        <v>35</v>
      </c>
    </row>
    <row r="2770">
      <c r="A2770" s="15">
        <v>2766</v>
      </c>
      <c r="B2770" s="15" t="s">
        <v>49</v>
      </c>
      <c r="C2770" s="15" t="s">
        <v>162</v>
      </c>
      <c r="D2770" s="15" t="s">
        <v>35</v>
      </c>
      <c r="E2770" s="15" t="s">
        <v>35</v>
      </c>
      <c r="F2770" s="15" t="s">
        <v>3675</v>
      </c>
      <c r="G2770" s="15" t="s">
        <v>36</v>
      </c>
      <c r="H2770" s="15" t="s">
        <v>14120</v>
      </c>
      <c r="I2770" s="15" t="s">
        <v>14121</v>
      </c>
      <c r="J2770" s="15" t="s">
        <v>14122</v>
      </c>
      <c r="K2770" s="15" t="s">
        <v>40</v>
      </c>
      <c r="L2770" s="15" t="s">
        <v>41</v>
      </c>
      <c r="M2770" s="15" t="s">
        <v>55</v>
      </c>
      <c r="N2770" s="15" t="s">
        <v>56</v>
      </c>
      <c r="O2770" s="15" t="s">
        <v>44</v>
      </c>
      <c r="P2770" s="15" t="s">
        <v>14123</v>
      </c>
      <c r="Q2770" s="15" t="s">
        <v>14124</v>
      </c>
      <c r="R2770" s="16">
        <v>44329</v>
      </c>
      <c r="S2770" s="17" t="s">
        <v>326</v>
      </c>
      <c r="T2770" s="20">
        <f>HYPERLINK("https://vnm.spiral.com.vn//uploaded/20210513/C43A32F0-83BB-4E0B-9180-C093E2F11E53.jpg","08:27:05")</f>
      </c>
      <c r="U2770" s="18"/>
      <c r="V2770" s="18" t="s">
        <v>35</v>
      </c>
      <c r="W2770" s="15" t="s">
        <v>14125</v>
      </c>
      <c r="X2770" s="15" t="s">
        <v>35</v>
      </c>
      <c r="Y2770" s="15" t="s">
        <v>35</v>
      </c>
      <c r="Z2770" s="19">
        <v>0</v>
      </c>
      <c r="AA2770" s="15">
        <v>0</v>
      </c>
      <c r="AB2770" s="15" t="s">
        <v>35</v>
      </c>
    </row>
    <row r="2771">
      <c r="A2771" s="15">
        <v>2767</v>
      </c>
      <c r="B2771" s="15" t="s">
        <v>61</v>
      </c>
      <c r="C2771" s="15" t="s">
        <v>904</v>
      </c>
      <c r="D2771" s="15" t="s">
        <v>135</v>
      </c>
      <c r="E2771" s="15" t="s">
        <v>116</v>
      </c>
      <c r="F2771" s="15" t="s">
        <v>35</v>
      </c>
      <c r="G2771" s="15" t="s">
        <v>74</v>
      </c>
      <c r="H2771" s="15" t="s">
        <v>14126</v>
      </c>
      <c r="I2771" s="15" t="s">
        <v>14127</v>
      </c>
      <c r="J2771" s="15" t="s">
        <v>14128</v>
      </c>
      <c r="K2771" s="15" t="s">
        <v>1586</v>
      </c>
      <c r="L2771" s="15" t="s">
        <v>1587</v>
      </c>
      <c r="M2771" s="15" t="s">
        <v>1588</v>
      </c>
      <c r="N2771" s="15" t="s">
        <v>1589</v>
      </c>
      <c r="O2771" s="15" t="s">
        <v>82</v>
      </c>
      <c r="P2771" s="15" t="s">
        <v>3609</v>
      </c>
      <c r="Q2771" s="15" t="s">
        <v>3610</v>
      </c>
      <c r="R2771" s="16">
        <v>44329</v>
      </c>
      <c r="S2771" s="17" t="s">
        <v>70</v>
      </c>
      <c r="T2771" s="20">
        <f>HYPERLINK("https://vnm.spiral.com.vn//uploaded/20210513/9B297A42-8E26-4C3C-810F-EA500B640B44.jpg","07:33:54")</f>
      </c>
      <c r="U2771" s="20">
        <f>HYPERLINK("https://vnm.spiral.com.vn//uploaded/20210513/37DFE117-66BB-4FE1-8AE1-BF65573FE992.jpg","08:26:18")</f>
      </c>
      <c r="V2771" s="18">
        <v>0.03638888888888889</v>
      </c>
      <c r="W2771" s="15" t="s">
        <v>14129</v>
      </c>
      <c r="X2771" s="15" t="s">
        <v>14130</v>
      </c>
      <c r="Y2771" s="15" t="s">
        <v>35</v>
      </c>
      <c r="Z2771" s="19">
        <v>0</v>
      </c>
      <c r="AA2771" s="15">
        <v>0</v>
      </c>
      <c r="AB2771" s="15" t="s">
        <v>35</v>
      </c>
    </row>
    <row r="2772">
      <c r="A2772" s="15">
        <v>2768</v>
      </c>
      <c r="B2772" s="15" t="s">
        <v>87</v>
      </c>
      <c r="C2772" s="15" t="s">
        <v>88</v>
      </c>
      <c r="D2772" s="15" t="s">
        <v>35</v>
      </c>
      <c r="E2772" s="15" t="s">
        <v>35</v>
      </c>
      <c r="F2772" s="15" t="s">
        <v>35</v>
      </c>
      <c r="G2772" s="15" t="s">
        <v>74</v>
      </c>
      <c r="H2772" s="15" t="s">
        <v>14131</v>
      </c>
      <c r="I2772" s="15" t="s">
        <v>14132</v>
      </c>
      <c r="J2772" s="15" t="s">
        <v>14133</v>
      </c>
      <c r="K2772" s="15" t="s">
        <v>888</v>
      </c>
      <c r="L2772" s="15" t="s">
        <v>889</v>
      </c>
      <c r="M2772" s="15" t="s">
        <v>924</v>
      </c>
      <c r="N2772" s="15" t="s">
        <v>925</v>
      </c>
      <c r="O2772" s="15" t="s">
        <v>82</v>
      </c>
      <c r="P2772" s="15" t="s">
        <v>5478</v>
      </c>
      <c r="Q2772" s="15" t="s">
        <v>5479</v>
      </c>
      <c r="R2772" s="16">
        <v>44329</v>
      </c>
      <c r="S2772" s="17" t="s">
        <v>70</v>
      </c>
      <c r="T2772" s="20">
        <f>HYPERLINK("https://vnm.spiral.com.vn//uploaded/20210513/e796b844-505b-45aa-9cbb-750127bcbce1.JPEG","08:07:59")</f>
      </c>
      <c r="U2772" s="20">
        <f>HYPERLINK("https://vnm.spiral.com.vn//uploaded/20210513/6c53b04d-0d6b-45c6-990f-570af1458a1c.JPEG","08:26:13")</f>
      </c>
      <c r="V2772" s="18">
        <v>0.012662037037037038</v>
      </c>
      <c r="W2772" s="15" t="s">
        <v>14134</v>
      </c>
      <c r="X2772" s="15" t="s">
        <v>14135</v>
      </c>
      <c r="Y2772" s="15" t="s">
        <v>35</v>
      </c>
      <c r="Z2772" s="19">
        <v>0</v>
      </c>
      <c r="AA2772" s="15">
        <v>0</v>
      </c>
      <c r="AB2772" s="15" t="s">
        <v>35</v>
      </c>
    </row>
    <row r="2773">
      <c r="A2773" s="15">
        <v>2769</v>
      </c>
      <c r="B2773" s="15" t="s">
        <v>103</v>
      </c>
      <c r="C2773" s="15" t="s">
        <v>186</v>
      </c>
      <c r="D2773" s="15" t="s">
        <v>135</v>
      </c>
      <c r="E2773" s="15" t="s">
        <v>116</v>
      </c>
      <c r="F2773" s="15" t="s">
        <v>35</v>
      </c>
      <c r="G2773" s="15" t="s">
        <v>74</v>
      </c>
      <c r="H2773" s="15" t="s">
        <v>14136</v>
      </c>
      <c r="I2773" s="15" t="s">
        <v>14137</v>
      </c>
      <c r="J2773" s="15" t="s">
        <v>14138</v>
      </c>
      <c r="K2773" s="15" t="s">
        <v>436</v>
      </c>
      <c r="L2773" s="15" t="s">
        <v>437</v>
      </c>
      <c r="M2773" s="15" t="s">
        <v>438</v>
      </c>
      <c r="N2773" s="15" t="s">
        <v>439</v>
      </c>
      <c r="O2773" s="15" t="s">
        <v>82</v>
      </c>
      <c r="P2773" s="15" t="s">
        <v>2431</v>
      </c>
      <c r="Q2773" s="15" t="s">
        <v>2432</v>
      </c>
      <c r="R2773" s="16">
        <v>44329</v>
      </c>
      <c r="S2773" s="17" t="s">
        <v>70</v>
      </c>
      <c r="T2773" s="20">
        <f>HYPERLINK("https://vnm.spiral.com.vn//uploaded/20210513/AD77A70D-9C12-4420-BC18-623176A52B69.jpg","07:43:57")</f>
      </c>
      <c r="U2773" s="20">
        <f>HYPERLINK("https://vnm.spiral.com.vn//uploaded/20210513/81C1BE5C-B360-4CCD-B721-7D747BB41C50.jpg","08:26:06")</f>
      </c>
      <c r="V2773" s="18">
        <v>0.029270833333333333</v>
      </c>
      <c r="W2773" s="15" t="s">
        <v>14139</v>
      </c>
      <c r="X2773" s="15" t="s">
        <v>14140</v>
      </c>
      <c r="Y2773" s="15" t="s">
        <v>35</v>
      </c>
      <c r="Z2773" s="19">
        <v>0</v>
      </c>
      <c r="AA2773" s="15">
        <v>0</v>
      </c>
      <c r="AB2773" s="15" t="s">
        <v>35</v>
      </c>
    </row>
    <row r="2774">
      <c r="A2774" s="15">
        <v>2770</v>
      </c>
      <c r="B2774" s="15" t="s">
        <v>103</v>
      </c>
      <c r="C2774" s="15" t="s">
        <v>104</v>
      </c>
      <c r="D2774" s="15" t="s">
        <v>35</v>
      </c>
      <c r="E2774" s="15" t="s">
        <v>35</v>
      </c>
      <c r="F2774" s="15" t="s">
        <v>35</v>
      </c>
      <c r="G2774" s="15" t="s">
        <v>36</v>
      </c>
      <c r="H2774" s="15" t="s">
        <v>14141</v>
      </c>
      <c r="I2774" s="15" t="s">
        <v>14142</v>
      </c>
      <c r="J2774" s="15" t="s">
        <v>14143</v>
      </c>
      <c r="K2774" s="15" t="s">
        <v>40</v>
      </c>
      <c r="L2774" s="15" t="s">
        <v>41</v>
      </c>
      <c r="M2774" s="15" t="s">
        <v>108</v>
      </c>
      <c r="N2774" s="15" t="s">
        <v>109</v>
      </c>
      <c r="O2774" s="15" t="s">
        <v>44</v>
      </c>
      <c r="P2774" s="15" t="s">
        <v>14144</v>
      </c>
      <c r="Q2774" s="15" t="s">
        <v>14145</v>
      </c>
      <c r="R2774" s="16">
        <v>44329</v>
      </c>
      <c r="S2774" s="17" t="s">
        <v>70</v>
      </c>
      <c r="T2774" s="20">
        <f>HYPERLINK("https://vnm.spiral.com.vn//uploaded/20210513/9b8db7a9-5172-4b32-bb1a-48a489ebe3b3.JPEG","08:25:45")</f>
      </c>
      <c r="U2774" s="18"/>
      <c r="V2774" s="18" t="s">
        <v>35</v>
      </c>
      <c r="W2774" s="15" t="s">
        <v>14146</v>
      </c>
      <c r="X2774" s="15" t="s">
        <v>35</v>
      </c>
      <c r="Y2774" s="15" t="s">
        <v>35</v>
      </c>
      <c r="Z2774" s="19">
        <v>0</v>
      </c>
      <c r="AA2774" s="15">
        <v>0</v>
      </c>
      <c r="AB2774" s="15" t="s">
        <v>35</v>
      </c>
    </row>
    <row r="2775">
      <c r="A2775" s="15">
        <v>2771</v>
      </c>
      <c r="B2775" s="15" t="s">
        <v>87</v>
      </c>
      <c r="C2775" s="15" t="s">
        <v>88</v>
      </c>
      <c r="D2775" s="15" t="s">
        <v>432</v>
      </c>
      <c r="E2775" s="15" t="s">
        <v>116</v>
      </c>
      <c r="F2775" s="15" t="s">
        <v>35</v>
      </c>
      <c r="G2775" s="15" t="s">
        <v>74</v>
      </c>
      <c r="H2775" s="15" t="s">
        <v>14147</v>
      </c>
      <c r="I2775" s="15" t="s">
        <v>14148</v>
      </c>
      <c r="J2775" s="15" t="s">
        <v>14149</v>
      </c>
      <c r="K2775" s="15" t="s">
        <v>625</v>
      </c>
      <c r="L2775" s="15" t="s">
        <v>626</v>
      </c>
      <c r="M2775" s="15" t="s">
        <v>627</v>
      </c>
      <c r="N2775" s="15" t="s">
        <v>628</v>
      </c>
      <c r="O2775" s="15" t="s">
        <v>82</v>
      </c>
      <c r="P2775" s="15" t="s">
        <v>1804</v>
      </c>
      <c r="Q2775" s="15" t="s">
        <v>1805</v>
      </c>
      <c r="R2775" s="16">
        <v>44329</v>
      </c>
      <c r="S2775" s="17" t="s">
        <v>70</v>
      </c>
      <c r="T2775" s="20">
        <f>HYPERLINK("https://vnm.spiral.com.vn//uploaded/20210513/b9577c6a-ff5f-4a23-a08f-5462d98fd97f.JPEG","07:50:49")</f>
      </c>
      <c r="U2775" s="20">
        <f>HYPERLINK("https://vnm.spiral.com.vn//uploaded/20210513/15454d39-6256-4bfc-823b-0a95e19bfea3.JPEG","08:25:05")</f>
      </c>
      <c r="V2775" s="18">
        <v>0.023796296296296298</v>
      </c>
      <c r="W2775" s="15" t="s">
        <v>14150</v>
      </c>
      <c r="X2775" s="15" t="s">
        <v>14151</v>
      </c>
      <c r="Y2775" s="15" t="s">
        <v>35</v>
      </c>
      <c r="Z2775" s="19">
        <v>0</v>
      </c>
      <c r="AA2775" s="15">
        <v>0</v>
      </c>
      <c r="AB2775" s="15" t="s">
        <v>35</v>
      </c>
    </row>
    <row r="2776">
      <c r="A2776" s="15">
        <v>2772</v>
      </c>
      <c r="B2776" s="15" t="s">
        <v>61</v>
      </c>
      <c r="C2776" s="15" t="s">
        <v>1106</v>
      </c>
      <c r="D2776" s="15" t="s">
        <v>35</v>
      </c>
      <c r="E2776" s="15" t="s">
        <v>35</v>
      </c>
      <c r="F2776" s="15" t="s">
        <v>35</v>
      </c>
      <c r="G2776" s="15" t="s">
        <v>36</v>
      </c>
      <c r="H2776" s="15" t="s">
        <v>14152</v>
      </c>
      <c r="I2776" s="15" t="s">
        <v>248</v>
      </c>
      <c r="J2776" s="15" t="s">
        <v>14153</v>
      </c>
      <c r="K2776" s="15" t="s">
        <v>40</v>
      </c>
      <c r="L2776" s="15" t="s">
        <v>41</v>
      </c>
      <c r="M2776" s="15" t="s">
        <v>205</v>
      </c>
      <c r="N2776" s="15" t="s">
        <v>206</v>
      </c>
      <c r="O2776" s="15" t="s">
        <v>44</v>
      </c>
      <c r="P2776" s="15" t="s">
        <v>14154</v>
      </c>
      <c r="Q2776" s="15" t="s">
        <v>14155</v>
      </c>
      <c r="R2776" s="16">
        <v>44329</v>
      </c>
      <c r="S2776" s="17" t="s">
        <v>577</v>
      </c>
      <c r="T2776" s="20">
        <f>HYPERLINK("https://vnm.spiral.com.vn//uploaded/20210513/77705536-645c-4448-912c-0d47ef0647b5.JPEG","08:24:28")</f>
      </c>
      <c r="U2776" s="18"/>
      <c r="V2776" s="18" t="s">
        <v>35</v>
      </c>
      <c r="W2776" s="15" t="s">
        <v>14156</v>
      </c>
      <c r="X2776" s="15" t="s">
        <v>35</v>
      </c>
      <c r="Y2776" s="15" t="s">
        <v>35</v>
      </c>
      <c r="Z2776" s="19">
        <v>0</v>
      </c>
      <c r="AA2776" s="15">
        <v>0</v>
      </c>
      <c r="AB2776" s="15" t="s">
        <v>35</v>
      </c>
    </row>
    <row r="2777">
      <c r="A2777" s="15">
        <v>2773</v>
      </c>
      <c r="B2777" s="15" t="s">
        <v>87</v>
      </c>
      <c r="C2777" s="15" t="s">
        <v>88</v>
      </c>
      <c r="D2777" s="15" t="s">
        <v>89</v>
      </c>
      <c r="E2777" s="15" t="s">
        <v>90</v>
      </c>
      <c r="F2777" s="15" t="s">
        <v>35</v>
      </c>
      <c r="G2777" s="15" t="s">
        <v>74</v>
      </c>
      <c r="H2777" s="15" t="s">
        <v>14157</v>
      </c>
      <c r="I2777" s="15" t="s">
        <v>14158</v>
      </c>
      <c r="J2777" s="15" t="s">
        <v>14159</v>
      </c>
      <c r="K2777" s="15" t="s">
        <v>94</v>
      </c>
      <c r="L2777" s="15" t="s">
        <v>95</v>
      </c>
      <c r="M2777" s="15" t="s">
        <v>96</v>
      </c>
      <c r="N2777" s="15" t="s">
        <v>97</v>
      </c>
      <c r="O2777" s="15" t="s">
        <v>156</v>
      </c>
      <c r="P2777" s="15" t="s">
        <v>14160</v>
      </c>
      <c r="Q2777" s="15" t="s">
        <v>14161</v>
      </c>
      <c r="R2777" s="16">
        <v>44329</v>
      </c>
      <c r="S2777" s="17" t="s">
        <v>14162</v>
      </c>
      <c r="T2777" s="20">
        <f>HYPERLINK("https://vnm.spiral.com.vn//uploaded/20210513/27003204-0e08-44f1-8d5f-21dbf8779f31.JPEG","08:23:47")</f>
      </c>
      <c r="U2777" s="18"/>
      <c r="V2777" s="18" t="s">
        <v>35</v>
      </c>
      <c r="W2777" s="15" t="s">
        <v>14163</v>
      </c>
      <c r="X2777" s="15" t="s">
        <v>35</v>
      </c>
      <c r="Y2777" s="15" t="s">
        <v>35</v>
      </c>
      <c r="Z2777" s="19">
        <v>0</v>
      </c>
      <c r="AA2777" s="15">
        <v>0</v>
      </c>
      <c r="AB2777" s="15" t="s">
        <v>35</v>
      </c>
    </row>
    <row r="2778">
      <c r="A2778" s="15">
        <v>2774</v>
      </c>
      <c r="B2778" s="15" t="s">
        <v>87</v>
      </c>
      <c r="C2778" s="15" t="s">
        <v>88</v>
      </c>
      <c r="D2778" s="15" t="s">
        <v>35</v>
      </c>
      <c r="E2778" s="15" t="s">
        <v>35</v>
      </c>
      <c r="F2778" s="15" t="s">
        <v>35</v>
      </c>
      <c r="G2778" s="15" t="s">
        <v>74</v>
      </c>
      <c r="H2778" s="15" t="s">
        <v>14164</v>
      </c>
      <c r="I2778" s="15" t="s">
        <v>14165</v>
      </c>
      <c r="J2778" s="15" t="s">
        <v>14166</v>
      </c>
      <c r="K2778" s="15" t="s">
        <v>888</v>
      </c>
      <c r="L2778" s="15" t="s">
        <v>889</v>
      </c>
      <c r="M2778" s="15" t="s">
        <v>1666</v>
      </c>
      <c r="N2778" s="15" t="s">
        <v>1667</v>
      </c>
      <c r="O2778" s="15" t="s">
        <v>82</v>
      </c>
      <c r="P2778" s="15" t="s">
        <v>1668</v>
      </c>
      <c r="Q2778" s="15" t="s">
        <v>1669</v>
      </c>
      <c r="R2778" s="16">
        <v>44329</v>
      </c>
      <c r="S2778" s="17" t="s">
        <v>70</v>
      </c>
      <c r="T2778" s="20">
        <f>HYPERLINK("https://vnm.spiral.com.vn//uploaded/20210513/B1739C28-5FE2-4782-B3D8-F7132367E5F6.jpg","08:06:57")</f>
      </c>
      <c r="U2778" s="20">
        <f>HYPERLINK("https://vnm.spiral.com.vn//uploaded/20210513/E6E4F0A8-2853-4A7F-AA5E-7C9A34FD3130.jpg","08:22:07")</f>
      </c>
      <c r="V2778" s="18">
        <v>0.010532407407407407</v>
      </c>
      <c r="W2778" s="15" t="s">
        <v>14167</v>
      </c>
      <c r="X2778" s="15" t="s">
        <v>14168</v>
      </c>
      <c r="Y2778" s="15" t="s">
        <v>35</v>
      </c>
      <c r="Z2778" s="19">
        <v>0</v>
      </c>
      <c r="AA2778" s="15">
        <v>0</v>
      </c>
      <c r="AB2778" s="15" t="s">
        <v>35</v>
      </c>
    </row>
    <row r="2779">
      <c r="A2779" s="15">
        <v>2775</v>
      </c>
      <c r="B2779" s="15" t="s">
        <v>87</v>
      </c>
      <c r="C2779" s="15" t="s">
        <v>88</v>
      </c>
      <c r="D2779" s="15" t="s">
        <v>35</v>
      </c>
      <c r="E2779" s="15" t="s">
        <v>35</v>
      </c>
      <c r="F2779" s="15" t="s">
        <v>35</v>
      </c>
      <c r="G2779" s="15" t="s">
        <v>74</v>
      </c>
      <c r="H2779" s="15" t="s">
        <v>14169</v>
      </c>
      <c r="I2779" s="15" t="s">
        <v>14170</v>
      </c>
      <c r="J2779" s="15" t="s">
        <v>14171</v>
      </c>
      <c r="K2779" s="15" t="s">
        <v>888</v>
      </c>
      <c r="L2779" s="15" t="s">
        <v>889</v>
      </c>
      <c r="M2779" s="15" t="s">
        <v>924</v>
      </c>
      <c r="N2779" s="15" t="s">
        <v>925</v>
      </c>
      <c r="O2779" s="15" t="s">
        <v>82</v>
      </c>
      <c r="P2779" s="15" t="s">
        <v>1893</v>
      </c>
      <c r="Q2779" s="15" t="s">
        <v>1894</v>
      </c>
      <c r="R2779" s="16">
        <v>44329</v>
      </c>
      <c r="S2779" s="17" t="s">
        <v>70</v>
      </c>
      <c r="T2779" s="20">
        <f>HYPERLINK("https://vnm.spiral.com.vn//uploaded/20210513/FEC0D50F-7086-45BB-AB66-8CDBA6141375.jpg","08:03:06")</f>
      </c>
      <c r="U2779" s="20">
        <f>HYPERLINK("https://vnm.spiral.com.vn//uploaded/20210513/4321B519-A864-4195-9F12-531BE8109CE8.jpg","08:21:53")</f>
      </c>
      <c r="V2779" s="18">
        <v>0.013043981481481481</v>
      </c>
      <c r="W2779" s="15" t="s">
        <v>14172</v>
      </c>
      <c r="X2779" s="15" t="s">
        <v>14173</v>
      </c>
      <c r="Y2779" s="15" t="s">
        <v>35</v>
      </c>
      <c r="Z2779" s="19">
        <v>0</v>
      </c>
      <c r="AA2779" s="15">
        <v>0</v>
      </c>
      <c r="AB2779" s="15" t="s">
        <v>35</v>
      </c>
    </row>
    <row r="2780">
      <c r="A2780" s="15">
        <v>2776</v>
      </c>
      <c r="B2780" s="15" t="s">
        <v>103</v>
      </c>
      <c r="C2780" s="15" t="s">
        <v>2116</v>
      </c>
      <c r="D2780" s="15" t="s">
        <v>35</v>
      </c>
      <c r="E2780" s="15" t="s">
        <v>35</v>
      </c>
      <c r="F2780" s="15" t="s">
        <v>14174</v>
      </c>
      <c r="G2780" s="15" t="s">
        <v>36</v>
      </c>
      <c r="H2780" s="15" t="s">
        <v>14175</v>
      </c>
      <c r="I2780" s="15" t="s">
        <v>14176</v>
      </c>
      <c r="J2780" s="15" t="s">
        <v>14177</v>
      </c>
      <c r="K2780" s="15" t="s">
        <v>40</v>
      </c>
      <c r="L2780" s="15" t="s">
        <v>41</v>
      </c>
      <c r="M2780" s="15" t="s">
        <v>108</v>
      </c>
      <c r="N2780" s="15" t="s">
        <v>109</v>
      </c>
      <c r="O2780" s="15" t="s">
        <v>44</v>
      </c>
      <c r="P2780" s="15" t="s">
        <v>14178</v>
      </c>
      <c r="Q2780" s="15" t="s">
        <v>14179</v>
      </c>
      <c r="R2780" s="16">
        <v>44329</v>
      </c>
      <c r="S2780" s="17" t="s">
        <v>13344</v>
      </c>
      <c r="T2780" s="20">
        <f>HYPERLINK("https://vnm.spiral.com.vn//uploaded/20210513/E634ED8D-AB30-4AD8-87F8-FB184D085CF5.jpg","08:21:08")</f>
      </c>
      <c r="U2780" s="18"/>
      <c r="V2780" s="18" t="s">
        <v>35</v>
      </c>
      <c r="W2780" s="15" t="s">
        <v>14180</v>
      </c>
      <c r="X2780" s="15" t="s">
        <v>35</v>
      </c>
      <c r="Y2780" s="15" t="s">
        <v>35</v>
      </c>
      <c r="Z2780" s="19">
        <v>0</v>
      </c>
      <c r="AA2780" s="15">
        <v>0</v>
      </c>
      <c r="AB2780" s="15" t="s">
        <v>35</v>
      </c>
    </row>
    <row r="2781">
      <c r="A2781" s="15">
        <v>2777</v>
      </c>
      <c r="B2781" s="15" t="s">
        <v>61</v>
      </c>
      <c r="C2781" s="15" t="s">
        <v>398</v>
      </c>
      <c r="D2781" s="15" t="s">
        <v>135</v>
      </c>
      <c r="E2781" s="15" t="s">
        <v>116</v>
      </c>
      <c r="F2781" s="15" t="s">
        <v>35</v>
      </c>
      <c r="G2781" s="15" t="s">
        <v>74</v>
      </c>
      <c r="H2781" s="15" t="s">
        <v>14181</v>
      </c>
      <c r="I2781" s="15" t="s">
        <v>14182</v>
      </c>
      <c r="J2781" s="15" t="s">
        <v>14183</v>
      </c>
      <c r="K2781" s="15" t="s">
        <v>1586</v>
      </c>
      <c r="L2781" s="15" t="s">
        <v>1587</v>
      </c>
      <c r="M2781" s="15" t="s">
        <v>1588</v>
      </c>
      <c r="N2781" s="15" t="s">
        <v>1589</v>
      </c>
      <c r="O2781" s="15" t="s">
        <v>82</v>
      </c>
      <c r="P2781" s="15" t="s">
        <v>5215</v>
      </c>
      <c r="Q2781" s="15" t="s">
        <v>5216</v>
      </c>
      <c r="R2781" s="16">
        <v>44329</v>
      </c>
      <c r="S2781" s="17" t="s">
        <v>70</v>
      </c>
      <c r="T2781" s="20">
        <f>HYPERLINK("https://vnm.spiral.com.vn//uploaded/20210513/4ff9b9b2-e086-4b8b-9022-08aef7503d16.JPEG","07:58:42")</f>
      </c>
      <c r="U2781" s="20">
        <f>HYPERLINK("https://vnm.spiral.com.vn//uploaded/20210513/0862641b-83c3-43f9-b750-46eb11f1ca63.JPEG","08:21:08")</f>
      </c>
      <c r="V2781" s="18">
        <v>0.015578703703703704</v>
      </c>
      <c r="W2781" s="15" t="s">
        <v>14184</v>
      </c>
      <c r="X2781" s="15" t="s">
        <v>14185</v>
      </c>
      <c r="Y2781" s="15" t="s">
        <v>35</v>
      </c>
      <c r="Z2781" s="19">
        <v>0</v>
      </c>
      <c r="AA2781" s="15">
        <v>0</v>
      </c>
      <c r="AB2781" s="15" t="s">
        <v>35</v>
      </c>
    </row>
    <row r="2782">
      <c r="A2782" s="15">
        <v>2778</v>
      </c>
      <c r="B2782" s="15" t="s">
        <v>87</v>
      </c>
      <c r="C2782" s="15" t="s">
        <v>88</v>
      </c>
      <c r="D2782" s="15" t="s">
        <v>432</v>
      </c>
      <c r="E2782" s="15" t="s">
        <v>116</v>
      </c>
      <c r="F2782" s="15" t="s">
        <v>35</v>
      </c>
      <c r="G2782" s="15" t="s">
        <v>74</v>
      </c>
      <c r="H2782" s="15" t="s">
        <v>14186</v>
      </c>
      <c r="I2782" s="15" t="s">
        <v>14187</v>
      </c>
      <c r="J2782" s="15" t="s">
        <v>14188</v>
      </c>
      <c r="K2782" s="15" t="s">
        <v>625</v>
      </c>
      <c r="L2782" s="15" t="s">
        <v>626</v>
      </c>
      <c r="M2782" s="15" t="s">
        <v>1022</v>
      </c>
      <c r="N2782" s="15" t="s">
        <v>1023</v>
      </c>
      <c r="O2782" s="15" t="s">
        <v>82</v>
      </c>
      <c r="P2782" s="15" t="s">
        <v>2241</v>
      </c>
      <c r="Q2782" s="15" t="s">
        <v>2242</v>
      </c>
      <c r="R2782" s="16">
        <v>44329</v>
      </c>
      <c r="S2782" s="17" t="s">
        <v>70</v>
      </c>
      <c r="T2782" s="20">
        <f>HYPERLINK("https://vnm.spiral.com.vn//uploaded/20210513/C13DDFE0-368C-46B9-812B-CDC6F51DDF43.jpg","07:55:57")</f>
      </c>
      <c r="U2782" s="20">
        <f>HYPERLINK("https://vnm.spiral.com.vn//uploaded/20210513/6E9C768F-D3BE-4CB6-B7FA-42FCE0985BA7.jpg","08:21:06")</f>
      </c>
      <c r="V2782" s="18">
        <v>0.017465277777777777</v>
      </c>
      <c r="W2782" s="15" t="s">
        <v>14189</v>
      </c>
      <c r="X2782" s="15" t="s">
        <v>14190</v>
      </c>
      <c r="Y2782" s="15" t="s">
        <v>35</v>
      </c>
      <c r="Z2782" s="19">
        <v>0</v>
      </c>
      <c r="AA2782" s="15">
        <v>0</v>
      </c>
      <c r="AB2782" s="15" t="s">
        <v>35</v>
      </c>
    </row>
    <row r="2783">
      <c r="A2783" s="15">
        <v>2779</v>
      </c>
      <c r="B2783" s="15" t="s">
        <v>343</v>
      </c>
      <c r="C2783" s="15" t="s">
        <v>344</v>
      </c>
      <c r="D2783" s="15" t="s">
        <v>2601</v>
      </c>
      <c r="E2783" s="15" t="s">
        <v>35</v>
      </c>
      <c r="F2783" s="15" t="s">
        <v>35</v>
      </c>
      <c r="G2783" s="15" t="s">
        <v>74</v>
      </c>
      <c r="H2783" s="15" t="s">
        <v>14191</v>
      </c>
      <c r="I2783" s="15" t="s">
        <v>14192</v>
      </c>
      <c r="J2783" s="15" t="s">
        <v>14193</v>
      </c>
      <c r="K2783" s="15" t="s">
        <v>584</v>
      </c>
      <c r="L2783" s="15" t="s">
        <v>585</v>
      </c>
      <c r="M2783" s="15" t="s">
        <v>586</v>
      </c>
      <c r="N2783" s="15" t="s">
        <v>587</v>
      </c>
      <c r="O2783" s="15" t="s">
        <v>82</v>
      </c>
      <c r="P2783" s="15" t="s">
        <v>1232</v>
      </c>
      <c r="Q2783" s="15" t="s">
        <v>1233</v>
      </c>
      <c r="R2783" s="16">
        <v>44329</v>
      </c>
      <c r="S2783" s="17" t="s">
        <v>70</v>
      </c>
      <c r="T2783" s="20">
        <f>HYPERLINK("https://vnm.spiral.com.vn//uploaded/20210513/1106a4cd-882e-43c2-b3b4-08781aecf6a3.JPEG","08:00:29")</f>
      </c>
      <c r="U2783" s="20">
        <f>HYPERLINK("https://vnm.spiral.com.vn//uploaded/20210513/f033de89-c608-4268-8389-3f25a7af8e68.JPEG","08:20:54")</f>
      </c>
      <c r="V2783" s="18">
        <v>0.014178240740740741</v>
      </c>
      <c r="W2783" s="15" t="s">
        <v>14194</v>
      </c>
      <c r="X2783" s="15" t="s">
        <v>14195</v>
      </c>
      <c r="Y2783" s="15" t="s">
        <v>35</v>
      </c>
      <c r="Z2783" s="19">
        <v>0</v>
      </c>
      <c r="AA2783" s="15">
        <v>0</v>
      </c>
      <c r="AB2783" s="15" t="s">
        <v>35</v>
      </c>
    </row>
    <row r="2784">
      <c r="A2784" s="15">
        <v>2780</v>
      </c>
      <c r="B2784" s="15" t="s">
        <v>246</v>
      </c>
      <c r="C2784" s="15" t="s">
        <v>247</v>
      </c>
      <c r="D2784" s="15" t="s">
        <v>35</v>
      </c>
      <c r="E2784" s="15" t="s">
        <v>35</v>
      </c>
      <c r="F2784" s="15" t="s">
        <v>14196</v>
      </c>
      <c r="G2784" s="15" t="s">
        <v>36</v>
      </c>
      <c r="H2784" s="15" t="s">
        <v>14197</v>
      </c>
      <c r="I2784" s="15" t="s">
        <v>14198</v>
      </c>
      <c r="J2784" s="15" t="s">
        <v>14199</v>
      </c>
      <c r="K2784" s="15" t="s">
        <v>40</v>
      </c>
      <c r="L2784" s="15" t="s">
        <v>41</v>
      </c>
      <c r="M2784" s="15" t="s">
        <v>252</v>
      </c>
      <c r="N2784" s="15" t="s">
        <v>253</v>
      </c>
      <c r="O2784" s="15" t="s">
        <v>44</v>
      </c>
      <c r="P2784" s="15" t="s">
        <v>14200</v>
      </c>
      <c r="Q2784" s="15" t="s">
        <v>14201</v>
      </c>
      <c r="R2784" s="16">
        <v>44329</v>
      </c>
      <c r="S2784" s="17" t="s">
        <v>70</v>
      </c>
      <c r="T2784" s="20">
        <f>HYPERLINK("https://vnm.spiral.com.vn//uploaded/20210513/279c0bcc-1f7f-443e-8192-637c96a55faa.JPEG","08:20:43")</f>
      </c>
      <c r="U2784" s="18"/>
      <c r="V2784" s="18" t="s">
        <v>35</v>
      </c>
      <c r="W2784" s="15" t="s">
        <v>14202</v>
      </c>
      <c r="X2784" s="15" t="s">
        <v>35</v>
      </c>
      <c r="Y2784" s="15" t="s">
        <v>35</v>
      </c>
      <c r="Z2784" s="19">
        <v>0</v>
      </c>
      <c r="AA2784" s="15">
        <v>0</v>
      </c>
      <c r="AB2784" s="15" t="s">
        <v>35</v>
      </c>
    </row>
    <row r="2785">
      <c r="A2785" s="15">
        <v>2781</v>
      </c>
      <c r="B2785" s="15" t="s">
        <v>87</v>
      </c>
      <c r="C2785" s="15" t="s">
        <v>88</v>
      </c>
      <c r="D2785" s="15" t="s">
        <v>35</v>
      </c>
      <c r="E2785" s="15" t="s">
        <v>35</v>
      </c>
      <c r="F2785" s="15" t="s">
        <v>35</v>
      </c>
      <c r="G2785" s="15" t="s">
        <v>74</v>
      </c>
      <c r="H2785" s="15" t="s">
        <v>14203</v>
      </c>
      <c r="I2785" s="15" t="s">
        <v>14204</v>
      </c>
      <c r="J2785" s="15" t="s">
        <v>14205</v>
      </c>
      <c r="K2785" s="15" t="s">
        <v>888</v>
      </c>
      <c r="L2785" s="15" t="s">
        <v>889</v>
      </c>
      <c r="M2785" s="15" t="s">
        <v>924</v>
      </c>
      <c r="N2785" s="15" t="s">
        <v>925</v>
      </c>
      <c r="O2785" s="15" t="s">
        <v>82</v>
      </c>
      <c r="P2785" s="15" t="s">
        <v>926</v>
      </c>
      <c r="Q2785" s="15" t="s">
        <v>927</v>
      </c>
      <c r="R2785" s="16">
        <v>44329</v>
      </c>
      <c r="S2785" s="17" t="s">
        <v>70</v>
      </c>
      <c r="T2785" s="20">
        <f>HYPERLINK("https://vnm.spiral.com.vn//uploaded/20210513/688282D5-E495-42E2-BFAA-DC28092FEA42.jpg","08:04:43")</f>
      </c>
      <c r="U2785" s="20">
        <f>HYPERLINK("https://vnm.spiral.com.vn//uploaded/20210513/5DABCD0C-F689-4BB2-B30B-4FBA3E1085B1.jpg","08:20:21")</f>
      </c>
      <c r="V2785" s="18">
        <v>0.01085648148148148</v>
      </c>
      <c r="W2785" s="15" t="s">
        <v>14206</v>
      </c>
      <c r="X2785" s="15" t="s">
        <v>14207</v>
      </c>
      <c r="Y2785" s="15" t="s">
        <v>35</v>
      </c>
      <c r="Z2785" s="19">
        <v>0</v>
      </c>
      <c r="AA2785" s="15">
        <v>0</v>
      </c>
      <c r="AB2785" s="15" t="s">
        <v>35</v>
      </c>
    </row>
    <row r="2786">
      <c r="A2786" s="15">
        <v>2782</v>
      </c>
      <c r="B2786" s="15" t="s">
        <v>87</v>
      </c>
      <c r="C2786" s="15" t="s">
        <v>88</v>
      </c>
      <c r="D2786" s="15" t="s">
        <v>35</v>
      </c>
      <c r="E2786" s="15" t="s">
        <v>35</v>
      </c>
      <c r="F2786" s="15" t="s">
        <v>2721</v>
      </c>
      <c r="G2786" s="15" t="s">
        <v>36</v>
      </c>
      <c r="H2786" s="15" t="s">
        <v>14208</v>
      </c>
      <c r="I2786" s="15" t="s">
        <v>14209</v>
      </c>
      <c r="J2786" s="15" t="s">
        <v>14210</v>
      </c>
      <c r="K2786" s="15" t="s">
        <v>40</v>
      </c>
      <c r="L2786" s="15" t="s">
        <v>41</v>
      </c>
      <c r="M2786" s="15" t="s">
        <v>1195</v>
      </c>
      <c r="N2786" s="15" t="s">
        <v>1196</v>
      </c>
      <c r="O2786" s="15" t="s">
        <v>44</v>
      </c>
      <c r="P2786" s="15" t="s">
        <v>14211</v>
      </c>
      <c r="Q2786" s="15" t="s">
        <v>14212</v>
      </c>
      <c r="R2786" s="16">
        <v>44329</v>
      </c>
      <c r="S2786" s="17" t="s">
        <v>326</v>
      </c>
      <c r="T2786" s="20">
        <f>HYPERLINK("https://vnm.spiral.com.vn//uploaded/20210513/abccd07c-6bdd-49a8-ae63-d46ebbca3ff5.JPEG","08:20:19")</f>
      </c>
      <c r="U2786" s="18"/>
      <c r="V2786" s="18" t="s">
        <v>35</v>
      </c>
      <c r="W2786" s="15" t="s">
        <v>14213</v>
      </c>
      <c r="X2786" s="15" t="s">
        <v>35</v>
      </c>
      <c r="Y2786" s="15" t="s">
        <v>35</v>
      </c>
      <c r="Z2786" s="19">
        <v>0</v>
      </c>
      <c r="AA2786" s="15">
        <v>0</v>
      </c>
      <c r="AB2786" s="15" t="s">
        <v>35</v>
      </c>
    </row>
    <row r="2787">
      <c r="A2787" s="15">
        <v>2783</v>
      </c>
      <c r="B2787" s="15" t="s">
        <v>87</v>
      </c>
      <c r="C2787" s="15" t="s">
        <v>88</v>
      </c>
      <c r="D2787" s="15" t="s">
        <v>35</v>
      </c>
      <c r="E2787" s="15" t="s">
        <v>35</v>
      </c>
      <c r="F2787" s="15" t="s">
        <v>35</v>
      </c>
      <c r="G2787" s="15" t="s">
        <v>74</v>
      </c>
      <c r="H2787" s="15" t="s">
        <v>14214</v>
      </c>
      <c r="I2787" s="15" t="s">
        <v>14215</v>
      </c>
      <c r="J2787" s="15" t="s">
        <v>14216</v>
      </c>
      <c r="K2787" s="15" t="s">
        <v>190</v>
      </c>
      <c r="L2787" s="15" t="s">
        <v>191</v>
      </c>
      <c r="M2787" s="15" t="s">
        <v>888</v>
      </c>
      <c r="N2787" s="15" t="s">
        <v>889</v>
      </c>
      <c r="O2787" s="15" t="s">
        <v>98</v>
      </c>
      <c r="P2787" s="15" t="s">
        <v>1666</v>
      </c>
      <c r="Q2787" s="15" t="s">
        <v>1667</v>
      </c>
      <c r="R2787" s="16">
        <v>44329</v>
      </c>
      <c r="S2787" s="17" t="s">
        <v>35</v>
      </c>
      <c r="T2787" s="20">
        <f>HYPERLINK("https://vnm.spiral.com.vn//uploaded/20210513/1e171890-1c9e-4bd3-91b1-274b257f077e.JPEG","08:04:57")</f>
      </c>
      <c r="U2787" s="20">
        <f>HYPERLINK("https://vnm.spiral.com.vn//uploaded/20210513/bc64dc0d-b978-42cc-b078-f6b472d6ab23.JPEG","08:20:04")</f>
      </c>
      <c r="V2787" s="18">
        <v>0.010497685185185185</v>
      </c>
      <c r="W2787" s="15" t="s">
        <v>14217</v>
      </c>
      <c r="X2787" s="15" t="s">
        <v>14218</v>
      </c>
      <c r="Y2787" s="15" t="s">
        <v>35</v>
      </c>
      <c r="Z2787" s="19">
        <v>0</v>
      </c>
      <c r="AA2787" s="15">
        <v>0</v>
      </c>
      <c r="AB2787" s="15" t="s">
        <v>35</v>
      </c>
    </row>
    <row r="2788">
      <c r="A2788" s="15">
        <v>2784</v>
      </c>
      <c r="B2788" s="15" t="s">
        <v>343</v>
      </c>
      <c r="C2788" s="15" t="s">
        <v>344</v>
      </c>
      <c r="D2788" s="15" t="s">
        <v>35</v>
      </c>
      <c r="E2788" s="15" t="s">
        <v>35</v>
      </c>
      <c r="F2788" s="15" t="s">
        <v>35</v>
      </c>
      <c r="G2788" s="15" t="s">
        <v>36</v>
      </c>
      <c r="H2788" s="15" t="s">
        <v>14219</v>
      </c>
      <c r="I2788" s="15" t="s">
        <v>14220</v>
      </c>
      <c r="J2788" s="15" t="s">
        <v>14221</v>
      </c>
      <c r="K2788" s="15" t="s">
        <v>40</v>
      </c>
      <c r="L2788" s="15" t="s">
        <v>41</v>
      </c>
      <c r="M2788" s="15" t="s">
        <v>409</v>
      </c>
      <c r="N2788" s="15" t="s">
        <v>410</v>
      </c>
      <c r="O2788" s="15" t="s">
        <v>44</v>
      </c>
      <c r="P2788" s="15" t="s">
        <v>14222</v>
      </c>
      <c r="Q2788" s="15" t="s">
        <v>14223</v>
      </c>
      <c r="R2788" s="16">
        <v>44329</v>
      </c>
      <c r="S2788" s="17" t="s">
        <v>13344</v>
      </c>
      <c r="T2788" s="20">
        <f>HYPERLINK("https://vnm.spiral.com.vn//uploaded/20210513/6885011A-B6C0-4EBF-8643-084712571A79.jpg","08:20:01")</f>
      </c>
      <c r="U2788" s="18"/>
      <c r="V2788" s="18" t="s">
        <v>35</v>
      </c>
      <c r="W2788" s="15" t="s">
        <v>14224</v>
      </c>
      <c r="X2788" s="15" t="s">
        <v>35</v>
      </c>
      <c r="Y2788" s="15" t="s">
        <v>35</v>
      </c>
      <c r="Z2788" s="19">
        <v>0</v>
      </c>
      <c r="AA2788" s="15">
        <v>0</v>
      </c>
      <c r="AB2788" s="15" t="s">
        <v>35</v>
      </c>
    </row>
    <row r="2789">
      <c r="A2789" s="15">
        <v>2785</v>
      </c>
      <c r="B2789" s="15" t="s">
        <v>49</v>
      </c>
      <c r="C2789" s="15" t="s">
        <v>1389</v>
      </c>
      <c r="D2789" s="15" t="s">
        <v>35</v>
      </c>
      <c r="E2789" s="15" t="s">
        <v>35</v>
      </c>
      <c r="F2789" s="15" t="s">
        <v>4871</v>
      </c>
      <c r="G2789" s="15" t="s">
        <v>36</v>
      </c>
      <c r="H2789" s="15" t="s">
        <v>14225</v>
      </c>
      <c r="I2789" s="15" t="s">
        <v>14226</v>
      </c>
      <c r="J2789" s="15" t="s">
        <v>14227</v>
      </c>
      <c r="K2789" s="15" t="s">
        <v>40</v>
      </c>
      <c r="L2789" s="15" t="s">
        <v>41</v>
      </c>
      <c r="M2789" s="15" t="s">
        <v>55</v>
      </c>
      <c r="N2789" s="15" t="s">
        <v>56</v>
      </c>
      <c r="O2789" s="15" t="s">
        <v>44</v>
      </c>
      <c r="P2789" s="15" t="s">
        <v>14228</v>
      </c>
      <c r="Q2789" s="15" t="s">
        <v>6840</v>
      </c>
      <c r="R2789" s="16">
        <v>44329</v>
      </c>
      <c r="S2789" s="17" t="s">
        <v>13931</v>
      </c>
      <c r="T2789" s="20">
        <f>HYPERLINK("https://vnm.spiral.com.vn//uploaded/20210513/28e324d1-9147-432a-80d2-5efdfd4eb415.JPEG","08:19:27")</f>
      </c>
      <c r="U2789" s="18"/>
      <c r="V2789" s="18" t="s">
        <v>35</v>
      </c>
      <c r="W2789" s="15" t="s">
        <v>14229</v>
      </c>
      <c r="X2789" s="15" t="s">
        <v>35</v>
      </c>
      <c r="Y2789" s="15" t="s">
        <v>35</v>
      </c>
      <c r="Z2789" s="19">
        <v>0</v>
      </c>
      <c r="AA2789" s="15">
        <v>0</v>
      </c>
      <c r="AB2789" s="15" t="s">
        <v>35</v>
      </c>
    </row>
    <row r="2790">
      <c r="A2790" s="15">
        <v>2786</v>
      </c>
      <c r="B2790" s="15" t="s">
        <v>246</v>
      </c>
      <c r="C2790" s="15" t="s">
        <v>259</v>
      </c>
      <c r="D2790" s="15" t="s">
        <v>432</v>
      </c>
      <c r="E2790" s="15" t="s">
        <v>116</v>
      </c>
      <c r="F2790" s="15" t="s">
        <v>35</v>
      </c>
      <c r="G2790" s="15" t="s">
        <v>74</v>
      </c>
      <c r="H2790" s="15" t="s">
        <v>14230</v>
      </c>
      <c r="I2790" s="15" t="s">
        <v>14231</v>
      </c>
      <c r="J2790" s="15" t="s">
        <v>14232</v>
      </c>
      <c r="K2790" s="15" t="s">
        <v>166</v>
      </c>
      <c r="L2790" s="15" t="s">
        <v>167</v>
      </c>
      <c r="M2790" s="15" t="s">
        <v>263</v>
      </c>
      <c r="N2790" s="15" t="s">
        <v>264</v>
      </c>
      <c r="O2790" s="15" t="s">
        <v>82</v>
      </c>
      <c r="P2790" s="15" t="s">
        <v>2514</v>
      </c>
      <c r="Q2790" s="15" t="s">
        <v>2515</v>
      </c>
      <c r="R2790" s="16">
        <v>44329</v>
      </c>
      <c r="S2790" s="17" t="s">
        <v>70</v>
      </c>
      <c r="T2790" s="20">
        <f>HYPERLINK("https://vnm.spiral.com.vn//uploaded/20210513/86c82657-a912-4165-aabb-68aa524f17c2.JPEG","07:48:00")</f>
      </c>
      <c r="U2790" s="20">
        <f>HYPERLINK("https://vnm.spiral.com.vn//uploaded/20210513/e52cadaf-c4ae-4be2-8b22-7996972fba55.JPEG","08:19:26")</f>
      </c>
      <c r="V2790" s="18">
        <v>0.021828703703703704</v>
      </c>
      <c r="W2790" s="15" t="s">
        <v>14233</v>
      </c>
      <c r="X2790" s="15" t="s">
        <v>14234</v>
      </c>
      <c r="Y2790" s="15" t="s">
        <v>35</v>
      </c>
      <c r="Z2790" s="19">
        <v>0</v>
      </c>
      <c r="AA2790" s="15">
        <v>0</v>
      </c>
      <c r="AB2790" s="15" t="s">
        <v>35</v>
      </c>
    </row>
    <row r="2791">
      <c r="A2791" s="15">
        <v>2787</v>
      </c>
      <c r="B2791" s="15" t="s">
        <v>33</v>
      </c>
      <c r="C2791" s="15" t="s">
        <v>979</v>
      </c>
      <c r="D2791" s="15" t="s">
        <v>35</v>
      </c>
      <c r="E2791" s="15" t="s">
        <v>35</v>
      </c>
      <c r="F2791" s="15" t="s">
        <v>35</v>
      </c>
      <c r="G2791" s="15" t="s">
        <v>36</v>
      </c>
      <c r="H2791" s="15" t="s">
        <v>14235</v>
      </c>
      <c r="I2791" s="15" t="s">
        <v>14236</v>
      </c>
      <c r="J2791" s="15" t="s">
        <v>14237</v>
      </c>
      <c r="K2791" s="15" t="s">
        <v>40</v>
      </c>
      <c r="L2791" s="15" t="s">
        <v>41</v>
      </c>
      <c r="M2791" s="15" t="s">
        <v>42</v>
      </c>
      <c r="N2791" s="15" t="s">
        <v>43</v>
      </c>
      <c r="O2791" s="15" t="s">
        <v>44</v>
      </c>
      <c r="P2791" s="15" t="s">
        <v>14238</v>
      </c>
      <c r="Q2791" s="15" t="s">
        <v>14239</v>
      </c>
      <c r="R2791" s="16">
        <v>44329</v>
      </c>
      <c r="S2791" s="17" t="s">
        <v>326</v>
      </c>
      <c r="T2791" s="20">
        <f>HYPERLINK("https://vnm.spiral.com.vn//uploaded/20210513/74c51250-516b-45e9-be88-2e7d992f4798.JPEG","08:19:24")</f>
      </c>
      <c r="U2791" s="18"/>
      <c r="V2791" s="18" t="s">
        <v>35</v>
      </c>
      <c r="W2791" s="15" t="s">
        <v>14240</v>
      </c>
      <c r="X2791" s="15" t="s">
        <v>35</v>
      </c>
      <c r="Y2791" s="15" t="s">
        <v>35</v>
      </c>
      <c r="Z2791" s="19">
        <v>0</v>
      </c>
      <c r="AA2791" s="15">
        <v>0</v>
      </c>
      <c r="AB2791" s="15" t="s">
        <v>35</v>
      </c>
    </row>
    <row r="2792">
      <c r="A2792" s="15">
        <v>2788</v>
      </c>
      <c r="B2792" s="15" t="s">
        <v>103</v>
      </c>
      <c r="C2792" s="15" t="s">
        <v>104</v>
      </c>
      <c r="D2792" s="15" t="s">
        <v>432</v>
      </c>
      <c r="E2792" s="15" t="s">
        <v>116</v>
      </c>
      <c r="F2792" s="15" t="s">
        <v>35</v>
      </c>
      <c r="G2792" s="15" t="s">
        <v>74</v>
      </c>
      <c r="H2792" s="15" t="s">
        <v>14241</v>
      </c>
      <c r="I2792" s="15" t="s">
        <v>14242</v>
      </c>
      <c r="J2792" s="15" t="s">
        <v>14243</v>
      </c>
      <c r="K2792" s="15" t="s">
        <v>190</v>
      </c>
      <c r="L2792" s="15" t="s">
        <v>191</v>
      </c>
      <c r="M2792" s="15" t="s">
        <v>460</v>
      </c>
      <c r="N2792" s="15" t="s">
        <v>461</v>
      </c>
      <c r="O2792" s="15" t="s">
        <v>98</v>
      </c>
      <c r="P2792" s="15" t="s">
        <v>3497</v>
      </c>
      <c r="Q2792" s="15" t="s">
        <v>3498</v>
      </c>
      <c r="R2792" s="16">
        <v>44329</v>
      </c>
      <c r="S2792" s="17" t="s">
        <v>35</v>
      </c>
      <c r="T2792" s="20">
        <f>HYPERLINK("https://vnm.spiral.com.vn//uploaded/20210513/231d07a7-b49e-4564-8fbe-65f74a7a6d21.JPEG","07:57:58")</f>
      </c>
      <c r="U2792" s="20">
        <f>HYPERLINK("https://vnm.spiral.com.vn//uploaded/20210513/7a7fc566-4f97-4261-9e8f-9fb4fb21fb29.JPEG","08:19:17")</f>
      </c>
      <c r="V2792" s="18">
        <v>0.01480324074074074</v>
      </c>
      <c r="W2792" s="15" t="s">
        <v>14244</v>
      </c>
      <c r="X2792" s="15" t="s">
        <v>14245</v>
      </c>
      <c r="Y2792" s="15" t="s">
        <v>35</v>
      </c>
      <c r="Z2792" s="19">
        <v>0</v>
      </c>
      <c r="AA2792" s="15">
        <v>0</v>
      </c>
      <c r="AB2792" s="15" t="s">
        <v>35</v>
      </c>
    </row>
    <row r="2793">
      <c r="A2793" s="15">
        <v>2789</v>
      </c>
      <c r="B2793" s="15" t="s">
        <v>87</v>
      </c>
      <c r="C2793" s="15" t="s">
        <v>88</v>
      </c>
      <c r="D2793" s="15" t="s">
        <v>357</v>
      </c>
      <c r="E2793" s="15" t="s">
        <v>90</v>
      </c>
      <c r="F2793" s="15" t="s">
        <v>35</v>
      </c>
      <c r="G2793" s="15" t="s">
        <v>74</v>
      </c>
      <c r="H2793" s="15" t="s">
        <v>14246</v>
      </c>
      <c r="I2793" s="15" t="s">
        <v>14247</v>
      </c>
      <c r="J2793" s="15" t="s">
        <v>14248</v>
      </c>
      <c r="K2793" s="15" t="s">
        <v>1570</v>
      </c>
      <c r="L2793" s="15" t="s">
        <v>1571</v>
      </c>
      <c r="M2793" s="15" t="s">
        <v>2024</v>
      </c>
      <c r="N2793" s="15" t="s">
        <v>2025</v>
      </c>
      <c r="O2793" s="15" t="s">
        <v>82</v>
      </c>
      <c r="P2793" s="15" t="s">
        <v>2521</v>
      </c>
      <c r="Q2793" s="15" t="s">
        <v>2522</v>
      </c>
      <c r="R2793" s="16">
        <v>44329</v>
      </c>
      <c r="S2793" s="17" t="s">
        <v>70</v>
      </c>
      <c r="T2793" s="20">
        <f>HYPERLINK("https://vnm.spiral.com.vn//uploaded/20210513/81539f85-9aff-45c0-b7e9-e1e9554cd1e6.JPEG","07:55:59")</f>
      </c>
      <c r="U2793" s="20">
        <f>HYPERLINK("https://vnm.spiral.com.vn//uploaded/20210513/b0fc22de-ff34-4612-ba93-a8f9d12c2210.JPEG","08:18:45")</f>
      </c>
      <c r="V2793" s="18">
        <v>0.015810185185185184</v>
      </c>
      <c r="W2793" s="15" t="s">
        <v>14249</v>
      </c>
      <c r="X2793" s="15" t="s">
        <v>14249</v>
      </c>
      <c r="Y2793" s="15" t="s">
        <v>35</v>
      </c>
      <c r="Z2793" s="19">
        <v>0</v>
      </c>
      <c r="AA2793" s="15">
        <v>0</v>
      </c>
      <c r="AB2793" s="15" t="s">
        <v>35</v>
      </c>
    </row>
    <row r="2794">
      <c r="A2794" s="15">
        <v>2790</v>
      </c>
      <c r="B2794" s="15" t="s">
        <v>49</v>
      </c>
      <c r="C2794" s="15" t="s">
        <v>369</v>
      </c>
      <c r="D2794" s="15" t="s">
        <v>35</v>
      </c>
      <c r="E2794" s="15" t="s">
        <v>35</v>
      </c>
      <c r="F2794" s="15" t="s">
        <v>370</v>
      </c>
      <c r="G2794" s="15" t="s">
        <v>36</v>
      </c>
      <c r="H2794" s="15" t="s">
        <v>4919</v>
      </c>
      <c r="I2794" s="15" t="s">
        <v>471</v>
      </c>
      <c r="J2794" s="15" t="s">
        <v>4920</v>
      </c>
      <c r="K2794" s="15" t="s">
        <v>40</v>
      </c>
      <c r="L2794" s="15" t="s">
        <v>41</v>
      </c>
      <c r="M2794" s="15" t="s">
        <v>55</v>
      </c>
      <c r="N2794" s="15" t="s">
        <v>56</v>
      </c>
      <c r="O2794" s="15" t="s">
        <v>44</v>
      </c>
      <c r="P2794" s="15" t="s">
        <v>4921</v>
      </c>
      <c r="Q2794" s="15" t="s">
        <v>4922</v>
      </c>
      <c r="R2794" s="16">
        <v>44329</v>
      </c>
      <c r="S2794" s="17" t="s">
        <v>9084</v>
      </c>
      <c r="T2794" s="20">
        <f>HYPERLINK("https://vnm.spiral.com.vn//uploaded/20210513/105CA662-51B9-48EF-9C64-D504201715A5.jpg","08:18:35")</f>
      </c>
      <c r="U2794" s="18"/>
      <c r="V2794" s="18" t="s">
        <v>35</v>
      </c>
      <c r="W2794" s="15" t="s">
        <v>14250</v>
      </c>
      <c r="X2794" s="15" t="s">
        <v>35</v>
      </c>
      <c r="Y2794" s="15" t="s">
        <v>35</v>
      </c>
      <c r="Z2794" s="19">
        <v>0</v>
      </c>
      <c r="AA2794" s="15">
        <v>0</v>
      </c>
      <c r="AB2794" s="15" t="s">
        <v>35</v>
      </c>
    </row>
    <row r="2795">
      <c r="A2795" s="15">
        <v>2791</v>
      </c>
      <c r="B2795" s="15" t="s">
        <v>343</v>
      </c>
      <c r="C2795" s="15" t="s">
        <v>344</v>
      </c>
      <c r="D2795" s="15" t="s">
        <v>823</v>
      </c>
      <c r="E2795" s="15" t="s">
        <v>116</v>
      </c>
      <c r="F2795" s="15" t="s">
        <v>35</v>
      </c>
      <c r="G2795" s="15" t="s">
        <v>74</v>
      </c>
      <c r="H2795" s="15" t="s">
        <v>14251</v>
      </c>
      <c r="I2795" s="15" t="s">
        <v>14252</v>
      </c>
      <c r="J2795" s="15" t="s">
        <v>14253</v>
      </c>
      <c r="K2795" s="15" t="s">
        <v>540</v>
      </c>
      <c r="L2795" s="15" t="s">
        <v>541</v>
      </c>
      <c r="M2795" s="15" t="s">
        <v>584</v>
      </c>
      <c r="N2795" s="15" t="s">
        <v>585</v>
      </c>
      <c r="O2795" s="15" t="s">
        <v>98</v>
      </c>
      <c r="P2795" s="15" t="s">
        <v>586</v>
      </c>
      <c r="Q2795" s="15" t="s">
        <v>587</v>
      </c>
      <c r="R2795" s="16">
        <v>44329</v>
      </c>
      <c r="S2795" s="17" t="s">
        <v>70</v>
      </c>
      <c r="T2795" s="20">
        <f>HYPERLINK("https://vnm.spiral.com.vn//uploaded/20210513/F9AFEBA6-C626-4E01-BC88-0EBB39EF6DB3.jpg","07:25:20")</f>
      </c>
      <c r="U2795" s="20">
        <f>HYPERLINK("https://vnm.spiral.com.vn//uploaded/20210513/135DCEFB-D25F-4B87-9796-EC43B2BE0EE6.jpg","08:18:11")</f>
      </c>
      <c r="V2795" s="18">
        <v>0.03670138888888889</v>
      </c>
      <c r="W2795" s="15" t="s">
        <v>14254</v>
      </c>
      <c r="X2795" s="15" t="s">
        <v>14255</v>
      </c>
      <c r="Y2795" s="15" t="s">
        <v>35</v>
      </c>
      <c r="Z2795" s="19">
        <v>0</v>
      </c>
      <c r="AA2795" s="15">
        <v>0</v>
      </c>
      <c r="AB2795" s="15" t="s">
        <v>35</v>
      </c>
    </row>
    <row r="2796">
      <c r="A2796" s="15">
        <v>2792</v>
      </c>
      <c r="B2796" s="15" t="s">
        <v>343</v>
      </c>
      <c r="C2796" s="15" t="s">
        <v>344</v>
      </c>
      <c r="D2796" s="15" t="s">
        <v>35</v>
      </c>
      <c r="E2796" s="15" t="s">
        <v>35</v>
      </c>
      <c r="F2796" s="15" t="s">
        <v>35</v>
      </c>
      <c r="G2796" s="15" t="s">
        <v>36</v>
      </c>
      <c r="H2796" s="15" t="s">
        <v>14256</v>
      </c>
      <c r="I2796" s="15" t="s">
        <v>14257</v>
      </c>
      <c r="J2796" s="15" t="s">
        <v>14258</v>
      </c>
      <c r="K2796" s="15" t="s">
        <v>40</v>
      </c>
      <c r="L2796" s="15" t="s">
        <v>41</v>
      </c>
      <c r="M2796" s="15" t="s">
        <v>409</v>
      </c>
      <c r="N2796" s="15" t="s">
        <v>410</v>
      </c>
      <c r="O2796" s="15" t="s">
        <v>44</v>
      </c>
      <c r="P2796" s="15" t="s">
        <v>14259</v>
      </c>
      <c r="Q2796" s="15" t="s">
        <v>14260</v>
      </c>
      <c r="R2796" s="16">
        <v>44329</v>
      </c>
      <c r="S2796" s="17" t="s">
        <v>11279</v>
      </c>
      <c r="T2796" s="20">
        <f>HYPERLINK("https://vnm.spiral.com.vn//uploaded/20210513/f17a2a61-7a1e-430c-bfb1-2b03f141761c.JPEG","08:17:46")</f>
      </c>
      <c r="U2796" s="18"/>
      <c r="V2796" s="18" t="s">
        <v>35</v>
      </c>
      <c r="W2796" s="15" t="s">
        <v>14261</v>
      </c>
      <c r="X2796" s="15" t="s">
        <v>35</v>
      </c>
      <c r="Y2796" s="15" t="s">
        <v>35</v>
      </c>
      <c r="Z2796" s="19">
        <v>0</v>
      </c>
      <c r="AA2796" s="15">
        <v>0</v>
      </c>
      <c r="AB2796" s="15" t="s">
        <v>35</v>
      </c>
    </row>
    <row r="2797">
      <c r="A2797" s="15">
        <v>2793</v>
      </c>
      <c r="B2797" s="15" t="s">
        <v>343</v>
      </c>
      <c r="C2797" s="15" t="s">
        <v>344</v>
      </c>
      <c r="D2797" s="15" t="s">
        <v>148</v>
      </c>
      <c r="E2797" s="15" t="s">
        <v>35</v>
      </c>
      <c r="F2797" s="15" t="s">
        <v>35</v>
      </c>
      <c r="G2797" s="15" t="s">
        <v>74</v>
      </c>
      <c r="H2797" s="15" t="s">
        <v>14262</v>
      </c>
      <c r="I2797" s="15" t="s">
        <v>5296</v>
      </c>
      <c r="J2797" s="15" t="s">
        <v>14263</v>
      </c>
      <c r="K2797" s="15" t="s">
        <v>915</v>
      </c>
      <c r="L2797" s="15" t="s">
        <v>916</v>
      </c>
      <c r="M2797" s="15" t="s">
        <v>897</v>
      </c>
      <c r="N2797" s="15" t="s">
        <v>898</v>
      </c>
      <c r="O2797" s="15" t="s">
        <v>98</v>
      </c>
      <c r="P2797" s="15" t="s">
        <v>4558</v>
      </c>
      <c r="Q2797" s="15" t="s">
        <v>4559</v>
      </c>
      <c r="R2797" s="16">
        <v>44329</v>
      </c>
      <c r="S2797" s="17" t="s">
        <v>35</v>
      </c>
      <c r="T2797" s="20">
        <f>HYPERLINK("https://vnm.spiral.com.vn//uploaded/20210513/4640BD8A-AA69-41B7-AB2D-216BDA2C9B25.jpg","08:16:35")</f>
      </c>
      <c r="U2797" s="18"/>
      <c r="V2797" s="18" t="s">
        <v>35</v>
      </c>
      <c r="W2797" s="15" t="s">
        <v>14264</v>
      </c>
      <c r="X2797" s="15" t="s">
        <v>35</v>
      </c>
      <c r="Y2797" s="15" t="s">
        <v>35</v>
      </c>
      <c r="Z2797" s="19">
        <v>0</v>
      </c>
      <c r="AA2797" s="15">
        <v>0</v>
      </c>
      <c r="AB2797" s="15" t="s">
        <v>35</v>
      </c>
    </row>
    <row r="2798">
      <c r="A2798" s="15">
        <v>2794</v>
      </c>
      <c r="B2798" s="15" t="s">
        <v>49</v>
      </c>
      <c r="C2798" s="15" t="s">
        <v>162</v>
      </c>
      <c r="D2798" s="15" t="s">
        <v>135</v>
      </c>
      <c r="E2798" s="15" t="s">
        <v>116</v>
      </c>
      <c r="F2798" s="15" t="s">
        <v>35</v>
      </c>
      <c r="G2798" s="15" t="s">
        <v>74</v>
      </c>
      <c r="H2798" s="15" t="s">
        <v>14265</v>
      </c>
      <c r="I2798" s="15" t="s">
        <v>14266</v>
      </c>
      <c r="J2798" s="15" t="s">
        <v>14267</v>
      </c>
      <c r="K2798" s="15" t="s">
        <v>166</v>
      </c>
      <c r="L2798" s="15" t="s">
        <v>167</v>
      </c>
      <c r="M2798" s="15" t="s">
        <v>168</v>
      </c>
      <c r="N2798" s="15" t="s">
        <v>169</v>
      </c>
      <c r="O2798" s="15" t="s">
        <v>82</v>
      </c>
      <c r="P2798" s="15" t="s">
        <v>4399</v>
      </c>
      <c r="Q2798" s="15" t="s">
        <v>4400</v>
      </c>
      <c r="R2798" s="16">
        <v>44329</v>
      </c>
      <c r="S2798" s="17" t="s">
        <v>70</v>
      </c>
      <c r="T2798" s="20">
        <f>HYPERLINK("https://vnm.spiral.com.vn//uploaded/20210513/CC6264A4-5634-4E97-B691-3361FA7FAC91.jpg","07:55:29")</f>
      </c>
      <c r="U2798" s="20">
        <f>HYPERLINK("https://vnm.spiral.com.vn//uploaded/20210513/3A1AB0F5-2D90-459E-845C-62AA9D799619.jpg","08:16:32")</f>
      </c>
      <c r="V2798" s="18">
        <v>0.014618055555555556</v>
      </c>
      <c r="W2798" s="15" t="s">
        <v>14268</v>
      </c>
      <c r="X2798" s="15" t="s">
        <v>14269</v>
      </c>
      <c r="Y2798" s="15" t="s">
        <v>35</v>
      </c>
      <c r="Z2798" s="19">
        <v>0</v>
      </c>
      <c r="AA2798" s="15">
        <v>0</v>
      </c>
      <c r="AB2798" s="15" t="s">
        <v>35</v>
      </c>
    </row>
    <row r="2799">
      <c r="A2799" s="15">
        <v>2795</v>
      </c>
      <c r="B2799" s="15" t="s">
        <v>33</v>
      </c>
      <c r="C2799" s="15" t="s">
        <v>979</v>
      </c>
      <c r="D2799" s="15" t="s">
        <v>35</v>
      </c>
      <c r="E2799" s="15" t="s">
        <v>35</v>
      </c>
      <c r="F2799" s="15" t="s">
        <v>35</v>
      </c>
      <c r="G2799" s="15" t="s">
        <v>74</v>
      </c>
      <c r="H2799" s="15" t="s">
        <v>14270</v>
      </c>
      <c r="I2799" s="15" t="s">
        <v>14271</v>
      </c>
      <c r="J2799" s="15" t="s">
        <v>14272</v>
      </c>
      <c r="K2799" s="15" t="s">
        <v>769</v>
      </c>
      <c r="L2799" s="15" t="s">
        <v>770</v>
      </c>
      <c r="M2799" s="15" t="s">
        <v>1532</v>
      </c>
      <c r="N2799" s="15" t="s">
        <v>1533</v>
      </c>
      <c r="O2799" s="15" t="s">
        <v>82</v>
      </c>
      <c r="P2799" s="15" t="s">
        <v>14273</v>
      </c>
      <c r="Q2799" s="15" t="s">
        <v>14274</v>
      </c>
      <c r="R2799" s="16">
        <v>44329</v>
      </c>
      <c r="S2799" s="17" t="s">
        <v>70</v>
      </c>
      <c r="T2799" s="20">
        <f>HYPERLINK("https://vnm.spiral.com.vn//uploaded/20210513/d5b04607-9156-4744-a7f7-a73e1662eb3d.JPEG","08:16:03")</f>
      </c>
      <c r="U2799" s="18"/>
      <c r="V2799" s="18" t="s">
        <v>35</v>
      </c>
      <c r="W2799" s="15" t="s">
        <v>14275</v>
      </c>
      <c r="X2799" s="15" t="s">
        <v>35</v>
      </c>
      <c r="Y2799" s="15" t="s">
        <v>35</v>
      </c>
      <c r="Z2799" s="19">
        <v>0</v>
      </c>
      <c r="AA2799" s="15">
        <v>0</v>
      </c>
      <c r="AB2799" s="15" t="s">
        <v>35</v>
      </c>
    </row>
    <row r="2800">
      <c r="A2800" s="15">
        <v>2796</v>
      </c>
      <c r="B2800" s="15" t="s">
        <v>246</v>
      </c>
      <c r="C2800" s="15" t="s">
        <v>247</v>
      </c>
      <c r="D2800" s="15" t="s">
        <v>35</v>
      </c>
      <c r="E2800" s="15" t="s">
        <v>35</v>
      </c>
      <c r="F2800" s="15" t="s">
        <v>248</v>
      </c>
      <c r="G2800" s="15" t="s">
        <v>36</v>
      </c>
      <c r="H2800" s="15" t="s">
        <v>14276</v>
      </c>
      <c r="I2800" s="15" t="s">
        <v>14277</v>
      </c>
      <c r="J2800" s="15" t="s">
        <v>14278</v>
      </c>
      <c r="K2800" s="15" t="s">
        <v>40</v>
      </c>
      <c r="L2800" s="15" t="s">
        <v>41</v>
      </c>
      <c r="M2800" s="15" t="s">
        <v>252</v>
      </c>
      <c r="N2800" s="15" t="s">
        <v>253</v>
      </c>
      <c r="O2800" s="15" t="s">
        <v>44</v>
      </c>
      <c r="P2800" s="15" t="s">
        <v>14279</v>
      </c>
      <c r="Q2800" s="15" t="s">
        <v>14280</v>
      </c>
      <c r="R2800" s="16">
        <v>44329</v>
      </c>
      <c r="S2800" s="17" t="s">
        <v>225</v>
      </c>
      <c r="T2800" s="20">
        <f>HYPERLINK("https://vnm.spiral.com.vn//uploaded/20210513/1E097FB0-2437-4991-9A45-0433027400B9.jpg","08:15:43")</f>
      </c>
      <c r="U2800" s="18"/>
      <c r="V2800" s="18" t="s">
        <v>35</v>
      </c>
      <c r="W2800" s="15" t="s">
        <v>14281</v>
      </c>
      <c r="X2800" s="15" t="s">
        <v>35</v>
      </c>
      <c r="Y2800" s="15" t="s">
        <v>35</v>
      </c>
      <c r="Z2800" s="19">
        <v>0</v>
      </c>
      <c r="AA2800" s="15">
        <v>0</v>
      </c>
      <c r="AB2800" s="15" t="s">
        <v>35</v>
      </c>
    </row>
    <row r="2801">
      <c r="A2801" s="15">
        <v>2797</v>
      </c>
      <c r="B2801" s="15" t="s">
        <v>87</v>
      </c>
      <c r="C2801" s="15" t="s">
        <v>88</v>
      </c>
      <c r="D2801" s="15" t="s">
        <v>35</v>
      </c>
      <c r="E2801" s="15" t="s">
        <v>35</v>
      </c>
      <c r="F2801" s="15" t="s">
        <v>35</v>
      </c>
      <c r="G2801" s="15" t="s">
        <v>74</v>
      </c>
      <c r="H2801" s="15" t="s">
        <v>14282</v>
      </c>
      <c r="I2801" s="15" t="s">
        <v>14283</v>
      </c>
      <c r="J2801" s="15" t="s">
        <v>14284</v>
      </c>
      <c r="K2801" s="15" t="s">
        <v>888</v>
      </c>
      <c r="L2801" s="15" t="s">
        <v>889</v>
      </c>
      <c r="M2801" s="15" t="s">
        <v>890</v>
      </c>
      <c r="N2801" s="15" t="s">
        <v>891</v>
      </c>
      <c r="O2801" s="15" t="s">
        <v>82</v>
      </c>
      <c r="P2801" s="15" t="s">
        <v>2094</v>
      </c>
      <c r="Q2801" s="15" t="s">
        <v>2095</v>
      </c>
      <c r="R2801" s="16">
        <v>44329</v>
      </c>
      <c r="S2801" s="17" t="s">
        <v>70</v>
      </c>
      <c r="T2801" s="20">
        <f>HYPERLINK("https://vnm.spiral.com.vn//uploaded/20210513/6B97E33A-9B21-42BB-BB77-D43041FFCEEC.jpg","07:47:59")</f>
      </c>
      <c r="U2801" s="20">
        <f>HYPERLINK("https://vnm.spiral.com.vn//uploaded/20210513/9D94AD77-D651-4FBA-AC94-D19A7FBA6F5A.jpg","08:15:39")</f>
      </c>
      <c r="V2801" s="18">
        <v>0.019212962962962963</v>
      </c>
      <c r="W2801" s="15" t="s">
        <v>14285</v>
      </c>
      <c r="X2801" s="15" t="s">
        <v>14286</v>
      </c>
      <c r="Y2801" s="15" t="s">
        <v>35</v>
      </c>
      <c r="Z2801" s="19">
        <v>0</v>
      </c>
      <c r="AA2801" s="15">
        <v>0</v>
      </c>
      <c r="AB2801" s="15" t="s">
        <v>35</v>
      </c>
    </row>
    <row r="2802">
      <c r="A2802" s="15">
        <v>2798</v>
      </c>
      <c r="B2802" s="15" t="s">
        <v>87</v>
      </c>
      <c r="C2802" s="15" t="s">
        <v>88</v>
      </c>
      <c r="D2802" s="15" t="s">
        <v>35</v>
      </c>
      <c r="E2802" s="15" t="s">
        <v>35</v>
      </c>
      <c r="F2802" s="15" t="s">
        <v>35</v>
      </c>
      <c r="G2802" s="15" t="s">
        <v>74</v>
      </c>
      <c r="H2802" s="15" t="s">
        <v>14287</v>
      </c>
      <c r="I2802" s="15" t="s">
        <v>14288</v>
      </c>
      <c r="J2802" s="15" t="s">
        <v>14289</v>
      </c>
      <c r="K2802" s="15" t="s">
        <v>888</v>
      </c>
      <c r="L2802" s="15" t="s">
        <v>889</v>
      </c>
      <c r="M2802" s="15" t="s">
        <v>924</v>
      </c>
      <c r="N2802" s="15" t="s">
        <v>925</v>
      </c>
      <c r="O2802" s="15" t="s">
        <v>82</v>
      </c>
      <c r="P2802" s="15" t="s">
        <v>1460</v>
      </c>
      <c r="Q2802" s="15" t="s">
        <v>1461</v>
      </c>
      <c r="R2802" s="16">
        <v>44329</v>
      </c>
      <c r="S2802" s="17" t="s">
        <v>70</v>
      </c>
      <c r="T2802" s="20">
        <f>HYPERLINK("https://vnm.spiral.com.vn//uploaded/20210513/4DDCE369-2B90-4D82-B3C2-E4484A628520.jpg","07:50:22")</f>
      </c>
      <c r="U2802" s="20">
        <f>HYPERLINK("https://vnm.spiral.com.vn//uploaded/20210513/577C526C-9FC4-4F4D-8BCE-D277CDE1C1AB.jpg","08:15:22")</f>
      </c>
      <c r="V2802" s="18">
        <v>0.017361111111111112</v>
      </c>
      <c r="W2802" s="15" t="s">
        <v>14290</v>
      </c>
      <c r="X2802" s="15" t="s">
        <v>14290</v>
      </c>
      <c r="Y2802" s="15" t="s">
        <v>35</v>
      </c>
      <c r="Z2802" s="19">
        <v>0</v>
      </c>
      <c r="AA2802" s="15">
        <v>0</v>
      </c>
      <c r="AB2802" s="15" t="s">
        <v>35</v>
      </c>
    </row>
    <row r="2803">
      <c r="A2803" s="15">
        <v>2799</v>
      </c>
      <c r="B2803" s="15" t="s">
        <v>343</v>
      </c>
      <c r="C2803" s="15" t="s">
        <v>344</v>
      </c>
      <c r="D2803" s="15" t="s">
        <v>35</v>
      </c>
      <c r="E2803" s="15" t="s">
        <v>35</v>
      </c>
      <c r="F2803" s="15" t="s">
        <v>35</v>
      </c>
      <c r="G2803" s="15" t="s">
        <v>74</v>
      </c>
      <c r="H2803" s="15" t="s">
        <v>14291</v>
      </c>
      <c r="I2803" s="15" t="s">
        <v>14292</v>
      </c>
      <c r="J2803" s="15" t="s">
        <v>14293</v>
      </c>
      <c r="K2803" s="15" t="s">
        <v>584</v>
      </c>
      <c r="L2803" s="15" t="s">
        <v>585</v>
      </c>
      <c r="M2803" s="15" t="s">
        <v>827</v>
      </c>
      <c r="N2803" s="15" t="s">
        <v>828</v>
      </c>
      <c r="O2803" s="15" t="s">
        <v>82</v>
      </c>
      <c r="P2803" s="15" t="s">
        <v>2319</v>
      </c>
      <c r="Q2803" s="15" t="s">
        <v>2320</v>
      </c>
      <c r="R2803" s="16">
        <v>44329</v>
      </c>
      <c r="S2803" s="17" t="s">
        <v>70</v>
      </c>
      <c r="T2803" s="20">
        <f>HYPERLINK("https://vnm.spiral.com.vn//uploaded/20210513/C6BC10C5-8ED5-4366-9B3D-4D87E25DE460.jpg","07:58:58")</f>
      </c>
      <c r="U2803" s="20">
        <f>HYPERLINK("https://vnm.spiral.com.vn//uploaded/20210513/4A374091-E247-49A6-87FA-F9143F8ACCD2.jpg","08:15:20")</f>
      </c>
      <c r="V2803" s="18">
        <v>0.01136574074074074</v>
      </c>
      <c r="W2803" s="15" t="s">
        <v>14294</v>
      </c>
      <c r="X2803" s="15" t="s">
        <v>14295</v>
      </c>
      <c r="Y2803" s="15" t="s">
        <v>35</v>
      </c>
      <c r="Z2803" s="19">
        <v>0</v>
      </c>
      <c r="AA2803" s="15">
        <v>0</v>
      </c>
      <c r="AB2803" s="15" t="s">
        <v>35</v>
      </c>
    </row>
    <row r="2804">
      <c r="A2804" s="15">
        <v>2800</v>
      </c>
      <c r="B2804" s="15" t="s">
        <v>87</v>
      </c>
      <c r="C2804" s="15" t="s">
        <v>88</v>
      </c>
      <c r="D2804" s="15" t="s">
        <v>35</v>
      </c>
      <c r="E2804" s="15" t="s">
        <v>35</v>
      </c>
      <c r="F2804" s="15" t="s">
        <v>806</v>
      </c>
      <c r="G2804" s="15" t="s">
        <v>36</v>
      </c>
      <c r="H2804" s="15" t="s">
        <v>14296</v>
      </c>
      <c r="I2804" s="15" t="s">
        <v>783</v>
      </c>
      <c r="J2804" s="15" t="s">
        <v>14297</v>
      </c>
      <c r="K2804" s="15" t="s">
        <v>40</v>
      </c>
      <c r="L2804" s="15" t="s">
        <v>41</v>
      </c>
      <c r="M2804" s="15" t="s">
        <v>810</v>
      </c>
      <c r="N2804" s="15" t="s">
        <v>811</v>
      </c>
      <c r="O2804" s="15" t="s">
        <v>44</v>
      </c>
      <c r="P2804" s="15" t="s">
        <v>14298</v>
      </c>
      <c r="Q2804" s="15" t="s">
        <v>14299</v>
      </c>
      <c r="R2804" s="16">
        <v>44329</v>
      </c>
      <c r="S2804" s="17" t="s">
        <v>475</v>
      </c>
      <c r="T2804" s="20">
        <f>HYPERLINK("https://vnm.spiral.com.vn//uploaded/20210513/0BD8F7AF-B740-43E3-B2C7-C0401E6B0ABC.jpg","08:15:10")</f>
      </c>
      <c r="U2804" s="18"/>
      <c r="V2804" s="18" t="s">
        <v>35</v>
      </c>
      <c r="W2804" s="15" t="s">
        <v>14300</v>
      </c>
      <c r="X2804" s="15" t="s">
        <v>35</v>
      </c>
      <c r="Y2804" s="15" t="s">
        <v>35</v>
      </c>
      <c r="Z2804" s="19">
        <v>0</v>
      </c>
      <c r="AA2804" s="15">
        <v>0</v>
      </c>
      <c r="AB2804" s="15" t="s">
        <v>35</v>
      </c>
    </row>
    <row r="2805">
      <c r="A2805" s="15">
        <v>2801</v>
      </c>
      <c r="B2805" s="15" t="s">
        <v>87</v>
      </c>
      <c r="C2805" s="15" t="s">
        <v>88</v>
      </c>
      <c r="D2805" s="15" t="s">
        <v>4189</v>
      </c>
      <c r="E2805" s="15" t="s">
        <v>90</v>
      </c>
      <c r="F2805" s="15" t="s">
        <v>35</v>
      </c>
      <c r="G2805" s="15" t="s">
        <v>74</v>
      </c>
      <c r="H2805" s="15" t="s">
        <v>4190</v>
      </c>
      <c r="I2805" s="15" t="s">
        <v>4191</v>
      </c>
      <c r="J2805" s="15" t="s">
        <v>4192</v>
      </c>
      <c r="K2805" s="15" t="s">
        <v>94</v>
      </c>
      <c r="L2805" s="15" t="s">
        <v>95</v>
      </c>
      <c r="M2805" s="15" t="s">
        <v>748</v>
      </c>
      <c r="N2805" s="15" t="s">
        <v>749</v>
      </c>
      <c r="O2805" s="15" t="s">
        <v>98</v>
      </c>
      <c r="P2805" s="15" t="s">
        <v>750</v>
      </c>
      <c r="Q2805" s="15" t="s">
        <v>751</v>
      </c>
      <c r="R2805" s="16">
        <v>44329</v>
      </c>
      <c r="S2805" s="17" t="s">
        <v>70</v>
      </c>
      <c r="T2805" s="20">
        <f>HYPERLINK("https://vnm.spiral.com.vn//uploaded/20210513/9840903F-C765-4575-AF39-FA5E709222E0.jpg","07:45:07")</f>
      </c>
      <c r="U2805" s="20">
        <f>HYPERLINK("https://vnm.spiral.com.vn//uploaded/20210513/E98823B0-DC6F-4DC4-BB11-D20F66BF28D1.jpg","08:14:49")</f>
      </c>
      <c r="V2805" s="18">
        <v>0.020625</v>
      </c>
      <c r="W2805" s="15" t="s">
        <v>14301</v>
      </c>
      <c r="X2805" s="15" t="s">
        <v>13902</v>
      </c>
      <c r="Y2805" s="15" t="s">
        <v>35</v>
      </c>
      <c r="Z2805" s="19">
        <v>0</v>
      </c>
      <c r="AA2805" s="15">
        <v>0</v>
      </c>
      <c r="AB2805" s="15" t="s">
        <v>35</v>
      </c>
    </row>
    <row r="2806">
      <c r="A2806" s="15">
        <v>2802</v>
      </c>
      <c r="B2806" s="15" t="s">
        <v>87</v>
      </c>
      <c r="C2806" s="15" t="s">
        <v>88</v>
      </c>
      <c r="D2806" s="15" t="s">
        <v>89</v>
      </c>
      <c r="E2806" s="15" t="s">
        <v>90</v>
      </c>
      <c r="F2806" s="15" t="s">
        <v>35</v>
      </c>
      <c r="G2806" s="15" t="s">
        <v>74</v>
      </c>
      <c r="H2806" s="15" t="s">
        <v>1637</v>
      </c>
      <c r="I2806" s="15" t="s">
        <v>1638</v>
      </c>
      <c r="J2806" s="15" t="s">
        <v>1639</v>
      </c>
      <c r="K2806" s="15" t="s">
        <v>96</v>
      </c>
      <c r="L2806" s="15" t="s">
        <v>97</v>
      </c>
      <c r="M2806" s="15" t="s">
        <v>1640</v>
      </c>
      <c r="N2806" s="15" t="s">
        <v>1641</v>
      </c>
      <c r="O2806" s="15" t="s">
        <v>156</v>
      </c>
      <c r="P2806" s="15" t="s">
        <v>14302</v>
      </c>
      <c r="Q2806" s="15" t="s">
        <v>14303</v>
      </c>
      <c r="R2806" s="16">
        <v>44329</v>
      </c>
      <c r="S2806" s="17" t="s">
        <v>70</v>
      </c>
      <c r="T2806" s="20">
        <f>HYPERLINK("https://vnm.spiral.com.vn//uploaded/20210513/dac33569-e5c4-43f1-8618-0f366dc7ec27.JPEG","08:14:21")</f>
      </c>
      <c r="U2806" s="18"/>
      <c r="V2806" s="18" t="s">
        <v>35</v>
      </c>
      <c r="W2806" s="15" t="s">
        <v>14304</v>
      </c>
      <c r="X2806" s="15" t="s">
        <v>35</v>
      </c>
      <c r="Y2806" s="15" t="s">
        <v>35</v>
      </c>
      <c r="Z2806" s="19">
        <v>0</v>
      </c>
      <c r="AA2806" s="15">
        <v>0</v>
      </c>
      <c r="AB2806" s="15" t="s">
        <v>35</v>
      </c>
    </row>
    <row r="2807">
      <c r="A2807" s="15">
        <v>2803</v>
      </c>
      <c r="B2807" s="15" t="s">
        <v>33</v>
      </c>
      <c r="C2807" s="15" t="s">
        <v>492</v>
      </c>
      <c r="D2807" s="15" t="s">
        <v>536</v>
      </c>
      <c r="E2807" s="15" t="s">
        <v>116</v>
      </c>
      <c r="F2807" s="15" t="s">
        <v>35</v>
      </c>
      <c r="G2807" s="15" t="s">
        <v>74</v>
      </c>
      <c r="H2807" s="15" t="s">
        <v>14305</v>
      </c>
      <c r="I2807" s="15" t="s">
        <v>14306</v>
      </c>
      <c r="J2807" s="15" t="s">
        <v>14307</v>
      </c>
      <c r="K2807" s="15" t="s">
        <v>540</v>
      </c>
      <c r="L2807" s="15" t="s">
        <v>541</v>
      </c>
      <c r="M2807" s="15" t="s">
        <v>542</v>
      </c>
      <c r="N2807" s="15" t="s">
        <v>543</v>
      </c>
      <c r="O2807" s="15" t="s">
        <v>82</v>
      </c>
      <c r="P2807" s="15" t="s">
        <v>9262</v>
      </c>
      <c r="Q2807" s="15" t="s">
        <v>9263</v>
      </c>
      <c r="R2807" s="16">
        <v>44329</v>
      </c>
      <c r="S2807" s="17" t="s">
        <v>70</v>
      </c>
      <c r="T2807" s="20">
        <f>HYPERLINK("https://vnm.spiral.com.vn//uploaded/20210513/9d3d1ead-68a0-475b-8200-37a71539a185.JPEG","07:53:30")</f>
      </c>
      <c r="U2807" s="20">
        <f>HYPERLINK("https://vnm.spiral.com.vn//uploaded/20210513/f6a17048-d857-4e9e-8dbf-53a8247f8939.JPEG","08:13:48")</f>
      </c>
      <c r="V2807" s="18">
        <v>0.014097222222222223</v>
      </c>
      <c r="W2807" s="15" t="s">
        <v>14308</v>
      </c>
      <c r="X2807" s="15" t="s">
        <v>14309</v>
      </c>
      <c r="Y2807" s="15" t="s">
        <v>35</v>
      </c>
      <c r="Z2807" s="19">
        <v>0</v>
      </c>
      <c r="AA2807" s="15">
        <v>0</v>
      </c>
      <c r="AB2807" s="15" t="s">
        <v>35</v>
      </c>
    </row>
    <row r="2808">
      <c r="A2808" s="15">
        <v>2804</v>
      </c>
      <c r="B2808" s="15" t="s">
        <v>61</v>
      </c>
      <c r="C2808" s="15" t="s">
        <v>737</v>
      </c>
      <c r="D2808" s="15" t="s">
        <v>35</v>
      </c>
      <c r="E2808" s="15" t="s">
        <v>35</v>
      </c>
      <c r="F2808" s="15" t="s">
        <v>35</v>
      </c>
      <c r="G2808" s="15" t="s">
        <v>36</v>
      </c>
      <c r="H2808" s="15" t="s">
        <v>14310</v>
      </c>
      <c r="I2808" s="15" t="s">
        <v>14311</v>
      </c>
      <c r="J2808" s="15" t="s">
        <v>14312</v>
      </c>
      <c r="K2808" s="15" t="s">
        <v>40</v>
      </c>
      <c r="L2808" s="15" t="s">
        <v>41</v>
      </c>
      <c r="M2808" s="15" t="s">
        <v>205</v>
      </c>
      <c r="N2808" s="15" t="s">
        <v>206</v>
      </c>
      <c r="O2808" s="15" t="s">
        <v>44</v>
      </c>
      <c r="P2808" s="15" t="s">
        <v>14313</v>
      </c>
      <c r="Q2808" s="15" t="s">
        <v>14314</v>
      </c>
      <c r="R2808" s="16">
        <v>44329</v>
      </c>
      <c r="S2808" s="17" t="s">
        <v>9729</v>
      </c>
      <c r="T2808" s="20">
        <f>HYPERLINK("https://vnm.spiral.com.vn//uploaded/20210513/5286BB77-2809-4BD6-9998-1C38420FC87A.jpg","08:12:37")</f>
      </c>
      <c r="U2808" s="18"/>
      <c r="V2808" s="18" t="s">
        <v>35</v>
      </c>
      <c r="W2808" s="15" t="s">
        <v>14315</v>
      </c>
      <c r="X2808" s="15" t="s">
        <v>35</v>
      </c>
      <c r="Y2808" s="15" t="s">
        <v>35</v>
      </c>
      <c r="Z2808" s="19">
        <v>0</v>
      </c>
      <c r="AA2808" s="15">
        <v>0</v>
      </c>
      <c r="AB2808" s="15" t="s">
        <v>35</v>
      </c>
    </row>
    <row r="2809">
      <c r="A2809" s="15">
        <v>2805</v>
      </c>
      <c r="B2809" s="15" t="s">
        <v>87</v>
      </c>
      <c r="C2809" s="15" t="s">
        <v>88</v>
      </c>
      <c r="D2809" s="15" t="s">
        <v>89</v>
      </c>
      <c r="E2809" s="15" t="s">
        <v>90</v>
      </c>
      <c r="F2809" s="15" t="s">
        <v>35</v>
      </c>
      <c r="G2809" s="15" t="s">
        <v>74</v>
      </c>
      <c r="H2809" s="15" t="s">
        <v>9229</v>
      </c>
      <c r="I2809" s="15" t="s">
        <v>9230</v>
      </c>
      <c r="J2809" s="15" t="s">
        <v>9231</v>
      </c>
      <c r="K2809" s="15" t="s">
        <v>1554</v>
      </c>
      <c r="L2809" s="15" t="s">
        <v>1555</v>
      </c>
      <c r="M2809" s="15" t="s">
        <v>2528</v>
      </c>
      <c r="N2809" s="15" t="s">
        <v>2529</v>
      </c>
      <c r="O2809" s="15" t="s">
        <v>156</v>
      </c>
      <c r="P2809" s="15" t="s">
        <v>14316</v>
      </c>
      <c r="Q2809" s="15" t="s">
        <v>14317</v>
      </c>
      <c r="R2809" s="16">
        <v>44329</v>
      </c>
      <c r="S2809" s="17" t="s">
        <v>70</v>
      </c>
      <c r="T2809" s="20">
        <f>HYPERLINK("https://vnm.spiral.com.vn//uploaded/20210513/526f05a9-8bfe-4c4e-b191-4da8a7a9fe42.JPEG","08:12:36")</f>
      </c>
      <c r="U2809" s="18"/>
      <c r="V2809" s="18" t="s">
        <v>35</v>
      </c>
      <c r="W2809" s="15" t="s">
        <v>14318</v>
      </c>
      <c r="X2809" s="15" t="s">
        <v>35</v>
      </c>
      <c r="Y2809" s="15" t="s">
        <v>35</v>
      </c>
      <c r="Z2809" s="19">
        <v>0</v>
      </c>
      <c r="AA2809" s="15">
        <v>0</v>
      </c>
      <c r="AB2809" s="15" t="s">
        <v>35</v>
      </c>
    </row>
    <row r="2810">
      <c r="A2810" s="15">
        <v>2806</v>
      </c>
      <c r="B2810" s="15" t="s">
        <v>246</v>
      </c>
      <c r="C2810" s="15" t="s">
        <v>2005</v>
      </c>
      <c r="D2810" s="15" t="s">
        <v>35</v>
      </c>
      <c r="E2810" s="15" t="s">
        <v>35</v>
      </c>
      <c r="F2810" s="15" t="s">
        <v>6614</v>
      </c>
      <c r="G2810" s="15" t="s">
        <v>36</v>
      </c>
      <c r="H2810" s="15" t="s">
        <v>14319</v>
      </c>
      <c r="I2810" s="15" t="s">
        <v>14320</v>
      </c>
      <c r="J2810" s="15" t="s">
        <v>14321</v>
      </c>
      <c r="K2810" s="15" t="s">
        <v>40</v>
      </c>
      <c r="L2810" s="15" t="s">
        <v>41</v>
      </c>
      <c r="M2810" s="15" t="s">
        <v>252</v>
      </c>
      <c r="N2810" s="15" t="s">
        <v>253</v>
      </c>
      <c r="O2810" s="15" t="s">
        <v>44</v>
      </c>
      <c r="P2810" s="15" t="s">
        <v>14322</v>
      </c>
      <c r="Q2810" s="15" t="s">
        <v>14323</v>
      </c>
      <c r="R2810" s="16">
        <v>44329</v>
      </c>
      <c r="S2810" s="17" t="s">
        <v>14324</v>
      </c>
      <c r="T2810" s="20">
        <f>HYPERLINK("https://vnm.spiral.com.vn//uploaded/20210513/b019c920-11b5-4291-9310-e46b4c78ccee.JPEG","08:12:31")</f>
      </c>
      <c r="U2810" s="18"/>
      <c r="V2810" s="18" t="s">
        <v>35</v>
      </c>
      <c r="W2810" s="15" t="s">
        <v>14325</v>
      </c>
      <c r="X2810" s="15" t="s">
        <v>35</v>
      </c>
      <c r="Y2810" s="15" t="s">
        <v>35</v>
      </c>
      <c r="Z2810" s="19">
        <v>0</v>
      </c>
      <c r="AA2810" s="15">
        <v>0</v>
      </c>
      <c r="AB2810" s="15" t="s">
        <v>35</v>
      </c>
    </row>
    <row r="2811">
      <c r="A2811" s="15">
        <v>2807</v>
      </c>
      <c r="B2811" s="15" t="s">
        <v>246</v>
      </c>
      <c r="C2811" s="15" t="s">
        <v>259</v>
      </c>
      <c r="D2811" s="15" t="s">
        <v>35</v>
      </c>
      <c r="E2811" s="15" t="s">
        <v>35</v>
      </c>
      <c r="F2811" s="15" t="s">
        <v>943</v>
      </c>
      <c r="G2811" s="15" t="s">
        <v>36</v>
      </c>
      <c r="H2811" s="15" t="s">
        <v>14326</v>
      </c>
      <c r="I2811" s="15" t="s">
        <v>14327</v>
      </c>
      <c r="J2811" s="15" t="s">
        <v>14328</v>
      </c>
      <c r="K2811" s="15" t="s">
        <v>40</v>
      </c>
      <c r="L2811" s="15" t="s">
        <v>41</v>
      </c>
      <c r="M2811" s="15" t="s">
        <v>252</v>
      </c>
      <c r="N2811" s="15" t="s">
        <v>253</v>
      </c>
      <c r="O2811" s="15" t="s">
        <v>44</v>
      </c>
      <c r="P2811" s="15" t="s">
        <v>14329</v>
      </c>
      <c r="Q2811" s="15" t="s">
        <v>14330</v>
      </c>
      <c r="R2811" s="16">
        <v>44329</v>
      </c>
      <c r="S2811" s="17" t="s">
        <v>70</v>
      </c>
      <c r="T2811" s="20">
        <f>HYPERLINK("https://vnm.spiral.com.vn//uploaded/20210513/87862017-65B5-4E09-A3FE-470F61FFEDC3.jpg","08:11:51")</f>
      </c>
      <c r="U2811" s="18"/>
      <c r="V2811" s="18" t="s">
        <v>35</v>
      </c>
      <c r="W2811" s="15" t="s">
        <v>14331</v>
      </c>
      <c r="X2811" s="15" t="s">
        <v>35</v>
      </c>
      <c r="Y2811" s="15" t="s">
        <v>35</v>
      </c>
      <c r="Z2811" s="19">
        <v>0</v>
      </c>
      <c r="AA2811" s="15">
        <v>0</v>
      </c>
      <c r="AB2811" s="15" t="s">
        <v>35</v>
      </c>
    </row>
    <row r="2812">
      <c r="A2812" s="15">
        <v>2808</v>
      </c>
      <c r="B2812" s="15" t="s">
        <v>33</v>
      </c>
      <c r="C2812" s="15" t="s">
        <v>765</v>
      </c>
      <c r="D2812" s="15" t="s">
        <v>35</v>
      </c>
      <c r="E2812" s="15" t="s">
        <v>35</v>
      </c>
      <c r="F2812" s="15" t="s">
        <v>35</v>
      </c>
      <c r="G2812" s="15" t="s">
        <v>36</v>
      </c>
      <c r="H2812" s="15" t="s">
        <v>14332</v>
      </c>
      <c r="I2812" s="15" t="s">
        <v>14333</v>
      </c>
      <c r="J2812" s="15" t="s">
        <v>14334</v>
      </c>
      <c r="K2812" s="15" t="s">
        <v>40</v>
      </c>
      <c r="L2812" s="15" t="s">
        <v>41</v>
      </c>
      <c r="M2812" s="15" t="s">
        <v>42</v>
      </c>
      <c r="N2812" s="15" t="s">
        <v>43</v>
      </c>
      <c r="O2812" s="15" t="s">
        <v>44</v>
      </c>
      <c r="P2812" s="15" t="s">
        <v>14335</v>
      </c>
      <c r="Q2812" s="15" t="s">
        <v>14336</v>
      </c>
      <c r="R2812" s="16">
        <v>44329</v>
      </c>
      <c r="S2812" s="17" t="s">
        <v>326</v>
      </c>
      <c r="T2812" s="20">
        <f>HYPERLINK("https://vnm.spiral.com.vn//uploaded/20210513/049653dd-2765-4658-8b50-0a33d924b314.JPEG","08:11:30")</f>
      </c>
      <c r="U2812" s="18"/>
      <c r="V2812" s="18" t="s">
        <v>35</v>
      </c>
      <c r="W2812" s="15" t="s">
        <v>14337</v>
      </c>
      <c r="X2812" s="15" t="s">
        <v>35</v>
      </c>
      <c r="Y2812" s="15" t="s">
        <v>35</v>
      </c>
      <c r="Z2812" s="19">
        <v>0</v>
      </c>
      <c r="AA2812" s="15">
        <v>0</v>
      </c>
      <c r="AB2812" s="15" t="s">
        <v>35</v>
      </c>
    </row>
    <row r="2813">
      <c r="A2813" s="15">
        <v>2809</v>
      </c>
      <c r="B2813" s="15" t="s">
        <v>343</v>
      </c>
      <c r="C2813" s="15" t="s">
        <v>344</v>
      </c>
      <c r="D2813" s="15" t="s">
        <v>1644</v>
      </c>
      <c r="E2813" s="15" t="s">
        <v>35</v>
      </c>
      <c r="F2813" s="15" t="s">
        <v>35</v>
      </c>
      <c r="G2813" s="15" t="s">
        <v>74</v>
      </c>
      <c r="H2813" s="15" t="s">
        <v>14338</v>
      </c>
      <c r="I2813" s="15" t="s">
        <v>14339</v>
      </c>
      <c r="J2813" s="15" t="s">
        <v>14340</v>
      </c>
      <c r="K2813" s="15" t="s">
        <v>584</v>
      </c>
      <c r="L2813" s="15" t="s">
        <v>585</v>
      </c>
      <c r="M2813" s="15" t="s">
        <v>827</v>
      </c>
      <c r="N2813" s="15" t="s">
        <v>828</v>
      </c>
      <c r="O2813" s="15" t="s">
        <v>82</v>
      </c>
      <c r="P2813" s="15" t="s">
        <v>1648</v>
      </c>
      <c r="Q2813" s="15" t="s">
        <v>1649</v>
      </c>
      <c r="R2813" s="16">
        <v>44329</v>
      </c>
      <c r="S2813" s="17" t="s">
        <v>70</v>
      </c>
      <c r="T2813" s="20">
        <f>HYPERLINK("https://vnm.spiral.com.vn//uploaded/20210513/f3addf06-22f0-46db-a1c4-379343db19ff.JPEG","07:38:01")</f>
      </c>
      <c r="U2813" s="20">
        <f>HYPERLINK("https://vnm.spiral.com.vn//uploaded/20210513/882fd9bb-3965-49e6-87f0-bae301792443.JPEG","08:11:29")</f>
      </c>
      <c r="V2813" s="18">
        <v>0.023240740740740742</v>
      </c>
      <c r="W2813" s="15" t="s">
        <v>14341</v>
      </c>
      <c r="X2813" s="15" t="s">
        <v>14342</v>
      </c>
      <c r="Y2813" s="15" t="s">
        <v>35</v>
      </c>
      <c r="Z2813" s="19">
        <v>0</v>
      </c>
      <c r="AA2813" s="15">
        <v>0</v>
      </c>
      <c r="AB2813" s="15" t="s">
        <v>35</v>
      </c>
    </row>
    <row r="2814">
      <c r="A2814" s="15">
        <v>2810</v>
      </c>
      <c r="B2814" s="15" t="s">
        <v>246</v>
      </c>
      <c r="C2814" s="15" t="s">
        <v>247</v>
      </c>
      <c r="D2814" s="15" t="s">
        <v>35</v>
      </c>
      <c r="E2814" s="15" t="s">
        <v>35</v>
      </c>
      <c r="F2814" s="15" t="s">
        <v>248</v>
      </c>
      <c r="G2814" s="15" t="s">
        <v>36</v>
      </c>
      <c r="H2814" s="15" t="s">
        <v>14343</v>
      </c>
      <c r="I2814" s="15" t="s">
        <v>10086</v>
      </c>
      <c r="J2814" s="15" t="s">
        <v>14344</v>
      </c>
      <c r="K2814" s="15" t="s">
        <v>40</v>
      </c>
      <c r="L2814" s="15" t="s">
        <v>41</v>
      </c>
      <c r="M2814" s="15" t="s">
        <v>252</v>
      </c>
      <c r="N2814" s="15" t="s">
        <v>253</v>
      </c>
      <c r="O2814" s="15" t="s">
        <v>44</v>
      </c>
      <c r="P2814" s="15" t="s">
        <v>14345</v>
      </c>
      <c r="Q2814" s="15" t="s">
        <v>4360</v>
      </c>
      <c r="R2814" s="16">
        <v>44329</v>
      </c>
      <c r="S2814" s="17" t="s">
        <v>225</v>
      </c>
      <c r="T2814" s="20">
        <f>HYPERLINK("https://vnm.spiral.com.vn//uploaded/20210513/316c19af-ac3b-4d5c-a81b-7acb418102c2.JPEG","08:11:03")</f>
      </c>
      <c r="U2814" s="18"/>
      <c r="V2814" s="18" t="s">
        <v>35</v>
      </c>
      <c r="W2814" s="15" t="s">
        <v>14346</v>
      </c>
      <c r="X2814" s="15" t="s">
        <v>35</v>
      </c>
      <c r="Y2814" s="15" t="s">
        <v>35</v>
      </c>
      <c r="Z2814" s="19">
        <v>0</v>
      </c>
      <c r="AA2814" s="15">
        <v>0</v>
      </c>
      <c r="AB2814" s="15" t="s">
        <v>35</v>
      </c>
    </row>
    <row r="2815">
      <c r="A2815" s="15">
        <v>2811</v>
      </c>
      <c r="B2815" s="15" t="s">
        <v>33</v>
      </c>
      <c r="C2815" s="15" t="s">
        <v>492</v>
      </c>
      <c r="D2815" s="15" t="s">
        <v>35</v>
      </c>
      <c r="E2815" s="15" t="s">
        <v>35</v>
      </c>
      <c r="F2815" s="15" t="s">
        <v>35</v>
      </c>
      <c r="G2815" s="15" t="s">
        <v>74</v>
      </c>
      <c r="H2815" s="15" t="s">
        <v>14347</v>
      </c>
      <c r="I2815" s="15" t="s">
        <v>14348</v>
      </c>
      <c r="J2815" s="15" t="s">
        <v>14349</v>
      </c>
      <c r="K2815" s="15" t="s">
        <v>540</v>
      </c>
      <c r="L2815" s="15" t="s">
        <v>541</v>
      </c>
      <c r="M2815" s="15" t="s">
        <v>542</v>
      </c>
      <c r="N2815" s="15" t="s">
        <v>543</v>
      </c>
      <c r="O2815" s="15" t="s">
        <v>82</v>
      </c>
      <c r="P2815" s="15" t="s">
        <v>1927</v>
      </c>
      <c r="Q2815" s="15" t="s">
        <v>1928</v>
      </c>
      <c r="R2815" s="16">
        <v>44329</v>
      </c>
      <c r="S2815" s="17" t="s">
        <v>70</v>
      </c>
      <c r="T2815" s="20">
        <f>HYPERLINK("https://vnm.spiral.com.vn//uploaded/20210513/3bfa87de-d381-489a-8000-1ea7c8eaf6d4.JPEG","07:53:44")</f>
      </c>
      <c r="U2815" s="20">
        <f>HYPERLINK("https://vnm.spiral.com.vn//uploaded/20210513/56d19ea4-65cd-46d8-8c63-daa2e588cace.JPEG","08:10:20")</f>
      </c>
      <c r="V2815" s="18">
        <v>0.011527777777777777</v>
      </c>
      <c r="W2815" s="15" t="s">
        <v>14350</v>
      </c>
      <c r="X2815" s="15" t="s">
        <v>14351</v>
      </c>
      <c r="Y2815" s="15" t="s">
        <v>35</v>
      </c>
      <c r="Z2815" s="19">
        <v>0</v>
      </c>
      <c r="AA2815" s="15">
        <v>0</v>
      </c>
      <c r="AB2815" s="15" t="s">
        <v>35</v>
      </c>
    </row>
    <row r="2816">
      <c r="A2816" s="15">
        <v>2812</v>
      </c>
      <c r="B2816" s="15" t="s">
        <v>33</v>
      </c>
      <c r="C2816" s="15" t="s">
        <v>492</v>
      </c>
      <c r="D2816" s="15" t="s">
        <v>357</v>
      </c>
      <c r="E2816" s="15" t="s">
        <v>35</v>
      </c>
      <c r="F2816" s="15" t="s">
        <v>35</v>
      </c>
      <c r="G2816" s="15" t="s">
        <v>74</v>
      </c>
      <c r="H2816" s="15" t="s">
        <v>14352</v>
      </c>
      <c r="I2816" s="15" t="s">
        <v>14353</v>
      </c>
      <c r="J2816" s="15" t="s">
        <v>14354</v>
      </c>
      <c r="K2816" s="15" t="s">
        <v>540</v>
      </c>
      <c r="L2816" s="15" t="s">
        <v>541</v>
      </c>
      <c r="M2816" s="15" t="s">
        <v>78</v>
      </c>
      <c r="N2816" s="15" t="s">
        <v>79</v>
      </c>
      <c r="O2816" s="15" t="s">
        <v>82</v>
      </c>
      <c r="P2816" s="15" t="s">
        <v>1102</v>
      </c>
      <c r="Q2816" s="15" t="s">
        <v>1103</v>
      </c>
      <c r="R2816" s="16">
        <v>44329</v>
      </c>
      <c r="S2816" s="17" t="s">
        <v>70</v>
      </c>
      <c r="T2816" s="20">
        <f>HYPERLINK("https://vnm.spiral.com.vn//uploaded/20210513/1bf81eaa-b153-4ddb-9b58-31b9b1e410b5.JPEG","07:41:25")</f>
      </c>
      <c r="U2816" s="20">
        <f>HYPERLINK("https://vnm.spiral.com.vn//uploaded/20210513/6840f792-2b68-40e3-bac8-28384dc1deb5.JPEG","08:10:17")</f>
      </c>
      <c r="V2816" s="18">
        <v>0.020046296296296295</v>
      </c>
      <c r="W2816" s="15" t="s">
        <v>14355</v>
      </c>
      <c r="X2816" s="15" t="s">
        <v>14356</v>
      </c>
      <c r="Y2816" s="15" t="s">
        <v>35</v>
      </c>
      <c r="Z2816" s="19">
        <v>0</v>
      </c>
      <c r="AA2816" s="15">
        <v>0</v>
      </c>
      <c r="AB2816" s="15" t="s">
        <v>35</v>
      </c>
    </row>
    <row r="2817">
      <c r="A2817" s="15">
        <v>2813</v>
      </c>
      <c r="B2817" s="15" t="s">
        <v>61</v>
      </c>
      <c r="C2817" s="15" t="s">
        <v>303</v>
      </c>
      <c r="D2817" s="15" t="s">
        <v>357</v>
      </c>
      <c r="E2817" s="15" t="s">
        <v>90</v>
      </c>
      <c r="F2817" s="15" t="s">
        <v>35</v>
      </c>
      <c r="G2817" s="15" t="s">
        <v>74</v>
      </c>
      <c r="H2817" s="15" t="s">
        <v>14357</v>
      </c>
      <c r="I2817" s="15" t="s">
        <v>14358</v>
      </c>
      <c r="J2817" s="15" t="s">
        <v>14359</v>
      </c>
      <c r="K2817" s="15" t="s">
        <v>152</v>
      </c>
      <c r="L2817" s="15" t="s">
        <v>153</v>
      </c>
      <c r="M2817" s="15" t="s">
        <v>309</v>
      </c>
      <c r="N2817" s="15" t="s">
        <v>310</v>
      </c>
      <c r="O2817" s="15" t="s">
        <v>98</v>
      </c>
      <c r="P2817" s="15" t="s">
        <v>311</v>
      </c>
      <c r="Q2817" s="15" t="s">
        <v>312</v>
      </c>
      <c r="R2817" s="16">
        <v>44329</v>
      </c>
      <c r="S2817" s="17" t="s">
        <v>70</v>
      </c>
      <c r="T2817" s="20">
        <f>HYPERLINK("https://vnm.spiral.com.vn//uploaded/20210513/F059F50F-ED72-4DAE-9A5A-606D31222C7B.jpg","07:51:54")</f>
      </c>
      <c r="U2817" s="20">
        <f>HYPERLINK("https://vnm.spiral.com.vn//uploaded/20210513/D410F1E2-BD51-40F3-B956-15B4DB500CDB.jpg","08:09:44")</f>
      </c>
      <c r="V2817" s="18">
        <v>0.01238425925925926</v>
      </c>
      <c r="W2817" s="15" t="s">
        <v>14360</v>
      </c>
      <c r="X2817" s="15" t="s">
        <v>14361</v>
      </c>
      <c r="Y2817" s="15" t="s">
        <v>35</v>
      </c>
      <c r="Z2817" s="19">
        <v>0</v>
      </c>
      <c r="AA2817" s="15">
        <v>0</v>
      </c>
      <c r="AB2817" s="15" t="s">
        <v>35</v>
      </c>
    </row>
    <row r="2818">
      <c r="A2818" s="15">
        <v>2814</v>
      </c>
      <c r="B2818" s="15" t="s">
        <v>33</v>
      </c>
      <c r="C2818" s="15" t="s">
        <v>34</v>
      </c>
      <c r="D2818" s="15" t="s">
        <v>35</v>
      </c>
      <c r="E2818" s="15" t="s">
        <v>35</v>
      </c>
      <c r="F2818" s="15" t="s">
        <v>6653</v>
      </c>
      <c r="G2818" s="15" t="s">
        <v>36</v>
      </c>
      <c r="H2818" s="15" t="s">
        <v>14362</v>
      </c>
      <c r="I2818" s="15" t="s">
        <v>2832</v>
      </c>
      <c r="J2818" s="15" t="s">
        <v>14363</v>
      </c>
      <c r="K2818" s="15" t="s">
        <v>40</v>
      </c>
      <c r="L2818" s="15" t="s">
        <v>41</v>
      </c>
      <c r="M2818" s="15" t="s">
        <v>42</v>
      </c>
      <c r="N2818" s="15" t="s">
        <v>43</v>
      </c>
      <c r="O2818" s="15" t="s">
        <v>44</v>
      </c>
      <c r="P2818" s="15" t="s">
        <v>14364</v>
      </c>
      <c r="Q2818" s="15" t="s">
        <v>14365</v>
      </c>
      <c r="R2818" s="16">
        <v>44329</v>
      </c>
      <c r="S2818" s="17" t="s">
        <v>326</v>
      </c>
      <c r="T2818" s="20">
        <f>HYPERLINK("https://vnm.spiral.com.vn//uploaded/20210513/17D499C3-7AA9-4991-B764-5D966F673D72.jpg","08:09:41")</f>
      </c>
      <c r="U2818" s="18"/>
      <c r="V2818" s="18" t="s">
        <v>35</v>
      </c>
      <c r="W2818" s="15" t="s">
        <v>14366</v>
      </c>
      <c r="X2818" s="15" t="s">
        <v>35</v>
      </c>
      <c r="Y2818" s="15" t="s">
        <v>35</v>
      </c>
      <c r="Z2818" s="19">
        <v>0</v>
      </c>
      <c r="AA2818" s="15">
        <v>0</v>
      </c>
      <c r="AB2818" s="15" t="s">
        <v>35</v>
      </c>
    </row>
    <row r="2819">
      <c r="A2819" s="15">
        <v>2815</v>
      </c>
      <c r="B2819" s="15" t="s">
        <v>343</v>
      </c>
      <c r="C2819" s="15" t="s">
        <v>344</v>
      </c>
      <c r="D2819" s="15" t="s">
        <v>1644</v>
      </c>
      <c r="E2819" s="15" t="s">
        <v>35</v>
      </c>
      <c r="F2819" s="15" t="s">
        <v>35</v>
      </c>
      <c r="G2819" s="15" t="s">
        <v>74</v>
      </c>
      <c r="H2819" s="15" t="s">
        <v>14367</v>
      </c>
      <c r="I2819" s="15" t="s">
        <v>14368</v>
      </c>
      <c r="J2819" s="15" t="s">
        <v>14369</v>
      </c>
      <c r="K2819" s="15" t="s">
        <v>584</v>
      </c>
      <c r="L2819" s="15" t="s">
        <v>585</v>
      </c>
      <c r="M2819" s="15" t="s">
        <v>827</v>
      </c>
      <c r="N2819" s="15" t="s">
        <v>828</v>
      </c>
      <c r="O2819" s="15" t="s">
        <v>82</v>
      </c>
      <c r="P2819" s="15" t="s">
        <v>2484</v>
      </c>
      <c r="Q2819" s="15" t="s">
        <v>2485</v>
      </c>
      <c r="R2819" s="16">
        <v>44329</v>
      </c>
      <c r="S2819" s="17" t="s">
        <v>70</v>
      </c>
      <c r="T2819" s="20">
        <f>HYPERLINK("https://vnm.spiral.com.vn//uploaded/20210513/B9B650BC-542E-4F53-A825-85C09E8D1E9D.jpg","07:54:19")</f>
      </c>
      <c r="U2819" s="20">
        <f>HYPERLINK("https://vnm.spiral.com.vn//uploaded/20210513/41345DBF-D291-413F-9DBB-A2AE12F20E4A.jpg","08:09:32")</f>
      </c>
      <c r="V2819" s="18">
        <v>0.01056712962962963</v>
      </c>
      <c r="W2819" s="15" t="s">
        <v>14370</v>
      </c>
      <c r="X2819" s="15" t="s">
        <v>14371</v>
      </c>
      <c r="Y2819" s="15" t="s">
        <v>35</v>
      </c>
      <c r="Z2819" s="19">
        <v>0</v>
      </c>
      <c r="AA2819" s="15">
        <v>0</v>
      </c>
      <c r="AB2819" s="15" t="s">
        <v>35</v>
      </c>
    </row>
    <row r="2820">
      <c r="A2820" s="15">
        <v>2816</v>
      </c>
      <c r="B2820" s="15" t="s">
        <v>61</v>
      </c>
      <c r="C2820" s="15" t="s">
        <v>442</v>
      </c>
      <c r="D2820" s="15" t="s">
        <v>135</v>
      </c>
      <c r="E2820" s="15" t="s">
        <v>116</v>
      </c>
      <c r="F2820" s="15" t="s">
        <v>35</v>
      </c>
      <c r="G2820" s="15" t="s">
        <v>74</v>
      </c>
      <c r="H2820" s="15" t="s">
        <v>14372</v>
      </c>
      <c r="I2820" s="15" t="s">
        <v>14373</v>
      </c>
      <c r="J2820" s="15" t="s">
        <v>14374</v>
      </c>
      <c r="K2820" s="15" t="s">
        <v>152</v>
      </c>
      <c r="L2820" s="15" t="s">
        <v>153</v>
      </c>
      <c r="M2820" s="15" t="s">
        <v>232</v>
      </c>
      <c r="N2820" s="15" t="s">
        <v>233</v>
      </c>
      <c r="O2820" s="15" t="s">
        <v>82</v>
      </c>
      <c r="P2820" s="15" t="s">
        <v>446</v>
      </c>
      <c r="Q2820" s="15" t="s">
        <v>447</v>
      </c>
      <c r="R2820" s="16">
        <v>44329</v>
      </c>
      <c r="S2820" s="17" t="s">
        <v>70</v>
      </c>
      <c r="T2820" s="20">
        <f>HYPERLINK("https://vnm.spiral.com.vn//uploaded/20210513/7f3000d5-33ae-4755-895e-ae58e1f22f3d.JPEG","07:52:27")</f>
      </c>
      <c r="U2820" s="20">
        <f>HYPERLINK("https://vnm.spiral.com.vn//uploaded/20210513/196b9fb7-41f0-4aa0-918c-473edbc42d91.JPEG","08:09:03")</f>
      </c>
      <c r="V2820" s="18">
        <v>0.011527777777777777</v>
      </c>
      <c r="W2820" s="15" t="s">
        <v>14375</v>
      </c>
      <c r="X2820" s="15" t="s">
        <v>14376</v>
      </c>
      <c r="Y2820" s="15" t="s">
        <v>35</v>
      </c>
      <c r="Z2820" s="19">
        <v>0</v>
      </c>
      <c r="AA2820" s="15">
        <v>0</v>
      </c>
      <c r="AB2820" s="15" t="s">
        <v>35</v>
      </c>
    </row>
    <row r="2821">
      <c r="A2821" s="15">
        <v>2817</v>
      </c>
      <c r="B2821" s="15" t="s">
        <v>49</v>
      </c>
      <c r="C2821" s="15" t="s">
        <v>468</v>
      </c>
      <c r="D2821" s="15" t="s">
        <v>357</v>
      </c>
      <c r="E2821" s="15" t="s">
        <v>90</v>
      </c>
      <c r="F2821" s="15" t="s">
        <v>35</v>
      </c>
      <c r="G2821" s="15" t="s">
        <v>74</v>
      </c>
      <c r="H2821" s="15" t="s">
        <v>14377</v>
      </c>
      <c r="I2821" s="15" t="s">
        <v>14378</v>
      </c>
      <c r="J2821" s="15" t="s">
        <v>14379</v>
      </c>
      <c r="K2821" s="15" t="s">
        <v>166</v>
      </c>
      <c r="L2821" s="15" t="s">
        <v>167</v>
      </c>
      <c r="M2821" s="15" t="s">
        <v>168</v>
      </c>
      <c r="N2821" s="15" t="s">
        <v>169</v>
      </c>
      <c r="O2821" s="15" t="s">
        <v>156</v>
      </c>
      <c r="P2821" s="15" t="s">
        <v>14380</v>
      </c>
      <c r="Q2821" s="15" t="s">
        <v>14381</v>
      </c>
      <c r="R2821" s="16">
        <v>44329</v>
      </c>
      <c r="S2821" s="17" t="s">
        <v>475</v>
      </c>
      <c r="T2821" s="20">
        <f>HYPERLINK("https://vnm.spiral.com.vn//uploaded/20210513/0f70c5e5-656b-4959-bbcb-a1214f00bae7.JPEG","08:08:51")</f>
      </c>
      <c r="U2821" s="18"/>
      <c r="V2821" s="18" t="s">
        <v>35</v>
      </c>
      <c r="W2821" s="15" t="s">
        <v>14382</v>
      </c>
      <c r="X2821" s="15" t="s">
        <v>35</v>
      </c>
      <c r="Y2821" s="15" t="s">
        <v>35</v>
      </c>
      <c r="Z2821" s="19">
        <v>0</v>
      </c>
      <c r="AA2821" s="15">
        <v>0</v>
      </c>
      <c r="AB2821" s="15" t="s">
        <v>35</v>
      </c>
    </row>
    <row r="2822">
      <c r="A2822" s="15">
        <v>2818</v>
      </c>
      <c r="B2822" s="15" t="s">
        <v>103</v>
      </c>
      <c r="C2822" s="15" t="s">
        <v>104</v>
      </c>
      <c r="D2822" s="15" t="s">
        <v>35</v>
      </c>
      <c r="E2822" s="15" t="s">
        <v>35</v>
      </c>
      <c r="F2822" s="15" t="s">
        <v>35</v>
      </c>
      <c r="G2822" s="15" t="s">
        <v>36</v>
      </c>
      <c r="H2822" s="15" t="s">
        <v>14383</v>
      </c>
      <c r="I2822" s="15" t="s">
        <v>14384</v>
      </c>
      <c r="J2822" s="15" t="s">
        <v>14385</v>
      </c>
      <c r="K2822" s="15" t="s">
        <v>40</v>
      </c>
      <c r="L2822" s="15" t="s">
        <v>41</v>
      </c>
      <c r="M2822" s="15" t="s">
        <v>108</v>
      </c>
      <c r="N2822" s="15" t="s">
        <v>109</v>
      </c>
      <c r="O2822" s="15" t="s">
        <v>44</v>
      </c>
      <c r="P2822" s="15" t="s">
        <v>14386</v>
      </c>
      <c r="Q2822" s="15" t="s">
        <v>14387</v>
      </c>
      <c r="R2822" s="16">
        <v>44329</v>
      </c>
      <c r="S2822" s="17" t="s">
        <v>70</v>
      </c>
      <c r="T2822" s="20">
        <f>HYPERLINK("https://vnm.spiral.com.vn//uploaded/20210513/babfa2ea-e424-4f6e-951b-b3b71d18393d.JPEG","08:08:32")</f>
      </c>
      <c r="U2822" s="18"/>
      <c r="V2822" s="18" t="s">
        <v>35</v>
      </c>
      <c r="W2822" s="15" t="s">
        <v>14388</v>
      </c>
      <c r="X2822" s="15" t="s">
        <v>35</v>
      </c>
      <c r="Y2822" s="15" t="s">
        <v>35</v>
      </c>
      <c r="Z2822" s="19">
        <v>0</v>
      </c>
      <c r="AA2822" s="15">
        <v>0</v>
      </c>
      <c r="AB2822" s="15" t="s">
        <v>35</v>
      </c>
    </row>
    <row r="2823">
      <c r="A2823" s="15">
        <v>2819</v>
      </c>
      <c r="B2823" s="15" t="s">
        <v>87</v>
      </c>
      <c r="C2823" s="15" t="s">
        <v>88</v>
      </c>
      <c r="D2823" s="15" t="s">
        <v>35</v>
      </c>
      <c r="E2823" s="15" t="s">
        <v>35</v>
      </c>
      <c r="F2823" s="15" t="s">
        <v>35</v>
      </c>
      <c r="G2823" s="15" t="s">
        <v>74</v>
      </c>
      <c r="H2823" s="15" t="s">
        <v>14053</v>
      </c>
      <c r="I2823" s="15" t="s">
        <v>14054</v>
      </c>
      <c r="J2823" s="15" t="s">
        <v>14055</v>
      </c>
      <c r="K2823" s="15" t="s">
        <v>190</v>
      </c>
      <c r="L2823" s="15" t="s">
        <v>191</v>
      </c>
      <c r="M2823" s="15" t="s">
        <v>888</v>
      </c>
      <c r="N2823" s="15" t="s">
        <v>889</v>
      </c>
      <c r="O2823" s="15" t="s">
        <v>98</v>
      </c>
      <c r="P2823" s="15" t="s">
        <v>924</v>
      </c>
      <c r="Q2823" s="15" t="s">
        <v>925</v>
      </c>
      <c r="R2823" s="16">
        <v>44329</v>
      </c>
      <c r="S2823" s="17" t="s">
        <v>35</v>
      </c>
      <c r="T2823" s="20">
        <f>HYPERLINK("https://vnm.spiral.com.vn//uploaded/20210513/05cabfd3-c6df-43eb-aad1-103582336188.JPEG","07:52:13")</f>
      </c>
      <c r="U2823" s="20">
        <f>HYPERLINK("https://vnm.spiral.com.vn//uploaded/20210513/65b35653-1f6d-4cb9-930c-2547736dac4e.JPEG","08:08:23")</f>
      </c>
      <c r="V2823" s="18">
        <v>0.011226851851851852</v>
      </c>
      <c r="W2823" s="15" t="s">
        <v>14389</v>
      </c>
      <c r="X2823" s="15" t="s">
        <v>14390</v>
      </c>
      <c r="Y2823" s="15" t="s">
        <v>35</v>
      </c>
      <c r="Z2823" s="19">
        <v>0</v>
      </c>
      <c r="AA2823" s="15">
        <v>0</v>
      </c>
      <c r="AB2823" s="15" t="s">
        <v>35</v>
      </c>
    </row>
    <row r="2824">
      <c r="A2824" s="15">
        <v>2820</v>
      </c>
      <c r="B2824" s="15" t="s">
        <v>61</v>
      </c>
      <c r="C2824" s="15" t="s">
        <v>904</v>
      </c>
      <c r="D2824" s="15" t="s">
        <v>35</v>
      </c>
      <c r="E2824" s="15" t="s">
        <v>35</v>
      </c>
      <c r="F2824" s="15" t="s">
        <v>35</v>
      </c>
      <c r="G2824" s="15" t="s">
        <v>36</v>
      </c>
      <c r="H2824" s="15" t="s">
        <v>14391</v>
      </c>
      <c r="I2824" s="15" t="s">
        <v>14392</v>
      </c>
      <c r="J2824" s="15" t="s">
        <v>14393</v>
      </c>
      <c r="K2824" s="15" t="s">
        <v>40</v>
      </c>
      <c r="L2824" s="15" t="s">
        <v>41</v>
      </c>
      <c r="M2824" s="15" t="s">
        <v>66</v>
      </c>
      <c r="N2824" s="15" t="s">
        <v>67</v>
      </c>
      <c r="O2824" s="15" t="s">
        <v>44</v>
      </c>
      <c r="P2824" s="15" t="s">
        <v>14394</v>
      </c>
      <c r="Q2824" s="15" t="s">
        <v>14395</v>
      </c>
      <c r="R2824" s="16">
        <v>44329</v>
      </c>
      <c r="S2824" s="17" t="s">
        <v>70</v>
      </c>
      <c r="T2824" s="20">
        <f>HYPERLINK("https://vnm.spiral.com.vn//uploaded/20210513/c202eeda-b40a-4796-bf7f-3c90bec6a24c.JPEG","08:08:23")</f>
      </c>
      <c r="U2824" s="18"/>
      <c r="V2824" s="18" t="s">
        <v>35</v>
      </c>
      <c r="W2824" s="15" t="s">
        <v>14396</v>
      </c>
      <c r="X2824" s="15" t="s">
        <v>35</v>
      </c>
      <c r="Y2824" s="15" t="s">
        <v>35</v>
      </c>
      <c r="Z2824" s="19">
        <v>0</v>
      </c>
      <c r="AA2824" s="15">
        <v>0</v>
      </c>
      <c r="AB2824" s="15" t="s">
        <v>35</v>
      </c>
    </row>
    <row r="2825">
      <c r="A2825" s="15">
        <v>2821</v>
      </c>
      <c r="B2825" s="15" t="s">
        <v>343</v>
      </c>
      <c r="C2825" s="15" t="s">
        <v>344</v>
      </c>
      <c r="D2825" s="15" t="s">
        <v>35</v>
      </c>
      <c r="E2825" s="15" t="s">
        <v>35</v>
      </c>
      <c r="F2825" s="15" t="s">
        <v>35</v>
      </c>
      <c r="G2825" s="15" t="s">
        <v>74</v>
      </c>
      <c r="H2825" s="15" t="s">
        <v>14397</v>
      </c>
      <c r="I2825" s="15" t="s">
        <v>14398</v>
      </c>
      <c r="J2825" s="15" t="s">
        <v>14399</v>
      </c>
      <c r="K2825" s="15" t="s">
        <v>584</v>
      </c>
      <c r="L2825" s="15" t="s">
        <v>585</v>
      </c>
      <c r="M2825" s="15" t="s">
        <v>827</v>
      </c>
      <c r="N2825" s="15" t="s">
        <v>828</v>
      </c>
      <c r="O2825" s="15" t="s">
        <v>82</v>
      </c>
      <c r="P2825" s="15" t="s">
        <v>2471</v>
      </c>
      <c r="Q2825" s="15" t="s">
        <v>2472</v>
      </c>
      <c r="R2825" s="16">
        <v>44329</v>
      </c>
      <c r="S2825" s="17" t="s">
        <v>70</v>
      </c>
      <c r="T2825" s="20">
        <f>HYPERLINK("https://vnm.spiral.com.vn//uploaded/20210513/062F20C2-1180-4EA1-821B-90F888FA3475.jpg","07:52:16")</f>
      </c>
      <c r="U2825" s="20">
        <f>HYPERLINK("https://vnm.spiral.com.vn//uploaded/20210513/8F192309-4A4E-4A04-808B-817BA7390464.jpg","08:08:19")</f>
      </c>
      <c r="V2825" s="18">
        <v>0.011145833333333334</v>
      </c>
      <c r="W2825" s="15" t="s">
        <v>14400</v>
      </c>
      <c r="X2825" s="15" t="s">
        <v>14401</v>
      </c>
      <c r="Y2825" s="15" t="s">
        <v>35</v>
      </c>
      <c r="Z2825" s="19">
        <v>0</v>
      </c>
      <c r="AA2825" s="15">
        <v>0</v>
      </c>
      <c r="AB2825" s="15" t="s">
        <v>35</v>
      </c>
    </row>
    <row r="2826">
      <c r="A2826" s="15">
        <v>2822</v>
      </c>
      <c r="B2826" s="15" t="s">
        <v>33</v>
      </c>
      <c r="C2826" s="15" t="s">
        <v>211</v>
      </c>
      <c r="D2826" s="15" t="s">
        <v>35</v>
      </c>
      <c r="E2826" s="15" t="s">
        <v>35</v>
      </c>
      <c r="F2826" s="15" t="s">
        <v>35</v>
      </c>
      <c r="G2826" s="15" t="s">
        <v>36</v>
      </c>
      <c r="H2826" s="15" t="s">
        <v>14402</v>
      </c>
      <c r="I2826" s="15" t="s">
        <v>14403</v>
      </c>
      <c r="J2826" s="15" t="s">
        <v>14404</v>
      </c>
      <c r="K2826" s="15" t="s">
        <v>40</v>
      </c>
      <c r="L2826" s="15" t="s">
        <v>41</v>
      </c>
      <c r="M2826" s="15" t="s">
        <v>42</v>
      </c>
      <c r="N2826" s="15" t="s">
        <v>43</v>
      </c>
      <c r="O2826" s="15" t="s">
        <v>44</v>
      </c>
      <c r="P2826" s="15" t="s">
        <v>14405</v>
      </c>
      <c r="Q2826" s="15" t="s">
        <v>14406</v>
      </c>
      <c r="R2826" s="16">
        <v>44329</v>
      </c>
      <c r="S2826" s="17" t="s">
        <v>11279</v>
      </c>
      <c r="T2826" s="20">
        <f>HYPERLINK("https://vnm.spiral.com.vn//uploaded/20210513/8d06eabb-1f0f-4699-b79b-f27edb8d5098.JPEG","08:07:46")</f>
      </c>
      <c r="U2826" s="18"/>
      <c r="V2826" s="18" t="s">
        <v>35</v>
      </c>
      <c r="W2826" s="15" t="s">
        <v>14407</v>
      </c>
      <c r="X2826" s="15" t="s">
        <v>35</v>
      </c>
      <c r="Y2826" s="15" t="s">
        <v>35</v>
      </c>
      <c r="Z2826" s="19">
        <v>0</v>
      </c>
      <c r="AA2826" s="15">
        <v>0</v>
      </c>
      <c r="AB2826" s="15" t="s">
        <v>35</v>
      </c>
    </row>
    <row r="2827">
      <c r="A2827" s="15">
        <v>2823</v>
      </c>
      <c r="B2827" s="15" t="s">
        <v>343</v>
      </c>
      <c r="C2827" s="15" t="s">
        <v>344</v>
      </c>
      <c r="D2827" s="15" t="s">
        <v>304</v>
      </c>
      <c r="E2827" s="15" t="s">
        <v>35</v>
      </c>
      <c r="F2827" s="15" t="s">
        <v>35</v>
      </c>
      <c r="G2827" s="15" t="s">
        <v>74</v>
      </c>
      <c r="H2827" s="15" t="s">
        <v>14408</v>
      </c>
      <c r="I2827" s="15" t="s">
        <v>9236</v>
      </c>
      <c r="J2827" s="15" t="s">
        <v>9237</v>
      </c>
      <c r="K2827" s="15" t="s">
        <v>897</v>
      </c>
      <c r="L2827" s="15" t="s">
        <v>898</v>
      </c>
      <c r="M2827" s="15" t="s">
        <v>899</v>
      </c>
      <c r="N2827" s="15" t="s">
        <v>900</v>
      </c>
      <c r="O2827" s="15" t="s">
        <v>156</v>
      </c>
      <c r="P2827" s="15" t="s">
        <v>14409</v>
      </c>
      <c r="Q2827" s="15" t="s">
        <v>14410</v>
      </c>
      <c r="R2827" s="16">
        <v>44329</v>
      </c>
      <c r="S2827" s="17" t="s">
        <v>326</v>
      </c>
      <c r="T2827" s="20">
        <f>HYPERLINK("https://vnm.spiral.com.vn//uploaded/20210513/0A348D51-AAF4-4A32-97FA-B59721D6F542.jpg","08:07:45")</f>
      </c>
      <c r="U2827" s="18"/>
      <c r="V2827" s="18" t="s">
        <v>35</v>
      </c>
      <c r="W2827" s="15" t="s">
        <v>14411</v>
      </c>
      <c r="X2827" s="15" t="s">
        <v>35</v>
      </c>
      <c r="Y2827" s="15" t="s">
        <v>35</v>
      </c>
      <c r="Z2827" s="19">
        <v>0</v>
      </c>
      <c r="AA2827" s="15">
        <v>0</v>
      </c>
      <c r="AB2827" s="15" t="s">
        <v>35</v>
      </c>
    </row>
    <row r="2828">
      <c r="A2828" s="15">
        <v>2824</v>
      </c>
      <c r="B2828" s="15" t="s">
        <v>246</v>
      </c>
      <c r="C2828" s="15" t="s">
        <v>782</v>
      </c>
      <c r="D2828" s="15" t="s">
        <v>35</v>
      </c>
      <c r="E2828" s="15" t="s">
        <v>35</v>
      </c>
      <c r="F2828" s="15" t="s">
        <v>35</v>
      </c>
      <c r="G2828" s="15" t="s">
        <v>35</v>
      </c>
      <c r="H2828" s="15" t="s">
        <v>14412</v>
      </c>
      <c r="I2828" s="15" t="s">
        <v>14413</v>
      </c>
      <c r="J2828" s="15" t="s">
        <v>14414</v>
      </c>
      <c r="K2828" s="15" t="s">
        <v>40</v>
      </c>
      <c r="L2828" s="15" t="s">
        <v>41</v>
      </c>
      <c r="M2828" s="15" t="s">
        <v>252</v>
      </c>
      <c r="N2828" s="15" t="s">
        <v>253</v>
      </c>
      <c r="O2828" s="15" t="s">
        <v>44</v>
      </c>
      <c r="P2828" s="15" t="s">
        <v>14415</v>
      </c>
      <c r="Q2828" s="15" t="s">
        <v>14416</v>
      </c>
      <c r="R2828" s="16">
        <v>44329</v>
      </c>
      <c r="S2828" s="17" t="s">
        <v>13829</v>
      </c>
      <c r="T2828" s="20">
        <f>HYPERLINK("https://vnm.spiral.com.vn//uploaded/20210513/29ad34f1-bec2-4ef8-9b00-ad69fd560339.JPEG","08:06:33")</f>
      </c>
      <c r="U2828" s="18"/>
      <c r="V2828" s="18" t="s">
        <v>35</v>
      </c>
      <c r="W2828" s="15" t="s">
        <v>14417</v>
      </c>
      <c r="X2828" s="15" t="s">
        <v>35</v>
      </c>
      <c r="Y2828" s="15" t="s">
        <v>35</v>
      </c>
      <c r="Z2828" s="19">
        <v>0</v>
      </c>
      <c r="AA2828" s="15">
        <v>0</v>
      </c>
      <c r="AB2828" s="15" t="s">
        <v>35</v>
      </c>
    </row>
    <row r="2829">
      <c r="A2829" s="15">
        <v>2825</v>
      </c>
      <c r="B2829" s="15" t="s">
        <v>49</v>
      </c>
      <c r="C2829" s="15" t="s">
        <v>162</v>
      </c>
      <c r="D2829" s="15" t="s">
        <v>35</v>
      </c>
      <c r="E2829" s="15" t="s">
        <v>35</v>
      </c>
      <c r="F2829" s="15" t="s">
        <v>1969</v>
      </c>
      <c r="G2829" s="15" t="s">
        <v>36</v>
      </c>
      <c r="H2829" s="15" t="s">
        <v>14418</v>
      </c>
      <c r="I2829" s="15" t="s">
        <v>14419</v>
      </c>
      <c r="J2829" s="15" t="s">
        <v>14420</v>
      </c>
      <c r="K2829" s="15" t="s">
        <v>40</v>
      </c>
      <c r="L2829" s="15" t="s">
        <v>41</v>
      </c>
      <c r="M2829" s="15" t="s">
        <v>55</v>
      </c>
      <c r="N2829" s="15" t="s">
        <v>56</v>
      </c>
      <c r="O2829" s="15" t="s">
        <v>44</v>
      </c>
      <c r="P2829" s="15" t="s">
        <v>14421</v>
      </c>
      <c r="Q2829" s="15" t="s">
        <v>14422</v>
      </c>
      <c r="R2829" s="16">
        <v>44329</v>
      </c>
      <c r="S2829" s="17" t="s">
        <v>1409</v>
      </c>
      <c r="T2829" s="20">
        <f>HYPERLINK("https://vnm.spiral.com.vn//uploaded/20210513/8E3DB36C-8887-44E6-BDB5-EAD50E23482B.jpg","08:06:09")</f>
      </c>
      <c r="U2829" s="18"/>
      <c r="V2829" s="18" t="s">
        <v>35</v>
      </c>
      <c r="W2829" s="15" t="s">
        <v>14423</v>
      </c>
      <c r="X2829" s="15" t="s">
        <v>35</v>
      </c>
      <c r="Y2829" s="15" t="s">
        <v>35</v>
      </c>
      <c r="Z2829" s="19">
        <v>0</v>
      </c>
      <c r="AA2829" s="15">
        <v>0</v>
      </c>
      <c r="AB2829" s="15" t="s">
        <v>35</v>
      </c>
    </row>
    <row r="2830">
      <c r="A2830" s="15">
        <v>2826</v>
      </c>
      <c r="B2830" s="15" t="s">
        <v>49</v>
      </c>
      <c r="C2830" s="15" t="s">
        <v>162</v>
      </c>
      <c r="D2830" s="15" t="s">
        <v>35</v>
      </c>
      <c r="E2830" s="15" t="s">
        <v>35</v>
      </c>
      <c r="F2830" s="15" t="s">
        <v>3675</v>
      </c>
      <c r="G2830" s="15" t="s">
        <v>36</v>
      </c>
      <c r="H2830" s="15" t="s">
        <v>14424</v>
      </c>
      <c r="I2830" s="15" t="s">
        <v>14425</v>
      </c>
      <c r="J2830" s="15" t="s">
        <v>14426</v>
      </c>
      <c r="K2830" s="15" t="s">
        <v>40</v>
      </c>
      <c r="L2830" s="15" t="s">
        <v>41</v>
      </c>
      <c r="M2830" s="15" t="s">
        <v>55</v>
      </c>
      <c r="N2830" s="15" t="s">
        <v>56</v>
      </c>
      <c r="O2830" s="15" t="s">
        <v>44</v>
      </c>
      <c r="P2830" s="15" t="s">
        <v>14427</v>
      </c>
      <c r="Q2830" s="15" t="s">
        <v>14428</v>
      </c>
      <c r="R2830" s="16">
        <v>44329</v>
      </c>
      <c r="S2830" s="17" t="s">
        <v>475</v>
      </c>
      <c r="T2830" s="20">
        <f>HYPERLINK("https://vnm.spiral.com.vn//uploaded/20210513/B77D91E5-CC47-448A-B6FA-F31A65479DF7.jpg","08:05:27")</f>
      </c>
      <c r="U2830" s="18"/>
      <c r="V2830" s="18" t="s">
        <v>35</v>
      </c>
      <c r="W2830" s="15" t="s">
        <v>14429</v>
      </c>
      <c r="X2830" s="15" t="s">
        <v>35</v>
      </c>
      <c r="Y2830" s="15" t="s">
        <v>35</v>
      </c>
      <c r="Z2830" s="19">
        <v>0</v>
      </c>
      <c r="AA2830" s="15">
        <v>0</v>
      </c>
      <c r="AB2830" s="15" t="s">
        <v>35</v>
      </c>
    </row>
    <row r="2831">
      <c r="A2831" s="15">
        <v>2827</v>
      </c>
      <c r="B2831" s="15" t="s">
        <v>343</v>
      </c>
      <c r="C2831" s="15" t="s">
        <v>7476</v>
      </c>
      <c r="D2831" s="15" t="s">
        <v>35</v>
      </c>
      <c r="E2831" s="15" t="s">
        <v>35</v>
      </c>
      <c r="F2831" s="15" t="s">
        <v>35</v>
      </c>
      <c r="G2831" s="15" t="s">
        <v>36</v>
      </c>
      <c r="H2831" s="15" t="s">
        <v>14430</v>
      </c>
      <c r="I2831" s="15" t="s">
        <v>14431</v>
      </c>
      <c r="J2831" s="15" t="s">
        <v>14432</v>
      </c>
      <c r="K2831" s="15" t="s">
        <v>40</v>
      </c>
      <c r="L2831" s="15" t="s">
        <v>41</v>
      </c>
      <c r="M2831" s="15" t="s">
        <v>409</v>
      </c>
      <c r="N2831" s="15" t="s">
        <v>410</v>
      </c>
      <c r="O2831" s="15" t="s">
        <v>44</v>
      </c>
      <c r="P2831" s="15" t="s">
        <v>14433</v>
      </c>
      <c r="Q2831" s="15" t="s">
        <v>4765</v>
      </c>
      <c r="R2831" s="16">
        <v>44329</v>
      </c>
      <c r="S2831" s="17" t="s">
        <v>14434</v>
      </c>
      <c r="T2831" s="20">
        <f>HYPERLINK("https://vnm.spiral.com.vn//uploaded/20210513/036302e8-64f0-491e-8eda-dae7a17996b5.JPEG","08:05:16")</f>
      </c>
      <c r="U2831" s="18"/>
      <c r="V2831" s="18" t="s">
        <v>35</v>
      </c>
      <c r="W2831" s="15" t="s">
        <v>14435</v>
      </c>
      <c r="X2831" s="15" t="s">
        <v>35</v>
      </c>
      <c r="Y2831" s="15" t="s">
        <v>35</v>
      </c>
      <c r="Z2831" s="19">
        <v>0</v>
      </c>
      <c r="AA2831" s="15">
        <v>0</v>
      </c>
      <c r="AB2831" s="15" t="s">
        <v>35</v>
      </c>
    </row>
    <row r="2832">
      <c r="A2832" s="15">
        <v>2828</v>
      </c>
      <c r="B2832" s="15" t="s">
        <v>246</v>
      </c>
      <c r="C2832" s="15" t="s">
        <v>2005</v>
      </c>
      <c r="D2832" s="15" t="s">
        <v>35</v>
      </c>
      <c r="E2832" s="15" t="s">
        <v>35</v>
      </c>
      <c r="F2832" s="15" t="s">
        <v>35</v>
      </c>
      <c r="G2832" s="15" t="s">
        <v>36</v>
      </c>
      <c r="H2832" s="15" t="s">
        <v>14436</v>
      </c>
      <c r="I2832" s="15" t="s">
        <v>14437</v>
      </c>
      <c r="J2832" s="15" t="s">
        <v>14438</v>
      </c>
      <c r="K2832" s="15" t="s">
        <v>40</v>
      </c>
      <c r="L2832" s="15" t="s">
        <v>41</v>
      </c>
      <c r="M2832" s="15" t="s">
        <v>252</v>
      </c>
      <c r="N2832" s="15" t="s">
        <v>253</v>
      </c>
      <c r="O2832" s="15" t="s">
        <v>44</v>
      </c>
      <c r="P2832" s="15" t="s">
        <v>14439</v>
      </c>
      <c r="Q2832" s="15" t="s">
        <v>14440</v>
      </c>
      <c r="R2832" s="16">
        <v>44329</v>
      </c>
      <c r="S2832" s="17" t="s">
        <v>70</v>
      </c>
      <c r="T2832" s="20">
        <f>HYPERLINK("https://vnm.spiral.com.vn//uploaded/20210513/b5793fac-aebf-424e-87a0-6282e3e2f81c.JPEG","08:05:10")</f>
      </c>
      <c r="U2832" s="18"/>
      <c r="V2832" s="18" t="s">
        <v>35</v>
      </c>
      <c r="W2832" s="15" t="s">
        <v>14441</v>
      </c>
      <c r="X2832" s="15" t="s">
        <v>35</v>
      </c>
      <c r="Y2832" s="15" t="s">
        <v>35</v>
      </c>
      <c r="Z2832" s="19">
        <v>0</v>
      </c>
      <c r="AA2832" s="15">
        <v>0</v>
      </c>
      <c r="AB2832" s="15" t="s">
        <v>35</v>
      </c>
    </row>
    <row r="2833">
      <c r="A2833" s="15">
        <v>2829</v>
      </c>
      <c r="B2833" s="15" t="s">
        <v>33</v>
      </c>
      <c r="C2833" s="15" t="s">
        <v>34</v>
      </c>
      <c r="D2833" s="15" t="s">
        <v>35</v>
      </c>
      <c r="E2833" s="15" t="s">
        <v>35</v>
      </c>
      <c r="F2833" s="15" t="s">
        <v>35</v>
      </c>
      <c r="G2833" s="15" t="s">
        <v>36</v>
      </c>
      <c r="H2833" s="15" t="s">
        <v>14442</v>
      </c>
      <c r="I2833" s="15" t="s">
        <v>14443</v>
      </c>
      <c r="J2833" s="15" t="s">
        <v>14444</v>
      </c>
      <c r="K2833" s="15" t="s">
        <v>40</v>
      </c>
      <c r="L2833" s="15" t="s">
        <v>41</v>
      </c>
      <c r="M2833" s="15" t="s">
        <v>42</v>
      </c>
      <c r="N2833" s="15" t="s">
        <v>43</v>
      </c>
      <c r="O2833" s="15" t="s">
        <v>44</v>
      </c>
      <c r="P2833" s="15" t="s">
        <v>14445</v>
      </c>
      <c r="Q2833" s="15" t="s">
        <v>1641</v>
      </c>
      <c r="R2833" s="16">
        <v>44329</v>
      </c>
      <c r="S2833" s="17" t="s">
        <v>225</v>
      </c>
      <c r="T2833" s="20">
        <f>HYPERLINK("https://vnm.spiral.com.vn//uploaded/20210513/14525b27-28bf-419e-ad7c-3d52d7a02d57.JPEG","08:05:01")</f>
      </c>
      <c r="U2833" s="18"/>
      <c r="V2833" s="18" t="s">
        <v>35</v>
      </c>
      <c r="W2833" s="15" t="s">
        <v>14446</v>
      </c>
      <c r="X2833" s="15" t="s">
        <v>35</v>
      </c>
      <c r="Y2833" s="15" t="s">
        <v>35</v>
      </c>
      <c r="Z2833" s="19">
        <v>0</v>
      </c>
      <c r="AA2833" s="15">
        <v>0</v>
      </c>
      <c r="AB2833" s="15" t="s">
        <v>35</v>
      </c>
    </row>
    <row r="2834">
      <c r="A2834" s="15">
        <v>2830</v>
      </c>
      <c r="B2834" s="15" t="s">
        <v>87</v>
      </c>
      <c r="C2834" s="15" t="s">
        <v>88</v>
      </c>
      <c r="D2834" s="15" t="s">
        <v>1910</v>
      </c>
      <c r="E2834" s="15" t="s">
        <v>1910</v>
      </c>
      <c r="F2834" s="15" t="s">
        <v>35</v>
      </c>
      <c r="G2834" s="15" t="s">
        <v>74</v>
      </c>
      <c r="H2834" s="15" t="s">
        <v>14447</v>
      </c>
      <c r="I2834" s="15" t="s">
        <v>14448</v>
      </c>
      <c r="J2834" s="15" t="s">
        <v>14449</v>
      </c>
      <c r="K2834" s="15" t="s">
        <v>888</v>
      </c>
      <c r="L2834" s="15" t="s">
        <v>889</v>
      </c>
      <c r="M2834" s="15" t="s">
        <v>1666</v>
      </c>
      <c r="N2834" s="15" t="s">
        <v>1667</v>
      </c>
      <c r="O2834" s="15" t="s">
        <v>82</v>
      </c>
      <c r="P2834" s="15" t="s">
        <v>2271</v>
      </c>
      <c r="Q2834" s="15" t="s">
        <v>2272</v>
      </c>
      <c r="R2834" s="16">
        <v>44329</v>
      </c>
      <c r="S2834" s="17" t="s">
        <v>70</v>
      </c>
      <c r="T2834" s="20">
        <f>HYPERLINK("https://vnm.spiral.com.vn//uploaded/20210513/608880df-57cb-4096-be7a-14a9299e777d.JPEG","07:42:17")</f>
      </c>
      <c r="U2834" s="20">
        <f>HYPERLINK("https://vnm.spiral.com.vn//uploaded/20210513/db233467-2dbd-466c-9eff-1db85788c806.JPEG","08:05:00")</f>
      </c>
      <c r="V2834" s="18">
        <v>0.015775462962962963</v>
      </c>
      <c r="W2834" s="15" t="s">
        <v>14450</v>
      </c>
      <c r="X2834" s="15" t="s">
        <v>14451</v>
      </c>
      <c r="Y2834" s="15" t="s">
        <v>35</v>
      </c>
      <c r="Z2834" s="19">
        <v>0</v>
      </c>
      <c r="AA2834" s="15">
        <v>0</v>
      </c>
      <c r="AB2834" s="15" t="s">
        <v>35</v>
      </c>
    </row>
    <row r="2835">
      <c r="A2835" s="15">
        <v>2831</v>
      </c>
      <c r="B2835" s="15" t="s">
        <v>87</v>
      </c>
      <c r="C2835" s="15" t="s">
        <v>88</v>
      </c>
      <c r="D2835" s="15" t="s">
        <v>1644</v>
      </c>
      <c r="E2835" s="15" t="s">
        <v>35</v>
      </c>
      <c r="F2835" s="15" t="s">
        <v>35</v>
      </c>
      <c r="G2835" s="15" t="s">
        <v>74</v>
      </c>
      <c r="H2835" s="15" t="s">
        <v>14452</v>
      </c>
      <c r="I2835" s="15" t="s">
        <v>14453</v>
      </c>
      <c r="J2835" s="15" t="s">
        <v>14454</v>
      </c>
      <c r="K2835" s="15" t="s">
        <v>888</v>
      </c>
      <c r="L2835" s="15" t="s">
        <v>889</v>
      </c>
      <c r="M2835" s="15" t="s">
        <v>890</v>
      </c>
      <c r="N2835" s="15" t="s">
        <v>891</v>
      </c>
      <c r="O2835" s="15" t="s">
        <v>82</v>
      </c>
      <c r="P2835" s="15" t="s">
        <v>1914</v>
      </c>
      <c r="Q2835" s="15" t="s">
        <v>1915</v>
      </c>
      <c r="R2835" s="16">
        <v>44329</v>
      </c>
      <c r="S2835" s="17" t="s">
        <v>70</v>
      </c>
      <c r="T2835" s="20">
        <f>HYPERLINK("https://vnm.spiral.com.vn//uploaded/20210513/B2712CD0-DCD2-4147-AD52-0EF804CC3069.jpg","07:46:01")</f>
      </c>
      <c r="U2835" s="20">
        <f>HYPERLINK("https://vnm.spiral.com.vn//uploaded/20210513/B4DF8F39-B987-4BEA-91EE-EBDA676B839F.jpg","08:04:53")</f>
      </c>
      <c r="V2835" s="18">
        <v>0.013101851851851852</v>
      </c>
      <c r="W2835" s="15" t="s">
        <v>14455</v>
      </c>
      <c r="X2835" s="15" t="s">
        <v>13812</v>
      </c>
      <c r="Y2835" s="15" t="s">
        <v>35</v>
      </c>
      <c r="Z2835" s="19">
        <v>0</v>
      </c>
      <c r="AA2835" s="15">
        <v>0</v>
      </c>
      <c r="AB2835" s="15" t="s">
        <v>35</v>
      </c>
    </row>
    <row r="2836">
      <c r="A2836" s="15">
        <v>2832</v>
      </c>
      <c r="B2836" s="15" t="s">
        <v>61</v>
      </c>
      <c r="C2836" s="15" t="s">
        <v>201</v>
      </c>
      <c r="D2836" s="15" t="s">
        <v>35</v>
      </c>
      <c r="E2836" s="15" t="s">
        <v>35</v>
      </c>
      <c r="F2836" s="15" t="s">
        <v>35</v>
      </c>
      <c r="G2836" s="15" t="s">
        <v>36</v>
      </c>
      <c r="H2836" s="15" t="s">
        <v>14456</v>
      </c>
      <c r="I2836" s="15" t="s">
        <v>14457</v>
      </c>
      <c r="J2836" s="15" t="s">
        <v>14458</v>
      </c>
      <c r="K2836" s="15" t="s">
        <v>40</v>
      </c>
      <c r="L2836" s="15" t="s">
        <v>41</v>
      </c>
      <c r="M2836" s="15" t="s">
        <v>66</v>
      </c>
      <c r="N2836" s="15" t="s">
        <v>67</v>
      </c>
      <c r="O2836" s="15" t="s">
        <v>44</v>
      </c>
      <c r="P2836" s="15" t="s">
        <v>14459</v>
      </c>
      <c r="Q2836" s="15" t="s">
        <v>14460</v>
      </c>
      <c r="R2836" s="16">
        <v>44329</v>
      </c>
      <c r="S2836" s="17" t="s">
        <v>256</v>
      </c>
      <c r="T2836" s="20">
        <f>HYPERLINK("https://vnm.spiral.com.vn//uploaded/20210513/3CF5B254-5A8D-416C-B5A0-EC7BC504C8A3.jpg","08:04:46")</f>
      </c>
      <c r="U2836" s="18"/>
      <c r="V2836" s="18" t="s">
        <v>35</v>
      </c>
      <c r="W2836" s="15" t="s">
        <v>14461</v>
      </c>
      <c r="X2836" s="15" t="s">
        <v>35</v>
      </c>
      <c r="Y2836" s="15" t="s">
        <v>35</v>
      </c>
      <c r="Z2836" s="19">
        <v>0</v>
      </c>
      <c r="AA2836" s="15">
        <v>0</v>
      </c>
      <c r="AB2836" s="15" t="s">
        <v>35</v>
      </c>
    </row>
    <row r="2837">
      <c r="A2837" s="15">
        <v>2833</v>
      </c>
      <c r="B2837" s="15" t="s">
        <v>61</v>
      </c>
      <c r="C2837" s="15" t="s">
        <v>904</v>
      </c>
      <c r="D2837" s="15" t="s">
        <v>35</v>
      </c>
      <c r="E2837" s="15" t="s">
        <v>35</v>
      </c>
      <c r="F2837" s="15" t="s">
        <v>35</v>
      </c>
      <c r="G2837" s="15" t="s">
        <v>36</v>
      </c>
      <c r="H2837" s="15" t="s">
        <v>14462</v>
      </c>
      <c r="I2837" s="15" t="s">
        <v>14463</v>
      </c>
      <c r="J2837" s="15" t="s">
        <v>14464</v>
      </c>
      <c r="K2837" s="15" t="s">
        <v>40</v>
      </c>
      <c r="L2837" s="15" t="s">
        <v>41</v>
      </c>
      <c r="M2837" s="15" t="s">
        <v>66</v>
      </c>
      <c r="N2837" s="15" t="s">
        <v>67</v>
      </c>
      <c r="O2837" s="15" t="s">
        <v>44</v>
      </c>
      <c r="P2837" s="15" t="s">
        <v>14465</v>
      </c>
      <c r="Q2837" s="15" t="s">
        <v>14466</v>
      </c>
      <c r="R2837" s="16">
        <v>44329</v>
      </c>
      <c r="S2837" s="17" t="s">
        <v>70</v>
      </c>
      <c r="T2837" s="20">
        <f>HYPERLINK("https://vnm.spiral.com.vn//uploaded/20210513/9cd70f15-8703-45ce-baa7-cc54427d9693.JPEG","08:04:45")</f>
      </c>
      <c r="U2837" s="18"/>
      <c r="V2837" s="18" t="s">
        <v>35</v>
      </c>
      <c r="W2837" s="15" t="s">
        <v>14467</v>
      </c>
      <c r="X2837" s="15" t="s">
        <v>35</v>
      </c>
      <c r="Y2837" s="15" t="s">
        <v>35</v>
      </c>
      <c r="Z2837" s="19">
        <v>0</v>
      </c>
      <c r="AA2837" s="15">
        <v>0</v>
      </c>
      <c r="AB2837" s="15" t="s">
        <v>35</v>
      </c>
    </row>
    <row r="2838">
      <c r="A2838" s="15">
        <v>2834</v>
      </c>
      <c r="B2838" s="15" t="s">
        <v>61</v>
      </c>
      <c r="C2838" s="15" t="s">
        <v>62</v>
      </c>
      <c r="D2838" s="15" t="s">
        <v>135</v>
      </c>
      <c r="E2838" s="15" t="s">
        <v>116</v>
      </c>
      <c r="F2838" s="15" t="s">
        <v>35</v>
      </c>
      <c r="G2838" s="15" t="s">
        <v>74</v>
      </c>
      <c r="H2838" s="15" t="s">
        <v>14468</v>
      </c>
      <c r="I2838" s="15" t="s">
        <v>14469</v>
      </c>
      <c r="J2838" s="15" t="s">
        <v>14470</v>
      </c>
      <c r="K2838" s="15" t="s">
        <v>1586</v>
      </c>
      <c r="L2838" s="15" t="s">
        <v>1587</v>
      </c>
      <c r="M2838" s="15" t="s">
        <v>1588</v>
      </c>
      <c r="N2838" s="15" t="s">
        <v>1589</v>
      </c>
      <c r="O2838" s="15" t="s">
        <v>82</v>
      </c>
      <c r="P2838" s="15" t="s">
        <v>8743</v>
      </c>
      <c r="Q2838" s="15" t="s">
        <v>8744</v>
      </c>
      <c r="R2838" s="16">
        <v>44329</v>
      </c>
      <c r="S2838" s="17" t="s">
        <v>70</v>
      </c>
      <c r="T2838" s="20">
        <f>HYPERLINK("https://vnm.spiral.com.vn//uploaded/20210513/FDC2F5A0-E0A9-4162-BC9F-3A8E572A03E8.jpg","07:20:51")</f>
      </c>
      <c r="U2838" s="20">
        <f>HYPERLINK("https://vnm.spiral.com.vn//uploaded/20210513/AE414C6B-AC84-4469-8C77-6E75B883BBA8.jpg","08:04:30")</f>
      </c>
      <c r="V2838" s="18">
        <v>0.0303125</v>
      </c>
      <c r="W2838" s="15" t="s">
        <v>14471</v>
      </c>
      <c r="X2838" s="15" t="s">
        <v>14472</v>
      </c>
      <c r="Y2838" s="15" t="s">
        <v>35</v>
      </c>
      <c r="Z2838" s="19">
        <v>0</v>
      </c>
      <c r="AA2838" s="15">
        <v>0</v>
      </c>
      <c r="AB2838" s="15" t="s">
        <v>35</v>
      </c>
    </row>
    <row r="2839">
      <c r="A2839" s="15">
        <v>2835</v>
      </c>
      <c r="B2839" s="15" t="s">
        <v>343</v>
      </c>
      <c r="C2839" s="15" t="s">
        <v>2069</v>
      </c>
      <c r="D2839" s="15" t="s">
        <v>35</v>
      </c>
      <c r="E2839" s="15" t="s">
        <v>35</v>
      </c>
      <c r="F2839" s="15" t="s">
        <v>35</v>
      </c>
      <c r="G2839" s="15" t="s">
        <v>36</v>
      </c>
      <c r="H2839" s="15" t="s">
        <v>14473</v>
      </c>
      <c r="I2839" s="15" t="s">
        <v>14474</v>
      </c>
      <c r="J2839" s="15" t="s">
        <v>14475</v>
      </c>
      <c r="K2839" s="15" t="s">
        <v>40</v>
      </c>
      <c r="L2839" s="15" t="s">
        <v>41</v>
      </c>
      <c r="M2839" s="15" t="s">
        <v>595</v>
      </c>
      <c r="N2839" s="15" t="s">
        <v>596</v>
      </c>
      <c r="O2839" s="15" t="s">
        <v>44</v>
      </c>
      <c r="P2839" s="15" t="s">
        <v>14476</v>
      </c>
      <c r="Q2839" s="15" t="s">
        <v>7804</v>
      </c>
      <c r="R2839" s="16">
        <v>44329</v>
      </c>
      <c r="S2839" s="17" t="s">
        <v>70</v>
      </c>
      <c r="T2839" s="20">
        <f>HYPERLINK("https://vnm.spiral.com.vn//uploaded/20210513/15C052B2-9B14-4CB6-819D-5105BA1FE3C9.jpg","08:04:09")</f>
      </c>
      <c r="U2839" s="18"/>
      <c r="V2839" s="18" t="s">
        <v>35</v>
      </c>
      <c r="W2839" s="15" t="s">
        <v>14477</v>
      </c>
      <c r="X2839" s="15" t="s">
        <v>35</v>
      </c>
      <c r="Y2839" s="15" t="s">
        <v>35</v>
      </c>
      <c r="Z2839" s="19">
        <v>0</v>
      </c>
      <c r="AA2839" s="15">
        <v>0</v>
      </c>
      <c r="AB2839" s="15" t="s">
        <v>35</v>
      </c>
    </row>
    <row r="2840">
      <c r="A2840" s="15">
        <v>2836</v>
      </c>
      <c r="B2840" s="15" t="s">
        <v>33</v>
      </c>
      <c r="C2840" s="15" t="s">
        <v>765</v>
      </c>
      <c r="D2840" s="15" t="s">
        <v>536</v>
      </c>
      <c r="E2840" s="15" t="s">
        <v>116</v>
      </c>
      <c r="F2840" s="15" t="s">
        <v>35</v>
      </c>
      <c r="G2840" s="15" t="s">
        <v>74</v>
      </c>
      <c r="H2840" s="15" t="s">
        <v>994</v>
      </c>
      <c r="I2840" s="15" t="s">
        <v>995</v>
      </c>
      <c r="J2840" s="15" t="s">
        <v>996</v>
      </c>
      <c r="K2840" s="15" t="s">
        <v>540</v>
      </c>
      <c r="L2840" s="15" t="s">
        <v>541</v>
      </c>
      <c r="M2840" s="15" t="s">
        <v>997</v>
      </c>
      <c r="N2840" s="15" t="s">
        <v>998</v>
      </c>
      <c r="O2840" s="15" t="s">
        <v>98</v>
      </c>
      <c r="P2840" s="15" t="s">
        <v>999</v>
      </c>
      <c r="Q2840" s="15" t="s">
        <v>1000</v>
      </c>
      <c r="R2840" s="16">
        <v>44329</v>
      </c>
      <c r="S2840" s="17" t="s">
        <v>70</v>
      </c>
      <c r="T2840" s="20">
        <f>HYPERLINK("https://vnm.spiral.com.vn//uploaded/20210513/614E3ED0-E272-4EA4-8C77-7937DC53AB07.jpg","08:04:07")</f>
      </c>
      <c r="U2840" s="18"/>
      <c r="V2840" s="18" t="s">
        <v>35</v>
      </c>
      <c r="W2840" s="15" t="s">
        <v>14478</v>
      </c>
      <c r="X2840" s="15" t="s">
        <v>35</v>
      </c>
      <c r="Y2840" s="15" t="s">
        <v>35</v>
      </c>
      <c r="Z2840" s="19">
        <v>0</v>
      </c>
      <c r="AA2840" s="15">
        <v>0</v>
      </c>
      <c r="AB2840" s="15" t="s">
        <v>35</v>
      </c>
    </row>
    <row r="2841">
      <c r="A2841" s="15">
        <v>2837</v>
      </c>
      <c r="B2841" s="15" t="s">
        <v>343</v>
      </c>
      <c r="C2841" s="15" t="s">
        <v>3117</v>
      </c>
      <c r="D2841" s="15" t="s">
        <v>432</v>
      </c>
      <c r="E2841" s="15" t="s">
        <v>116</v>
      </c>
      <c r="F2841" s="15" t="s">
        <v>35</v>
      </c>
      <c r="G2841" s="15" t="s">
        <v>74</v>
      </c>
      <c r="H2841" s="15" t="s">
        <v>14479</v>
      </c>
      <c r="I2841" s="15" t="s">
        <v>14480</v>
      </c>
      <c r="J2841" s="15" t="s">
        <v>14481</v>
      </c>
      <c r="K2841" s="15" t="s">
        <v>1168</v>
      </c>
      <c r="L2841" s="15" t="s">
        <v>1169</v>
      </c>
      <c r="M2841" s="15" t="s">
        <v>1170</v>
      </c>
      <c r="N2841" s="15" t="s">
        <v>1171</v>
      </c>
      <c r="O2841" s="15" t="s">
        <v>82</v>
      </c>
      <c r="P2841" s="15" t="s">
        <v>3121</v>
      </c>
      <c r="Q2841" s="15" t="s">
        <v>3122</v>
      </c>
      <c r="R2841" s="16">
        <v>44329</v>
      </c>
      <c r="S2841" s="17" t="s">
        <v>70</v>
      </c>
      <c r="T2841" s="20">
        <f>HYPERLINK("https://vnm.spiral.com.vn//uploaded/20210513/4a4c3a54-3735-40b0-a758-7cbdfeb1ed18.JPEG","07:20:59")</f>
      </c>
      <c r="U2841" s="20">
        <f>HYPERLINK("https://vnm.spiral.com.vn//uploaded/20210513/83ddd67d-ad1d-4d1a-9a49-cb8fa6d7d695.JPEG","08:03:56")</f>
      </c>
      <c r="V2841" s="18">
        <v>0.02982638888888889</v>
      </c>
      <c r="W2841" s="15" t="s">
        <v>14482</v>
      </c>
      <c r="X2841" s="15" t="s">
        <v>14483</v>
      </c>
      <c r="Y2841" s="15" t="s">
        <v>35</v>
      </c>
      <c r="Z2841" s="19">
        <v>0</v>
      </c>
      <c r="AA2841" s="15">
        <v>0</v>
      </c>
      <c r="AB2841" s="15" t="s">
        <v>35</v>
      </c>
    </row>
    <row r="2842">
      <c r="A2842" s="15">
        <v>2838</v>
      </c>
      <c r="B2842" s="15" t="s">
        <v>103</v>
      </c>
      <c r="C2842" s="15" t="s">
        <v>186</v>
      </c>
      <c r="D2842" s="15" t="s">
        <v>304</v>
      </c>
      <c r="E2842" s="15" t="s">
        <v>305</v>
      </c>
      <c r="F2842" s="15" t="s">
        <v>35</v>
      </c>
      <c r="G2842" s="15" t="s">
        <v>74</v>
      </c>
      <c r="H2842" s="15" t="s">
        <v>14484</v>
      </c>
      <c r="I2842" s="15" t="s">
        <v>14485</v>
      </c>
      <c r="J2842" s="15" t="s">
        <v>14486</v>
      </c>
      <c r="K2842" s="15" t="s">
        <v>190</v>
      </c>
      <c r="L2842" s="15" t="s">
        <v>191</v>
      </c>
      <c r="M2842" s="15" t="s">
        <v>178</v>
      </c>
      <c r="N2842" s="15" t="s">
        <v>179</v>
      </c>
      <c r="O2842" s="15" t="s">
        <v>98</v>
      </c>
      <c r="P2842" s="15" t="s">
        <v>3247</v>
      </c>
      <c r="Q2842" s="15" t="s">
        <v>3248</v>
      </c>
      <c r="R2842" s="16">
        <v>44329</v>
      </c>
      <c r="S2842" s="17" t="s">
        <v>70</v>
      </c>
      <c r="T2842" s="20">
        <f>HYPERLINK("https://vnm.spiral.com.vn//uploaded/20210513/3791C02B-0E17-4940-B00C-0AA8D674510B.jpg","08:03:43")</f>
      </c>
      <c r="U2842" s="18"/>
      <c r="V2842" s="18" t="s">
        <v>35</v>
      </c>
      <c r="W2842" s="15" t="s">
        <v>14487</v>
      </c>
      <c r="X2842" s="15" t="s">
        <v>35</v>
      </c>
      <c r="Y2842" s="15" t="s">
        <v>35</v>
      </c>
      <c r="Z2842" s="19">
        <v>0</v>
      </c>
      <c r="AA2842" s="15">
        <v>0</v>
      </c>
      <c r="AB2842" s="15" t="s">
        <v>35</v>
      </c>
    </row>
    <row r="2843">
      <c r="A2843" s="15">
        <v>2839</v>
      </c>
      <c r="B2843" s="15" t="s">
        <v>61</v>
      </c>
      <c r="C2843" s="15" t="s">
        <v>442</v>
      </c>
      <c r="D2843" s="15" t="s">
        <v>35</v>
      </c>
      <c r="E2843" s="15" t="s">
        <v>35</v>
      </c>
      <c r="F2843" s="15" t="s">
        <v>35</v>
      </c>
      <c r="G2843" s="15" t="s">
        <v>36</v>
      </c>
      <c r="H2843" s="15" t="s">
        <v>14488</v>
      </c>
      <c r="I2843" s="15" t="s">
        <v>14489</v>
      </c>
      <c r="J2843" s="15" t="s">
        <v>14490</v>
      </c>
      <c r="K2843" s="15" t="s">
        <v>40</v>
      </c>
      <c r="L2843" s="15" t="s">
        <v>41</v>
      </c>
      <c r="M2843" s="15" t="s">
        <v>205</v>
      </c>
      <c r="N2843" s="15" t="s">
        <v>206</v>
      </c>
      <c r="O2843" s="15" t="s">
        <v>44</v>
      </c>
      <c r="P2843" s="15" t="s">
        <v>14491</v>
      </c>
      <c r="Q2843" s="15" t="s">
        <v>14492</v>
      </c>
      <c r="R2843" s="16">
        <v>44329</v>
      </c>
      <c r="S2843" s="17" t="s">
        <v>70</v>
      </c>
      <c r="T2843" s="20">
        <f>HYPERLINK("https://vnm.spiral.com.vn//uploaded/20210513/BDD690C2-1B87-4499-A523-CAE9D01A2C47.jpg","08:02:53")</f>
      </c>
      <c r="U2843" s="18"/>
      <c r="V2843" s="18" t="s">
        <v>35</v>
      </c>
      <c r="W2843" s="15" t="s">
        <v>14493</v>
      </c>
      <c r="X2843" s="15" t="s">
        <v>35</v>
      </c>
      <c r="Y2843" s="15" t="s">
        <v>35</v>
      </c>
      <c r="Z2843" s="19">
        <v>0</v>
      </c>
      <c r="AA2843" s="15">
        <v>0</v>
      </c>
      <c r="AB2843" s="15" t="s">
        <v>35</v>
      </c>
    </row>
    <row r="2844">
      <c r="A2844" s="15">
        <v>2840</v>
      </c>
      <c r="B2844" s="15" t="s">
        <v>343</v>
      </c>
      <c r="C2844" s="15" t="s">
        <v>7476</v>
      </c>
      <c r="D2844" s="15" t="s">
        <v>536</v>
      </c>
      <c r="E2844" s="15" t="s">
        <v>116</v>
      </c>
      <c r="F2844" s="15" t="s">
        <v>35</v>
      </c>
      <c r="G2844" s="15" t="s">
        <v>74</v>
      </c>
      <c r="H2844" s="15" t="s">
        <v>14494</v>
      </c>
      <c r="I2844" s="15" t="s">
        <v>14495</v>
      </c>
      <c r="J2844" s="15" t="s">
        <v>14496</v>
      </c>
      <c r="K2844" s="15" t="s">
        <v>997</v>
      </c>
      <c r="L2844" s="15" t="s">
        <v>998</v>
      </c>
      <c r="M2844" s="15" t="s">
        <v>1325</v>
      </c>
      <c r="N2844" s="15" t="s">
        <v>1326</v>
      </c>
      <c r="O2844" s="15" t="s">
        <v>82</v>
      </c>
      <c r="P2844" s="15" t="s">
        <v>14497</v>
      </c>
      <c r="Q2844" s="15" t="s">
        <v>14498</v>
      </c>
      <c r="R2844" s="16">
        <v>44329</v>
      </c>
      <c r="S2844" s="17" t="s">
        <v>70</v>
      </c>
      <c r="T2844" s="20">
        <f>HYPERLINK("https://vnm.spiral.com.vn//uploaded/20210513/A9BEE057-0409-429B-A78B-6CD6CD42C5CB.jpg","08:02:50")</f>
      </c>
      <c r="U2844" s="18"/>
      <c r="V2844" s="18" t="s">
        <v>35</v>
      </c>
      <c r="W2844" s="15" t="s">
        <v>14499</v>
      </c>
      <c r="X2844" s="15" t="s">
        <v>35</v>
      </c>
      <c r="Y2844" s="15" t="s">
        <v>35</v>
      </c>
      <c r="Z2844" s="19">
        <v>0</v>
      </c>
      <c r="AA2844" s="15">
        <v>0</v>
      </c>
      <c r="AB2844" s="15" t="s">
        <v>35</v>
      </c>
    </row>
    <row r="2845">
      <c r="A2845" s="15">
        <v>2841</v>
      </c>
      <c r="B2845" s="15" t="s">
        <v>49</v>
      </c>
      <c r="C2845" s="15" t="s">
        <v>162</v>
      </c>
      <c r="D2845" s="15" t="s">
        <v>35</v>
      </c>
      <c r="E2845" s="15" t="s">
        <v>35</v>
      </c>
      <c r="F2845" s="15" t="s">
        <v>833</v>
      </c>
      <c r="G2845" s="15" t="s">
        <v>36</v>
      </c>
      <c r="H2845" s="15" t="s">
        <v>14500</v>
      </c>
      <c r="I2845" s="15" t="s">
        <v>14501</v>
      </c>
      <c r="J2845" s="15" t="s">
        <v>14502</v>
      </c>
      <c r="K2845" s="15" t="s">
        <v>40</v>
      </c>
      <c r="L2845" s="15" t="s">
        <v>41</v>
      </c>
      <c r="M2845" s="15" t="s">
        <v>55</v>
      </c>
      <c r="N2845" s="15" t="s">
        <v>56</v>
      </c>
      <c r="O2845" s="15" t="s">
        <v>44</v>
      </c>
      <c r="P2845" s="15" t="s">
        <v>14503</v>
      </c>
      <c r="Q2845" s="15" t="s">
        <v>14504</v>
      </c>
      <c r="R2845" s="16">
        <v>44329</v>
      </c>
      <c r="S2845" s="17" t="s">
        <v>317</v>
      </c>
      <c r="T2845" s="20">
        <f>HYPERLINK("https://vnm.spiral.com.vn//uploaded/20210513/0A8DDC73-C5C6-473D-B0B8-2A8DBFA61C1B.jpg","08:02:45")</f>
      </c>
      <c r="U2845" s="18"/>
      <c r="V2845" s="18" t="s">
        <v>35</v>
      </c>
      <c r="W2845" s="15" t="s">
        <v>14505</v>
      </c>
      <c r="X2845" s="15" t="s">
        <v>35</v>
      </c>
      <c r="Y2845" s="15" t="s">
        <v>35</v>
      </c>
      <c r="Z2845" s="19">
        <v>0</v>
      </c>
      <c r="AA2845" s="15">
        <v>0</v>
      </c>
      <c r="AB2845" s="15" t="s">
        <v>35</v>
      </c>
    </row>
    <row r="2846">
      <c r="A2846" s="15">
        <v>2842</v>
      </c>
      <c r="B2846" s="15" t="s">
        <v>61</v>
      </c>
      <c r="C2846" s="15" t="s">
        <v>303</v>
      </c>
      <c r="D2846" s="15" t="s">
        <v>35</v>
      </c>
      <c r="E2846" s="15" t="s">
        <v>35</v>
      </c>
      <c r="F2846" s="15" t="s">
        <v>14506</v>
      </c>
      <c r="G2846" s="15" t="s">
        <v>36</v>
      </c>
      <c r="H2846" s="15" t="s">
        <v>14507</v>
      </c>
      <c r="I2846" s="15" t="s">
        <v>14508</v>
      </c>
      <c r="J2846" s="15" t="s">
        <v>14509</v>
      </c>
      <c r="K2846" s="15" t="s">
        <v>40</v>
      </c>
      <c r="L2846" s="15" t="s">
        <v>41</v>
      </c>
      <c r="M2846" s="15" t="s">
        <v>205</v>
      </c>
      <c r="N2846" s="15" t="s">
        <v>206</v>
      </c>
      <c r="O2846" s="15" t="s">
        <v>44</v>
      </c>
      <c r="P2846" s="15" t="s">
        <v>14510</v>
      </c>
      <c r="Q2846" s="15" t="s">
        <v>14511</v>
      </c>
      <c r="R2846" s="16">
        <v>44329</v>
      </c>
      <c r="S2846" s="17" t="s">
        <v>70</v>
      </c>
      <c r="T2846" s="20">
        <f>HYPERLINK("https://vnm.spiral.com.vn//uploaded/20210513/c611b6fc-ec27-4bed-88b0-ffdebc7100d9.JPEG","08:02:45")</f>
      </c>
      <c r="U2846" s="18"/>
      <c r="V2846" s="18" t="s">
        <v>35</v>
      </c>
      <c r="W2846" s="15" t="s">
        <v>14512</v>
      </c>
      <c r="X2846" s="15" t="s">
        <v>35</v>
      </c>
      <c r="Y2846" s="15" t="s">
        <v>35</v>
      </c>
      <c r="Z2846" s="19">
        <v>0</v>
      </c>
      <c r="AA2846" s="15">
        <v>0</v>
      </c>
      <c r="AB2846" s="15" t="s">
        <v>35</v>
      </c>
    </row>
    <row r="2847">
      <c r="A2847" s="15">
        <v>2843</v>
      </c>
      <c r="B2847" s="15" t="s">
        <v>246</v>
      </c>
      <c r="C2847" s="15" t="s">
        <v>247</v>
      </c>
      <c r="D2847" s="15" t="s">
        <v>35</v>
      </c>
      <c r="E2847" s="15" t="s">
        <v>35</v>
      </c>
      <c r="F2847" s="15" t="s">
        <v>248</v>
      </c>
      <c r="G2847" s="15" t="s">
        <v>36</v>
      </c>
      <c r="H2847" s="15" t="s">
        <v>14513</v>
      </c>
      <c r="I2847" s="15" t="s">
        <v>7277</v>
      </c>
      <c r="J2847" s="15" t="s">
        <v>14514</v>
      </c>
      <c r="K2847" s="15" t="s">
        <v>40</v>
      </c>
      <c r="L2847" s="15" t="s">
        <v>41</v>
      </c>
      <c r="M2847" s="15" t="s">
        <v>252</v>
      </c>
      <c r="N2847" s="15" t="s">
        <v>253</v>
      </c>
      <c r="O2847" s="15" t="s">
        <v>44</v>
      </c>
      <c r="P2847" s="15" t="s">
        <v>14515</v>
      </c>
      <c r="Q2847" s="15" t="s">
        <v>14516</v>
      </c>
      <c r="R2847" s="16">
        <v>44329</v>
      </c>
      <c r="S2847" s="17" t="s">
        <v>225</v>
      </c>
      <c r="T2847" s="20">
        <f>HYPERLINK("https://vnm.spiral.com.vn//uploaded/20210513/28e3fd12-ee10-4a8c-80cb-35b528363556.JPEG","08:02:30")</f>
      </c>
      <c r="U2847" s="18"/>
      <c r="V2847" s="18" t="s">
        <v>35</v>
      </c>
      <c r="W2847" s="15" t="s">
        <v>14517</v>
      </c>
      <c r="X2847" s="15" t="s">
        <v>35</v>
      </c>
      <c r="Y2847" s="15" t="s">
        <v>35</v>
      </c>
      <c r="Z2847" s="19">
        <v>0</v>
      </c>
      <c r="AA2847" s="15">
        <v>0</v>
      </c>
      <c r="AB2847" s="15" t="s">
        <v>35</v>
      </c>
    </row>
    <row r="2848">
      <c r="A2848" s="15">
        <v>2844</v>
      </c>
      <c r="B2848" s="15" t="s">
        <v>33</v>
      </c>
      <c r="C2848" s="15" t="s">
        <v>492</v>
      </c>
      <c r="D2848" s="15" t="s">
        <v>35</v>
      </c>
      <c r="E2848" s="15" t="s">
        <v>35</v>
      </c>
      <c r="F2848" s="15" t="s">
        <v>35</v>
      </c>
      <c r="G2848" s="15" t="s">
        <v>36</v>
      </c>
      <c r="H2848" s="15" t="s">
        <v>14518</v>
      </c>
      <c r="I2848" s="15" t="s">
        <v>14519</v>
      </c>
      <c r="J2848" s="15" t="s">
        <v>14520</v>
      </c>
      <c r="K2848" s="15" t="s">
        <v>40</v>
      </c>
      <c r="L2848" s="15" t="s">
        <v>41</v>
      </c>
      <c r="M2848" s="15" t="s">
        <v>42</v>
      </c>
      <c r="N2848" s="15" t="s">
        <v>43</v>
      </c>
      <c r="O2848" s="15" t="s">
        <v>44</v>
      </c>
      <c r="P2848" s="15" t="s">
        <v>14521</v>
      </c>
      <c r="Q2848" s="15" t="s">
        <v>14522</v>
      </c>
      <c r="R2848" s="16">
        <v>44329</v>
      </c>
      <c r="S2848" s="17" t="s">
        <v>70</v>
      </c>
      <c r="T2848" s="20">
        <f>HYPERLINK("https://vnm.spiral.com.vn//uploaded/20210513/26399d1f-32fd-4662-8b33-2031d683a44c.JPEG","08:02:17")</f>
      </c>
      <c r="U2848" s="18"/>
      <c r="V2848" s="18" t="s">
        <v>35</v>
      </c>
      <c r="W2848" s="15" t="s">
        <v>14523</v>
      </c>
      <c r="X2848" s="15" t="s">
        <v>35</v>
      </c>
      <c r="Y2848" s="15" t="s">
        <v>35</v>
      </c>
      <c r="Z2848" s="19">
        <v>0</v>
      </c>
      <c r="AA2848" s="15">
        <v>0</v>
      </c>
      <c r="AB2848" s="15" t="s">
        <v>35</v>
      </c>
    </row>
    <row r="2849">
      <c r="A2849" s="15">
        <v>2845</v>
      </c>
      <c r="B2849" s="15" t="s">
        <v>61</v>
      </c>
      <c r="C2849" s="15" t="s">
        <v>442</v>
      </c>
      <c r="D2849" s="15" t="s">
        <v>35</v>
      </c>
      <c r="E2849" s="15" t="s">
        <v>35</v>
      </c>
      <c r="F2849" s="15" t="s">
        <v>35</v>
      </c>
      <c r="G2849" s="15" t="s">
        <v>36</v>
      </c>
      <c r="H2849" s="15" t="s">
        <v>14524</v>
      </c>
      <c r="I2849" s="15" t="s">
        <v>14525</v>
      </c>
      <c r="J2849" s="15" t="s">
        <v>14526</v>
      </c>
      <c r="K2849" s="15" t="s">
        <v>40</v>
      </c>
      <c r="L2849" s="15" t="s">
        <v>41</v>
      </c>
      <c r="M2849" s="15" t="s">
        <v>205</v>
      </c>
      <c r="N2849" s="15" t="s">
        <v>206</v>
      </c>
      <c r="O2849" s="15" t="s">
        <v>44</v>
      </c>
      <c r="P2849" s="15" t="s">
        <v>14527</v>
      </c>
      <c r="Q2849" s="15" t="s">
        <v>14528</v>
      </c>
      <c r="R2849" s="16">
        <v>44329</v>
      </c>
      <c r="S2849" s="17" t="s">
        <v>70</v>
      </c>
      <c r="T2849" s="20">
        <f>HYPERLINK("https://vnm.spiral.com.vn//uploaded/20210513/da3503ef-bab3-46c6-b654-b1516e1f9d69.JPEG","08:01:47")</f>
      </c>
      <c r="U2849" s="18"/>
      <c r="V2849" s="18" t="s">
        <v>35</v>
      </c>
      <c r="W2849" s="15" t="s">
        <v>14529</v>
      </c>
      <c r="X2849" s="15" t="s">
        <v>35</v>
      </c>
      <c r="Y2849" s="15" t="s">
        <v>35</v>
      </c>
      <c r="Z2849" s="19">
        <v>0</v>
      </c>
      <c r="AA2849" s="15">
        <v>0</v>
      </c>
      <c r="AB2849" s="15" t="s">
        <v>35</v>
      </c>
    </row>
    <row r="2850">
      <c r="A2850" s="15">
        <v>2846</v>
      </c>
      <c r="B2850" s="15" t="s">
        <v>87</v>
      </c>
      <c r="C2850" s="15" t="s">
        <v>88</v>
      </c>
      <c r="D2850" s="15" t="s">
        <v>35</v>
      </c>
      <c r="E2850" s="15" t="s">
        <v>35</v>
      </c>
      <c r="F2850" s="15" t="s">
        <v>35</v>
      </c>
      <c r="G2850" s="15" t="s">
        <v>74</v>
      </c>
      <c r="H2850" s="15" t="s">
        <v>13993</v>
      </c>
      <c r="I2850" s="15" t="s">
        <v>13994</v>
      </c>
      <c r="J2850" s="15" t="s">
        <v>13995</v>
      </c>
      <c r="K2850" s="15" t="s">
        <v>888</v>
      </c>
      <c r="L2850" s="15" t="s">
        <v>889</v>
      </c>
      <c r="M2850" s="15" t="s">
        <v>924</v>
      </c>
      <c r="N2850" s="15" t="s">
        <v>925</v>
      </c>
      <c r="O2850" s="15" t="s">
        <v>82</v>
      </c>
      <c r="P2850" s="15" t="s">
        <v>1906</v>
      </c>
      <c r="Q2850" s="15" t="s">
        <v>1907</v>
      </c>
      <c r="R2850" s="16">
        <v>44329</v>
      </c>
      <c r="S2850" s="17" t="s">
        <v>70</v>
      </c>
      <c r="T2850" s="20">
        <f>HYPERLINK("https://vnm.spiral.com.vn//uploaded/20210513/0d10efaa-e862-4487-8d9b-f977a107f980.JPEG","07:40:02")</f>
      </c>
      <c r="U2850" s="20">
        <f>HYPERLINK("https://vnm.spiral.com.vn//uploaded/20210513/341b72b0-5373-4f06-bf6d-bb2b0a1c165b.JPEG","08:01:33")</f>
      </c>
      <c r="V2850" s="18">
        <v>0.01494212962962963</v>
      </c>
      <c r="W2850" s="15" t="s">
        <v>14530</v>
      </c>
      <c r="X2850" s="15" t="s">
        <v>14531</v>
      </c>
      <c r="Y2850" s="15" t="s">
        <v>35</v>
      </c>
      <c r="Z2850" s="19">
        <v>0</v>
      </c>
      <c r="AA2850" s="15">
        <v>0</v>
      </c>
      <c r="AB2850" s="15" t="s">
        <v>35</v>
      </c>
    </row>
    <row r="2851">
      <c r="A2851" s="15">
        <v>2847</v>
      </c>
      <c r="B2851" s="15" t="s">
        <v>87</v>
      </c>
      <c r="C2851" s="15" t="s">
        <v>88</v>
      </c>
      <c r="D2851" s="15" t="s">
        <v>35</v>
      </c>
      <c r="E2851" s="15" t="s">
        <v>35</v>
      </c>
      <c r="F2851" s="15" t="s">
        <v>35</v>
      </c>
      <c r="G2851" s="15" t="s">
        <v>74</v>
      </c>
      <c r="H2851" s="15" t="s">
        <v>14532</v>
      </c>
      <c r="I2851" s="15" t="s">
        <v>14533</v>
      </c>
      <c r="J2851" s="15" t="s">
        <v>14534</v>
      </c>
      <c r="K2851" s="15" t="s">
        <v>888</v>
      </c>
      <c r="L2851" s="15" t="s">
        <v>889</v>
      </c>
      <c r="M2851" s="15" t="s">
        <v>924</v>
      </c>
      <c r="N2851" s="15" t="s">
        <v>925</v>
      </c>
      <c r="O2851" s="15" t="s">
        <v>82</v>
      </c>
      <c r="P2851" s="15" t="s">
        <v>5478</v>
      </c>
      <c r="Q2851" s="15" t="s">
        <v>5479</v>
      </c>
      <c r="R2851" s="16">
        <v>44329</v>
      </c>
      <c r="S2851" s="17" t="s">
        <v>70</v>
      </c>
      <c r="T2851" s="20">
        <f>HYPERLINK("https://vnm.spiral.com.vn//uploaded/20210513/07ee32f5-95d1-4618-8bfb-dd66d201ae00.JPEG","07:42:49")</f>
      </c>
      <c r="U2851" s="20">
        <f>HYPERLINK("https://vnm.spiral.com.vn//uploaded/20210513/9f745e7e-2b32-4bbe-add7-454ace985190.JPEG","08:01:30")</f>
      </c>
      <c r="V2851" s="18">
        <v>0.012974537037037038</v>
      </c>
      <c r="W2851" s="15" t="s">
        <v>14535</v>
      </c>
      <c r="X2851" s="15" t="s">
        <v>14536</v>
      </c>
      <c r="Y2851" s="15" t="s">
        <v>35</v>
      </c>
      <c r="Z2851" s="19">
        <v>0</v>
      </c>
      <c r="AA2851" s="15">
        <v>0</v>
      </c>
      <c r="AB2851" s="15" t="s">
        <v>35</v>
      </c>
    </row>
    <row r="2852">
      <c r="A2852" s="15">
        <v>2848</v>
      </c>
      <c r="B2852" s="15" t="s">
        <v>87</v>
      </c>
      <c r="C2852" s="15" t="s">
        <v>88</v>
      </c>
      <c r="D2852" s="15" t="s">
        <v>1910</v>
      </c>
      <c r="E2852" s="15" t="s">
        <v>1910</v>
      </c>
      <c r="F2852" s="15" t="s">
        <v>35</v>
      </c>
      <c r="G2852" s="15" t="s">
        <v>74</v>
      </c>
      <c r="H2852" s="15" t="s">
        <v>13688</v>
      </c>
      <c r="I2852" s="15" t="s">
        <v>13689</v>
      </c>
      <c r="J2852" s="15" t="s">
        <v>13690</v>
      </c>
      <c r="K2852" s="15" t="s">
        <v>888</v>
      </c>
      <c r="L2852" s="15" t="s">
        <v>889</v>
      </c>
      <c r="M2852" s="15" t="s">
        <v>1666</v>
      </c>
      <c r="N2852" s="15" t="s">
        <v>1667</v>
      </c>
      <c r="O2852" s="15" t="s">
        <v>82</v>
      </c>
      <c r="P2852" s="15" t="s">
        <v>6570</v>
      </c>
      <c r="Q2852" s="15" t="s">
        <v>6571</v>
      </c>
      <c r="R2852" s="16">
        <v>44329</v>
      </c>
      <c r="S2852" s="17" t="s">
        <v>70</v>
      </c>
      <c r="T2852" s="20">
        <f>HYPERLINK("https://vnm.spiral.com.vn//uploaded/20210513/A68D9C84-2504-49F9-A197-3BF31751BA70.jpg","07:34:05")</f>
      </c>
      <c r="U2852" s="20">
        <f>HYPERLINK("https://vnm.spiral.com.vn//uploaded/20210513/C2F6019B-1F91-41A4-B95B-1B02C02B081C.jpg","08:01:26")</f>
      </c>
      <c r="V2852" s="18">
        <v>0.018993055555555555</v>
      </c>
      <c r="W2852" s="15" t="s">
        <v>14537</v>
      </c>
      <c r="X2852" s="15" t="s">
        <v>14538</v>
      </c>
      <c r="Y2852" s="15" t="s">
        <v>35</v>
      </c>
      <c r="Z2852" s="19">
        <v>0</v>
      </c>
      <c r="AA2852" s="15">
        <v>0</v>
      </c>
      <c r="AB2852" s="15" t="s">
        <v>35</v>
      </c>
    </row>
    <row r="2853">
      <c r="A2853" s="15">
        <v>2849</v>
      </c>
      <c r="B2853" s="15" t="s">
        <v>87</v>
      </c>
      <c r="C2853" s="15" t="s">
        <v>88</v>
      </c>
      <c r="D2853" s="15" t="s">
        <v>35</v>
      </c>
      <c r="E2853" s="15" t="s">
        <v>35</v>
      </c>
      <c r="F2853" s="15" t="s">
        <v>35</v>
      </c>
      <c r="G2853" s="15" t="s">
        <v>74</v>
      </c>
      <c r="H2853" s="15" t="s">
        <v>14539</v>
      </c>
      <c r="I2853" s="15" t="s">
        <v>14540</v>
      </c>
      <c r="J2853" s="15" t="s">
        <v>14541</v>
      </c>
      <c r="K2853" s="15" t="s">
        <v>888</v>
      </c>
      <c r="L2853" s="15" t="s">
        <v>889</v>
      </c>
      <c r="M2853" s="15" t="s">
        <v>1666</v>
      </c>
      <c r="N2853" s="15" t="s">
        <v>1667</v>
      </c>
      <c r="O2853" s="15" t="s">
        <v>82</v>
      </c>
      <c r="P2853" s="15" t="s">
        <v>1668</v>
      </c>
      <c r="Q2853" s="15" t="s">
        <v>1669</v>
      </c>
      <c r="R2853" s="16">
        <v>44329</v>
      </c>
      <c r="S2853" s="17" t="s">
        <v>70</v>
      </c>
      <c r="T2853" s="20">
        <f>HYPERLINK("https://vnm.spiral.com.vn//uploaded/20210513/0C8DA3D1-6FD1-462E-A4FA-E080E8B708B5.jpg","07:28:48")</f>
      </c>
      <c r="U2853" s="20">
        <f>HYPERLINK("https://vnm.spiral.com.vn//uploaded/20210513/6EF1E3B8-54B0-4A5B-AADC-33774495C135.jpg","08:01:16")</f>
      </c>
      <c r="V2853" s="18">
        <v>0.022546296296296297</v>
      </c>
      <c r="W2853" s="15" t="s">
        <v>14542</v>
      </c>
      <c r="X2853" s="15" t="s">
        <v>14543</v>
      </c>
      <c r="Y2853" s="15" t="s">
        <v>35</v>
      </c>
      <c r="Z2853" s="19">
        <v>0</v>
      </c>
      <c r="AA2853" s="15">
        <v>0</v>
      </c>
      <c r="AB2853" s="15" t="s">
        <v>35</v>
      </c>
    </row>
    <row r="2854">
      <c r="A2854" s="15">
        <v>2850</v>
      </c>
      <c r="B2854" s="15" t="s">
        <v>33</v>
      </c>
      <c r="C2854" s="15" t="s">
        <v>765</v>
      </c>
      <c r="D2854" s="15" t="s">
        <v>35</v>
      </c>
      <c r="E2854" s="15" t="s">
        <v>35</v>
      </c>
      <c r="F2854" s="15" t="s">
        <v>35</v>
      </c>
      <c r="G2854" s="15" t="s">
        <v>74</v>
      </c>
      <c r="H2854" s="15" t="s">
        <v>14544</v>
      </c>
      <c r="I2854" s="15" t="s">
        <v>14545</v>
      </c>
      <c r="J2854" s="15" t="s">
        <v>14546</v>
      </c>
      <c r="K2854" s="15" t="s">
        <v>540</v>
      </c>
      <c r="L2854" s="15" t="s">
        <v>541</v>
      </c>
      <c r="M2854" s="15" t="s">
        <v>769</v>
      </c>
      <c r="N2854" s="15" t="s">
        <v>770</v>
      </c>
      <c r="O2854" s="15" t="s">
        <v>82</v>
      </c>
      <c r="P2854" s="15" t="s">
        <v>3034</v>
      </c>
      <c r="Q2854" s="15" t="s">
        <v>3035</v>
      </c>
      <c r="R2854" s="16">
        <v>44329</v>
      </c>
      <c r="S2854" s="17" t="s">
        <v>70</v>
      </c>
      <c r="T2854" s="20">
        <f>HYPERLINK("https://vnm.spiral.com.vn//uploaded/20210513/0834405f-4ac4-43e4-8111-dbd8d432729e.JPEG","07:21:03")</f>
      </c>
      <c r="U2854" s="20">
        <f>HYPERLINK("https://vnm.spiral.com.vn//uploaded/20210513/e5c68350-1eb2-4770-9dd4-80d426a9b7fd.JPEG","08:01:04")</f>
      </c>
      <c r="V2854" s="18">
        <v>0.027789351851851853</v>
      </c>
      <c r="W2854" s="15" t="s">
        <v>14547</v>
      </c>
      <c r="X2854" s="15" t="s">
        <v>14548</v>
      </c>
      <c r="Y2854" s="15" t="s">
        <v>35</v>
      </c>
      <c r="Z2854" s="19">
        <v>0</v>
      </c>
      <c r="AA2854" s="15">
        <v>0</v>
      </c>
      <c r="AB2854" s="15" t="s">
        <v>35</v>
      </c>
    </row>
    <row r="2855">
      <c r="A2855" s="15">
        <v>2851</v>
      </c>
      <c r="B2855" s="15" t="s">
        <v>33</v>
      </c>
      <c r="C2855" s="15" t="s">
        <v>211</v>
      </c>
      <c r="D2855" s="15" t="s">
        <v>35</v>
      </c>
      <c r="E2855" s="15" t="s">
        <v>35</v>
      </c>
      <c r="F2855" s="15" t="s">
        <v>14549</v>
      </c>
      <c r="G2855" s="15" t="s">
        <v>36</v>
      </c>
      <c r="H2855" s="15" t="s">
        <v>14550</v>
      </c>
      <c r="I2855" s="15" t="s">
        <v>14551</v>
      </c>
      <c r="J2855" s="15" t="s">
        <v>14552</v>
      </c>
      <c r="K2855" s="15" t="s">
        <v>40</v>
      </c>
      <c r="L2855" s="15" t="s">
        <v>41</v>
      </c>
      <c r="M2855" s="15" t="s">
        <v>42</v>
      </c>
      <c r="N2855" s="15" t="s">
        <v>43</v>
      </c>
      <c r="O2855" s="15" t="s">
        <v>44</v>
      </c>
      <c r="P2855" s="15" t="s">
        <v>14553</v>
      </c>
      <c r="Q2855" s="15" t="s">
        <v>14554</v>
      </c>
      <c r="R2855" s="16">
        <v>44329</v>
      </c>
      <c r="S2855" s="17" t="s">
        <v>14324</v>
      </c>
      <c r="T2855" s="20">
        <f>HYPERLINK("https://vnm.spiral.com.vn//uploaded/20210513/06098e9c-f38d-4a1c-901c-1b7bf0eda9bc.JPEG","08:01:00")</f>
      </c>
      <c r="U2855" s="18"/>
      <c r="V2855" s="18" t="s">
        <v>35</v>
      </c>
      <c r="W2855" s="15" t="s">
        <v>14555</v>
      </c>
      <c r="X2855" s="15" t="s">
        <v>35</v>
      </c>
      <c r="Y2855" s="15" t="s">
        <v>35</v>
      </c>
      <c r="Z2855" s="19">
        <v>0</v>
      </c>
      <c r="AA2855" s="15">
        <v>0</v>
      </c>
      <c r="AB2855" s="15" t="s">
        <v>35</v>
      </c>
    </row>
    <row r="2856">
      <c r="A2856" s="15">
        <v>2852</v>
      </c>
      <c r="B2856" s="15" t="s">
        <v>87</v>
      </c>
      <c r="C2856" s="15" t="s">
        <v>88</v>
      </c>
      <c r="D2856" s="15" t="s">
        <v>35</v>
      </c>
      <c r="E2856" s="15" t="s">
        <v>35</v>
      </c>
      <c r="F2856" s="15" t="s">
        <v>35</v>
      </c>
      <c r="G2856" s="15" t="s">
        <v>74</v>
      </c>
      <c r="H2856" s="15" t="s">
        <v>14556</v>
      </c>
      <c r="I2856" s="15" t="s">
        <v>14557</v>
      </c>
      <c r="J2856" s="15" t="s">
        <v>14558</v>
      </c>
      <c r="K2856" s="15" t="s">
        <v>888</v>
      </c>
      <c r="L2856" s="15" t="s">
        <v>889</v>
      </c>
      <c r="M2856" s="15" t="s">
        <v>924</v>
      </c>
      <c r="N2856" s="15" t="s">
        <v>925</v>
      </c>
      <c r="O2856" s="15" t="s">
        <v>82</v>
      </c>
      <c r="P2856" s="15" t="s">
        <v>926</v>
      </c>
      <c r="Q2856" s="15" t="s">
        <v>927</v>
      </c>
      <c r="R2856" s="16">
        <v>44329</v>
      </c>
      <c r="S2856" s="17" t="s">
        <v>70</v>
      </c>
      <c r="T2856" s="20">
        <f>HYPERLINK("https://vnm.spiral.com.vn//uploaded/20210513/33CC9996-A85A-46DA-87BE-844071515D54.jpg","07:45:28")</f>
      </c>
      <c r="U2856" s="20">
        <f>HYPERLINK("https://vnm.spiral.com.vn//uploaded/20210513/59405FB1-88DD-4D25-A1E3-2D6BF7C1E8F2.jpg","08:00:37")</f>
      </c>
      <c r="V2856" s="18">
        <v>0.010520833333333333</v>
      </c>
      <c r="W2856" s="15" t="s">
        <v>14559</v>
      </c>
      <c r="X2856" s="15" t="s">
        <v>14560</v>
      </c>
      <c r="Y2856" s="15" t="s">
        <v>35</v>
      </c>
      <c r="Z2856" s="19">
        <v>0</v>
      </c>
      <c r="AA2856" s="15">
        <v>0</v>
      </c>
      <c r="AB2856" s="15" t="s">
        <v>35</v>
      </c>
    </row>
    <row r="2857">
      <c r="A2857" s="15">
        <v>2853</v>
      </c>
      <c r="B2857" s="15" t="s">
        <v>343</v>
      </c>
      <c r="C2857" s="15" t="s">
        <v>344</v>
      </c>
      <c r="D2857" s="15" t="s">
        <v>35</v>
      </c>
      <c r="E2857" s="15" t="s">
        <v>35</v>
      </c>
      <c r="F2857" s="15" t="s">
        <v>1954</v>
      </c>
      <c r="G2857" s="15" t="s">
        <v>36</v>
      </c>
      <c r="H2857" s="15" t="s">
        <v>14561</v>
      </c>
      <c r="I2857" s="15" t="s">
        <v>14562</v>
      </c>
      <c r="J2857" s="15" t="s">
        <v>14563</v>
      </c>
      <c r="K2857" s="15" t="s">
        <v>40</v>
      </c>
      <c r="L2857" s="15" t="s">
        <v>41</v>
      </c>
      <c r="M2857" s="15" t="s">
        <v>409</v>
      </c>
      <c r="N2857" s="15" t="s">
        <v>410</v>
      </c>
      <c r="O2857" s="15" t="s">
        <v>44</v>
      </c>
      <c r="P2857" s="15" t="s">
        <v>14564</v>
      </c>
      <c r="Q2857" s="15" t="s">
        <v>14565</v>
      </c>
      <c r="R2857" s="16">
        <v>44329</v>
      </c>
      <c r="S2857" s="17" t="s">
        <v>14566</v>
      </c>
      <c r="T2857" s="20">
        <f>HYPERLINK("https://vnm.spiral.com.vn//uploaded/20210513/463E7BB0-0BC5-42D1-9186-712D0979FB1A.jpg","08:00:36")</f>
      </c>
      <c r="U2857" s="18"/>
      <c r="V2857" s="18" t="s">
        <v>35</v>
      </c>
      <c r="W2857" s="15" t="s">
        <v>14567</v>
      </c>
      <c r="X2857" s="15" t="s">
        <v>35</v>
      </c>
      <c r="Y2857" s="15" t="s">
        <v>35</v>
      </c>
      <c r="Z2857" s="19">
        <v>0</v>
      </c>
      <c r="AA2857" s="15">
        <v>0</v>
      </c>
      <c r="AB2857" s="15" t="s">
        <v>35</v>
      </c>
    </row>
    <row r="2858">
      <c r="A2858" s="15">
        <v>2854</v>
      </c>
      <c r="B2858" s="15" t="s">
        <v>33</v>
      </c>
      <c r="C2858" s="15" t="s">
        <v>2883</v>
      </c>
      <c r="D2858" s="15" t="s">
        <v>35</v>
      </c>
      <c r="E2858" s="15" t="s">
        <v>35</v>
      </c>
      <c r="F2858" s="15" t="s">
        <v>35</v>
      </c>
      <c r="G2858" s="15" t="s">
        <v>36</v>
      </c>
      <c r="H2858" s="15" t="s">
        <v>14568</v>
      </c>
      <c r="I2858" s="15" t="s">
        <v>14569</v>
      </c>
      <c r="J2858" s="15" t="s">
        <v>14570</v>
      </c>
      <c r="K2858" s="15" t="s">
        <v>40</v>
      </c>
      <c r="L2858" s="15" t="s">
        <v>41</v>
      </c>
      <c r="M2858" s="15" t="s">
        <v>42</v>
      </c>
      <c r="N2858" s="15" t="s">
        <v>43</v>
      </c>
      <c r="O2858" s="15" t="s">
        <v>44</v>
      </c>
      <c r="P2858" s="15" t="s">
        <v>14571</v>
      </c>
      <c r="Q2858" s="15" t="s">
        <v>14572</v>
      </c>
      <c r="R2858" s="16">
        <v>44329</v>
      </c>
      <c r="S2858" s="17" t="s">
        <v>70</v>
      </c>
      <c r="T2858" s="20">
        <f>HYPERLINK("https://vnm.spiral.com.vn//uploaded/20210513/1c2f5001-62ab-4889-b47e-40153ec81967.JPEG","08:00:16")</f>
      </c>
      <c r="U2858" s="18"/>
      <c r="V2858" s="18" t="s">
        <v>35</v>
      </c>
      <c r="W2858" s="15" t="s">
        <v>14573</v>
      </c>
      <c r="X2858" s="15" t="s">
        <v>35</v>
      </c>
      <c r="Y2858" s="15" t="s">
        <v>35</v>
      </c>
      <c r="Z2858" s="19">
        <v>0</v>
      </c>
      <c r="AA2858" s="15">
        <v>0</v>
      </c>
      <c r="AB2858" s="15" t="s">
        <v>35</v>
      </c>
    </row>
    <row r="2859">
      <c r="A2859" s="15">
        <v>2855</v>
      </c>
      <c r="B2859" s="15" t="s">
        <v>33</v>
      </c>
      <c r="C2859" s="15" t="s">
        <v>34</v>
      </c>
      <c r="D2859" s="15" t="s">
        <v>35</v>
      </c>
      <c r="E2859" s="15" t="s">
        <v>35</v>
      </c>
      <c r="F2859" s="15" t="s">
        <v>6653</v>
      </c>
      <c r="G2859" s="15" t="s">
        <v>36</v>
      </c>
      <c r="H2859" s="15" t="s">
        <v>14574</v>
      </c>
      <c r="I2859" s="15" t="s">
        <v>14575</v>
      </c>
      <c r="J2859" s="15" t="s">
        <v>14576</v>
      </c>
      <c r="K2859" s="15" t="s">
        <v>40</v>
      </c>
      <c r="L2859" s="15" t="s">
        <v>41</v>
      </c>
      <c r="M2859" s="15" t="s">
        <v>42</v>
      </c>
      <c r="N2859" s="15" t="s">
        <v>43</v>
      </c>
      <c r="O2859" s="15" t="s">
        <v>44</v>
      </c>
      <c r="P2859" s="15" t="s">
        <v>14577</v>
      </c>
      <c r="Q2859" s="15" t="s">
        <v>14578</v>
      </c>
      <c r="R2859" s="16">
        <v>44329</v>
      </c>
      <c r="S2859" s="17" t="s">
        <v>225</v>
      </c>
      <c r="T2859" s="20">
        <f>HYPERLINK("https://vnm.spiral.com.vn//uploaded/20210513/EE9EDCD6-04F4-4EC9-89DD-108E7A171E24.jpg","08:00:15")</f>
      </c>
      <c r="U2859" s="18"/>
      <c r="V2859" s="18" t="s">
        <v>35</v>
      </c>
      <c r="W2859" s="15" t="s">
        <v>14579</v>
      </c>
      <c r="X2859" s="15" t="s">
        <v>35</v>
      </c>
      <c r="Y2859" s="15" t="s">
        <v>35</v>
      </c>
      <c r="Z2859" s="19">
        <v>0</v>
      </c>
      <c r="AA2859" s="15">
        <v>0</v>
      </c>
      <c r="AB2859" s="15" t="s">
        <v>35</v>
      </c>
    </row>
    <row r="2860">
      <c r="A2860" s="15">
        <v>2856</v>
      </c>
      <c r="B2860" s="15" t="s">
        <v>246</v>
      </c>
      <c r="C2860" s="15" t="s">
        <v>259</v>
      </c>
      <c r="D2860" s="15" t="s">
        <v>35</v>
      </c>
      <c r="E2860" s="15" t="s">
        <v>35</v>
      </c>
      <c r="F2860" s="15" t="s">
        <v>943</v>
      </c>
      <c r="G2860" s="15" t="s">
        <v>36</v>
      </c>
      <c r="H2860" s="15" t="s">
        <v>9372</v>
      </c>
      <c r="I2860" s="15" t="s">
        <v>9373</v>
      </c>
      <c r="J2860" s="15" t="s">
        <v>9374</v>
      </c>
      <c r="K2860" s="15" t="s">
        <v>40</v>
      </c>
      <c r="L2860" s="15" t="s">
        <v>41</v>
      </c>
      <c r="M2860" s="15" t="s">
        <v>252</v>
      </c>
      <c r="N2860" s="15" t="s">
        <v>253</v>
      </c>
      <c r="O2860" s="15" t="s">
        <v>44</v>
      </c>
      <c r="P2860" s="15" t="s">
        <v>9375</v>
      </c>
      <c r="Q2860" s="15" t="s">
        <v>2529</v>
      </c>
      <c r="R2860" s="16">
        <v>44329</v>
      </c>
      <c r="S2860" s="17" t="s">
        <v>2925</v>
      </c>
      <c r="T2860" s="20">
        <f>HYPERLINK("https://vnm.spiral.com.vn//uploaded/20210513/339547f1-0e31-43d8-b486-eb86190621a3.JPEG","08:00:13")</f>
      </c>
      <c r="U2860" s="18"/>
      <c r="V2860" s="18" t="s">
        <v>35</v>
      </c>
      <c r="W2860" s="15" t="s">
        <v>14580</v>
      </c>
      <c r="X2860" s="15" t="s">
        <v>35</v>
      </c>
      <c r="Y2860" s="15" t="s">
        <v>35</v>
      </c>
      <c r="Z2860" s="19">
        <v>0</v>
      </c>
      <c r="AA2860" s="15">
        <v>0</v>
      </c>
      <c r="AB2860" s="15" t="s">
        <v>35</v>
      </c>
    </row>
    <row r="2861">
      <c r="A2861" s="15">
        <v>2857</v>
      </c>
      <c r="B2861" s="15" t="s">
        <v>343</v>
      </c>
      <c r="C2861" s="15" t="s">
        <v>645</v>
      </c>
      <c r="D2861" s="15" t="s">
        <v>35</v>
      </c>
      <c r="E2861" s="15" t="s">
        <v>35</v>
      </c>
      <c r="F2861" s="15" t="s">
        <v>35</v>
      </c>
      <c r="G2861" s="15" t="s">
        <v>36</v>
      </c>
      <c r="H2861" s="15" t="s">
        <v>14581</v>
      </c>
      <c r="I2861" s="15" t="s">
        <v>14582</v>
      </c>
      <c r="J2861" s="15" t="s">
        <v>14583</v>
      </c>
      <c r="K2861" s="15" t="s">
        <v>40</v>
      </c>
      <c r="L2861" s="15" t="s">
        <v>41</v>
      </c>
      <c r="M2861" s="15" t="s">
        <v>42</v>
      </c>
      <c r="N2861" s="15" t="s">
        <v>43</v>
      </c>
      <c r="O2861" s="15" t="s">
        <v>44</v>
      </c>
      <c r="P2861" s="15" t="s">
        <v>14584</v>
      </c>
      <c r="Q2861" s="15" t="s">
        <v>14585</v>
      </c>
      <c r="R2861" s="16">
        <v>44329</v>
      </c>
      <c r="S2861" s="17" t="s">
        <v>14324</v>
      </c>
      <c r="T2861" s="20">
        <f>HYPERLINK("https://vnm.spiral.com.vn//uploaded/20210513/21E25DEE-DEEF-4942-9F4C-4655EDD19C74.jpg","08:00:12")</f>
      </c>
      <c r="U2861" s="18"/>
      <c r="V2861" s="18" t="s">
        <v>35</v>
      </c>
      <c r="W2861" s="15" t="s">
        <v>14586</v>
      </c>
      <c r="X2861" s="15" t="s">
        <v>35</v>
      </c>
      <c r="Y2861" s="15" t="s">
        <v>35</v>
      </c>
      <c r="Z2861" s="19">
        <v>0</v>
      </c>
      <c r="AA2861" s="15">
        <v>0</v>
      </c>
      <c r="AB2861" s="15" t="s">
        <v>35</v>
      </c>
    </row>
    <row r="2862">
      <c r="A2862" s="15">
        <v>2858</v>
      </c>
      <c r="B2862" s="15" t="s">
        <v>103</v>
      </c>
      <c r="C2862" s="15" t="s">
        <v>104</v>
      </c>
      <c r="D2862" s="15" t="s">
        <v>135</v>
      </c>
      <c r="E2862" s="15" t="s">
        <v>116</v>
      </c>
      <c r="F2862" s="15" t="s">
        <v>35</v>
      </c>
      <c r="G2862" s="15" t="s">
        <v>74</v>
      </c>
      <c r="H2862" s="15" t="s">
        <v>14587</v>
      </c>
      <c r="I2862" s="15" t="s">
        <v>14588</v>
      </c>
      <c r="J2862" s="15" t="s">
        <v>14589</v>
      </c>
      <c r="K2862" s="15" t="s">
        <v>460</v>
      </c>
      <c r="L2862" s="15" t="s">
        <v>461</v>
      </c>
      <c r="M2862" s="15" t="s">
        <v>462</v>
      </c>
      <c r="N2862" s="15" t="s">
        <v>463</v>
      </c>
      <c r="O2862" s="15" t="s">
        <v>82</v>
      </c>
      <c r="P2862" s="15" t="s">
        <v>2930</v>
      </c>
      <c r="Q2862" s="15" t="s">
        <v>2931</v>
      </c>
      <c r="R2862" s="16">
        <v>44329</v>
      </c>
      <c r="S2862" s="17" t="s">
        <v>70</v>
      </c>
      <c r="T2862" s="20">
        <f>HYPERLINK("https://vnm.spiral.com.vn//uploaded/20210513/20579318-2cda-490c-b27c-aecf12e627bb.JPEG","07:12:47")</f>
      </c>
      <c r="U2862" s="20">
        <f>HYPERLINK("https://vnm.spiral.com.vn//uploaded/20210513/7c57ab04-f0c1-456c-867f-5d52ad849c31.JPEG","08:00:10")</f>
      </c>
      <c r="V2862" s="18">
        <v>0.03290509259259259</v>
      </c>
      <c r="W2862" s="15" t="s">
        <v>14590</v>
      </c>
      <c r="X2862" s="15" t="s">
        <v>14591</v>
      </c>
      <c r="Y2862" s="15" t="s">
        <v>35</v>
      </c>
      <c r="Z2862" s="19">
        <v>0</v>
      </c>
      <c r="AA2862" s="15">
        <v>0</v>
      </c>
      <c r="AB2862" s="15" t="s">
        <v>35</v>
      </c>
    </row>
    <row r="2863">
      <c r="A2863" s="15">
        <v>2859</v>
      </c>
      <c r="B2863" s="15" t="s">
        <v>87</v>
      </c>
      <c r="C2863" s="15" t="s">
        <v>88</v>
      </c>
      <c r="D2863" s="15" t="s">
        <v>1644</v>
      </c>
      <c r="E2863" s="15" t="s">
        <v>35</v>
      </c>
      <c r="F2863" s="15" t="s">
        <v>35</v>
      </c>
      <c r="G2863" s="15" t="s">
        <v>74</v>
      </c>
      <c r="H2863" s="15" t="s">
        <v>14592</v>
      </c>
      <c r="I2863" s="15" t="s">
        <v>14593</v>
      </c>
      <c r="J2863" s="15" t="s">
        <v>14594</v>
      </c>
      <c r="K2863" s="15" t="s">
        <v>190</v>
      </c>
      <c r="L2863" s="15" t="s">
        <v>191</v>
      </c>
      <c r="M2863" s="15" t="s">
        <v>888</v>
      </c>
      <c r="N2863" s="15" t="s">
        <v>889</v>
      </c>
      <c r="O2863" s="15" t="s">
        <v>98</v>
      </c>
      <c r="P2863" s="15" t="s">
        <v>1666</v>
      </c>
      <c r="Q2863" s="15" t="s">
        <v>1667</v>
      </c>
      <c r="R2863" s="16">
        <v>44329</v>
      </c>
      <c r="S2863" s="17" t="s">
        <v>35</v>
      </c>
      <c r="T2863" s="20">
        <f>HYPERLINK("https://vnm.spiral.com.vn//uploaded/20210513/283b3b14-b89b-44df-b988-7a83a070dff5.JPEG","07:46:03")</f>
      </c>
      <c r="U2863" s="20">
        <f>HYPERLINK("https://vnm.spiral.com.vn//uploaded/20210513/20db15db-ad6a-42b2-b614-75f57320743b.JPEG","08:00:04")</f>
      </c>
      <c r="V2863" s="18">
        <v>0.009733796296296296</v>
      </c>
      <c r="W2863" s="15" t="s">
        <v>14595</v>
      </c>
      <c r="X2863" s="15" t="s">
        <v>14596</v>
      </c>
      <c r="Y2863" s="15" t="s">
        <v>35</v>
      </c>
      <c r="Z2863" s="19">
        <v>0</v>
      </c>
      <c r="AA2863" s="15">
        <v>0</v>
      </c>
      <c r="AB2863" s="15" t="s">
        <v>35</v>
      </c>
    </row>
    <row r="2864">
      <c r="A2864" s="15">
        <v>2860</v>
      </c>
      <c r="B2864" s="15" t="s">
        <v>343</v>
      </c>
      <c r="C2864" s="15" t="s">
        <v>344</v>
      </c>
      <c r="D2864" s="15" t="s">
        <v>35</v>
      </c>
      <c r="E2864" s="15" t="s">
        <v>35</v>
      </c>
      <c r="F2864" s="15" t="s">
        <v>35</v>
      </c>
      <c r="G2864" s="15" t="s">
        <v>36</v>
      </c>
      <c r="H2864" s="15" t="s">
        <v>14597</v>
      </c>
      <c r="I2864" s="15" t="s">
        <v>14598</v>
      </c>
      <c r="J2864" s="15" t="s">
        <v>14599</v>
      </c>
      <c r="K2864" s="15" t="s">
        <v>40</v>
      </c>
      <c r="L2864" s="15" t="s">
        <v>41</v>
      </c>
      <c r="M2864" s="15" t="s">
        <v>595</v>
      </c>
      <c r="N2864" s="15" t="s">
        <v>596</v>
      </c>
      <c r="O2864" s="15" t="s">
        <v>44</v>
      </c>
      <c r="P2864" s="15" t="s">
        <v>14600</v>
      </c>
      <c r="Q2864" s="15" t="s">
        <v>5083</v>
      </c>
      <c r="R2864" s="16">
        <v>44329</v>
      </c>
      <c r="S2864" s="17" t="s">
        <v>70</v>
      </c>
      <c r="T2864" s="20">
        <f>HYPERLINK("https://vnm.spiral.com.vn//uploaded/20210513/3201bcfa-f651-4d88-bcf1-dd11c9d52efb.JPEG","07:59:25")</f>
      </c>
      <c r="U2864" s="18"/>
      <c r="V2864" s="18" t="s">
        <v>35</v>
      </c>
      <c r="W2864" s="15" t="s">
        <v>14601</v>
      </c>
      <c r="X2864" s="15" t="s">
        <v>35</v>
      </c>
      <c r="Y2864" s="15" t="s">
        <v>35</v>
      </c>
      <c r="Z2864" s="19">
        <v>0</v>
      </c>
      <c r="AA2864" s="15">
        <v>0</v>
      </c>
      <c r="AB2864" s="15" t="s">
        <v>35</v>
      </c>
    </row>
    <row r="2865">
      <c r="A2865" s="15">
        <v>2861</v>
      </c>
      <c r="B2865" s="15" t="s">
        <v>33</v>
      </c>
      <c r="C2865" s="15" t="s">
        <v>979</v>
      </c>
      <c r="D2865" s="15" t="s">
        <v>35</v>
      </c>
      <c r="E2865" s="15" t="s">
        <v>35</v>
      </c>
      <c r="F2865" s="15" t="s">
        <v>35</v>
      </c>
      <c r="G2865" s="15" t="s">
        <v>36</v>
      </c>
      <c r="H2865" s="15" t="s">
        <v>14602</v>
      </c>
      <c r="I2865" s="15" t="s">
        <v>14603</v>
      </c>
      <c r="J2865" s="15" t="s">
        <v>14604</v>
      </c>
      <c r="K2865" s="15" t="s">
        <v>40</v>
      </c>
      <c r="L2865" s="15" t="s">
        <v>41</v>
      </c>
      <c r="M2865" s="15" t="s">
        <v>42</v>
      </c>
      <c r="N2865" s="15" t="s">
        <v>43</v>
      </c>
      <c r="O2865" s="15" t="s">
        <v>44</v>
      </c>
      <c r="P2865" s="15" t="s">
        <v>14605</v>
      </c>
      <c r="Q2865" s="15" t="s">
        <v>14606</v>
      </c>
      <c r="R2865" s="16">
        <v>44329</v>
      </c>
      <c r="S2865" s="17" t="s">
        <v>225</v>
      </c>
      <c r="T2865" s="20">
        <f>HYPERLINK("https://vnm.spiral.com.vn//uploaded/20210513/3E70A90C-BF67-4DE4-A85A-6D8F395F47C6.jpg","07:58:56")</f>
      </c>
      <c r="U2865" s="18"/>
      <c r="V2865" s="18" t="s">
        <v>35</v>
      </c>
      <c r="W2865" s="15" t="s">
        <v>14607</v>
      </c>
      <c r="X2865" s="15" t="s">
        <v>35</v>
      </c>
      <c r="Y2865" s="15" t="s">
        <v>35</v>
      </c>
      <c r="Z2865" s="19">
        <v>0</v>
      </c>
      <c r="AA2865" s="15">
        <v>0</v>
      </c>
      <c r="AB2865" s="15" t="s">
        <v>35</v>
      </c>
    </row>
    <row r="2866">
      <c r="A2866" s="15">
        <v>2862</v>
      </c>
      <c r="B2866" s="15" t="s">
        <v>61</v>
      </c>
      <c r="C2866" s="15" t="s">
        <v>320</v>
      </c>
      <c r="D2866" s="15" t="s">
        <v>35</v>
      </c>
      <c r="E2866" s="15" t="s">
        <v>35</v>
      </c>
      <c r="F2866" s="15" t="s">
        <v>35</v>
      </c>
      <c r="G2866" s="15" t="s">
        <v>36</v>
      </c>
      <c r="H2866" s="15" t="s">
        <v>14608</v>
      </c>
      <c r="I2866" s="15" t="s">
        <v>14609</v>
      </c>
      <c r="J2866" s="15" t="s">
        <v>14610</v>
      </c>
      <c r="K2866" s="15" t="s">
        <v>40</v>
      </c>
      <c r="L2866" s="15" t="s">
        <v>41</v>
      </c>
      <c r="M2866" s="15" t="s">
        <v>205</v>
      </c>
      <c r="N2866" s="15" t="s">
        <v>206</v>
      </c>
      <c r="O2866" s="15" t="s">
        <v>44</v>
      </c>
      <c r="P2866" s="15" t="s">
        <v>14611</v>
      </c>
      <c r="Q2866" s="15" t="s">
        <v>14612</v>
      </c>
      <c r="R2866" s="16">
        <v>44329</v>
      </c>
      <c r="S2866" s="17" t="s">
        <v>70</v>
      </c>
      <c r="T2866" s="20">
        <f>HYPERLINK("https://vnm.spiral.com.vn//uploaded/20210513/f4050602-fdbb-47c3-ad67-cff572214762.JPEG","07:58:20")</f>
      </c>
      <c r="U2866" s="18"/>
      <c r="V2866" s="18" t="s">
        <v>35</v>
      </c>
      <c r="W2866" s="15" t="s">
        <v>14613</v>
      </c>
      <c r="X2866" s="15" t="s">
        <v>35</v>
      </c>
      <c r="Y2866" s="15" t="s">
        <v>35</v>
      </c>
      <c r="Z2866" s="19">
        <v>0</v>
      </c>
      <c r="AA2866" s="15">
        <v>0</v>
      </c>
      <c r="AB2866" s="15" t="s">
        <v>35</v>
      </c>
    </row>
    <row r="2867">
      <c r="A2867" s="15">
        <v>2863</v>
      </c>
      <c r="B2867" s="15" t="s">
        <v>343</v>
      </c>
      <c r="C2867" s="15" t="s">
        <v>344</v>
      </c>
      <c r="D2867" s="15" t="s">
        <v>35</v>
      </c>
      <c r="E2867" s="15" t="s">
        <v>35</v>
      </c>
      <c r="F2867" s="15" t="s">
        <v>1599</v>
      </c>
      <c r="G2867" s="15" t="s">
        <v>36</v>
      </c>
      <c r="H2867" s="15" t="s">
        <v>14614</v>
      </c>
      <c r="I2867" s="15" t="s">
        <v>14615</v>
      </c>
      <c r="J2867" s="15" t="s">
        <v>14616</v>
      </c>
      <c r="K2867" s="15" t="s">
        <v>40</v>
      </c>
      <c r="L2867" s="15" t="s">
        <v>41</v>
      </c>
      <c r="M2867" s="15" t="s">
        <v>595</v>
      </c>
      <c r="N2867" s="15" t="s">
        <v>596</v>
      </c>
      <c r="O2867" s="15" t="s">
        <v>44</v>
      </c>
      <c r="P2867" s="15" t="s">
        <v>14617</v>
      </c>
      <c r="Q2867" s="15" t="s">
        <v>14618</v>
      </c>
      <c r="R2867" s="16">
        <v>44329</v>
      </c>
      <c r="S2867" s="17" t="s">
        <v>70</v>
      </c>
      <c r="T2867" s="20">
        <f>HYPERLINK("https://vnm.spiral.com.vn//uploaded/20210513/36045541-EF5C-42E5-9A48-4B4E4E802014.jpg","07:58:18")</f>
      </c>
      <c r="U2867" s="18"/>
      <c r="V2867" s="18" t="s">
        <v>35</v>
      </c>
      <c r="W2867" s="15" t="s">
        <v>14619</v>
      </c>
      <c r="X2867" s="15" t="s">
        <v>35</v>
      </c>
      <c r="Y2867" s="15" t="s">
        <v>35</v>
      </c>
      <c r="Z2867" s="19">
        <v>0</v>
      </c>
      <c r="AA2867" s="15">
        <v>0</v>
      </c>
      <c r="AB2867" s="15" t="s">
        <v>35</v>
      </c>
    </row>
    <row r="2868">
      <c r="A2868" s="15">
        <v>2864</v>
      </c>
      <c r="B2868" s="15" t="s">
        <v>343</v>
      </c>
      <c r="C2868" s="15" t="s">
        <v>7476</v>
      </c>
      <c r="D2868" s="15" t="s">
        <v>35</v>
      </c>
      <c r="E2868" s="15" t="s">
        <v>35</v>
      </c>
      <c r="F2868" s="15" t="s">
        <v>35</v>
      </c>
      <c r="G2868" s="15" t="s">
        <v>36</v>
      </c>
      <c r="H2868" s="15" t="s">
        <v>14620</v>
      </c>
      <c r="I2868" s="15" t="s">
        <v>14621</v>
      </c>
      <c r="J2868" s="15" t="s">
        <v>14622</v>
      </c>
      <c r="K2868" s="15" t="s">
        <v>40</v>
      </c>
      <c r="L2868" s="15" t="s">
        <v>41</v>
      </c>
      <c r="M2868" s="15" t="s">
        <v>409</v>
      </c>
      <c r="N2868" s="15" t="s">
        <v>410</v>
      </c>
      <c r="O2868" s="15" t="s">
        <v>44</v>
      </c>
      <c r="P2868" s="15" t="s">
        <v>14623</v>
      </c>
      <c r="Q2868" s="15" t="s">
        <v>7253</v>
      </c>
      <c r="R2868" s="16">
        <v>44329</v>
      </c>
      <c r="S2868" s="17" t="s">
        <v>14624</v>
      </c>
      <c r="T2868" s="20">
        <f>HYPERLINK("https://vnm.spiral.com.vn//uploaded/20210513/E56A26CF-B2D3-4503-B61A-34426E531AF1.jpg","07:58:16")</f>
      </c>
      <c r="U2868" s="18"/>
      <c r="V2868" s="18" t="s">
        <v>35</v>
      </c>
      <c r="W2868" s="15" t="s">
        <v>14625</v>
      </c>
      <c r="X2868" s="15" t="s">
        <v>35</v>
      </c>
      <c r="Y2868" s="15" t="s">
        <v>35</v>
      </c>
      <c r="Z2868" s="19">
        <v>0</v>
      </c>
      <c r="AA2868" s="15">
        <v>0</v>
      </c>
      <c r="AB2868" s="15" t="s">
        <v>35</v>
      </c>
    </row>
    <row r="2869">
      <c r="A2869" s="15">
        <v>2865</v>
      </c>
      <c r="B2869" s="15" t="s">
        <v>33</v>
      </c>
      <c r="C2869" s="15" t="s">
        <v>8154</v>
      </c>
      <c r="D2869" s="15" t="s">
        <v>35</v>
      </c>
      <c r="E2869" s="15" t="s">
        <v>35</v>
      </c>
      <c r="F2869" s="15" t="s">
        <v>35</v>
      </c>
      <c r="G2869" s="15" t="s">
        <v>36</v>
      </c>
      <c r="H2869" s="15" t="s">
        <v>14626</v>
      </c>
      <c r="I2869" s="15" t="s">
        <v>14627</v>
      </c>
      <c r="J2869" s="15" t="s">
        <v>14628</v>
      </c>
      <c r="K2869" s="15" t="s">
        <v>40</v>
      </c>
      <c r="L2869" s="15" t="s">
        <v>41</v>
      </c>
      <c r="M2869" s="15" t="s">
        <v>42</v>
      </c>
      <c r="N2869" s="15" t="s">
        <v>43</v>
      </c>
      <c r="O2869" s="15" t="s">
        <v>44</v>
      </c>
      <c r="P2869" s="15" t="s">
        <v>14629</v>
      </c>
      <c r="Q2869" s="15" t="s">
        <v>14630</v>
      </c>
      <c r="R2869" s="16">
        <v>44329</v>
      </c>
      <c r="S2869" s="17" t="s">
        <v>14324</v>
      </c>
      <c r="T2869" s="20">
        <f>HYPERLINK("https://vnm.spiral.com.vn//uploaded/20210513/9FA52400-C4EC-4922-AE70-195D1C435AD4.jpg","07:58:11")</f>
      </c>
      <c r="U2869" s="18"/>
      <c r="V2869" s="18" t="s">
        <v>35</v>
      </c>
      <c r="W2869" s="15" t="s">
        <v>14631</v>
      </c>
      <c r="X2869" s="15" t="s">
        <v>35</v>
      </c>
      <c r="Y2869" s="15" t="s">
        <v>35</v>
      </c>
      <c r="Z2869" s="19">
        <v>0</v>
      </c>
      <c r="AA2869" s="15">
        <v>0</v>
      </c>
      <c r="AB2869" s="15" t="s">
        <v>35</v>
      </c>
    </row>
    <row r="2870">
      <c r="A2870" s="15">
        <v>2866</v>
      </c>
      <c r="B2870" s="15" t="s">
        <v>246</v>
      </c>
      <c r="C2870" s="15" t="s">
        <v>247</v>
      </c>
      <c r="D2870" s="15" t="s">
        <v>35</v>
      </c>
      <c r="E2870" s="15" t="s">
        <v>35</v>
      </c>
      <c r="F2870" s="15" t="s">
        <v>248</v>
      </c>
      <c r="G2870" s="15" t="s">
        <v>36</v>
      </c>
      <c r="H2870" s="15" t="s">
        <v>14632</v>
      </c>
      <c r="I2870" s="15" t="s">
        <v>4601</v>
      </c>
      <c r="J2870" s="15" t="s">
        <v>14633</v>
      </c>
      <c r="K2870" s="15" t="s">
        <v>40</v>
      </c>
      <c r="L2870" s="15" t="s">
        <v>41</v>
      </c>
      <c r="M2870" s="15" t="s">
        <v>252</v>
      </c>
      <c r="N2870" s="15" t="s">
        <v>253</v>
      </c>
      <c r="O2870" s="15" t="s">
        <v>44</v>
      </c>
      <c r="P2870" s="15" t="s">
        <v>14634</v>
      </c>
      <c r="Q2870" s="15" t="s">
        <v>14635</v>
      </c>
      <c r="R2870" s="16">
        <v>44329</v>
      </c>
      <c r="S2870" s="17" t="s">
        <v>14566</v>
      </c>
      <c r="T2870" s="20">
        <f>HYPERLINK("https://vnm.spiral.com.vn//uploaded/20210513/f896b3c5-f03c-4724-a192-016b5439266b.JPEG","07:58:06")</f>
      </c>
      <c r="U2870" s="18"/>
      <c r="V2870" s="18" t="s">
        <v>35</v>
      </c>
      <c r="W2870" s="15" t="s">
        <v>14636</v>
      </c>
      <c r="X2870" s="15" t="s">
        <v>35</v>
      </c>
      <c r="Y2870" s="15" t="s">
        <v>35</v>
      </c>
      <c r="Z2870" s="19">
        <v>0</v>
      </c>
      <c r="AA2870" s="15">
        <v>0</v>
      </c>
      <c r="AB2870" s="15" t="s">
        <v>35</v>
      </c>
    </row>
    <row r="2871">
      <c r="A2871" s="15">
        <v>2867</v>
      </c>
      <c r="B2871" s="15" t="s">
        <v>49</v>
      </c>
      <c r="C2871" s="15" t="s">
        <v>468</v>
      </c>
      <c r="D2871" s="15" t="s">
        <v>35</v>
      </c>
      <c r="E2871" s="15" t="s">
        <v>35</v>
      </c>
      <c r="F2871" s="15" t="s">
        <v>1435</v>
      </c>
      <c r="G2871" s="15" t="s">
        <v>36</v>
      </c>
      <c r="H2871" s="15" t="s">
        <v>14637</v>
      </c>
      <c r="I2871" s="15" t="s">
        <v>14638</v>
      </c>
      <c r="J2871" s="15" t="s">
        <v>14639</v>
      </c>
      <c r="K2871" s="15" t="s">
        <v>40</v>
      </c>
      <c r="L2871" s="15" t="s">
        <v>41</v>
      </c>
      <c r="M2871" s="15" t="s">
        <v>55</v>
      </c>
      <c r="N2871" s="15" t="s">
        <v>56</v>
      </c>
      <c r="O2871" s="15" t="s">
        <v>44</v>
      </c>
      <c r="P2871" s="15" t="s">
        <v>14640</v>
      </c>
      <c r="Q2871" s="15" t="s">
        <v>14641</v>
      </c>
      <c r="R2871" s="16">
        <v>44329</v>
      </c>
      <c r="S2871" s="17" t="s">
        <v>475</v>
      </c>
      <c r="T2871" s="20">
        <f>HYPERLINK("https://vnm.spiral.com.vn//uploaded/20210513/7f7edc9b-1ee9-4641-93a9-2e978d22c9b1.JPEG","07:57:53")</f>
      </c>
      <c r="U2871" s="18"/>
      <c r="V2871" s="18" t="s">
        <v>35</v>
      </c>
      <c r="W2871" s="15" t="s">
        <v>14642</v>
      </c>
      <c r="X2871" s="15" t="s">
        <v>35</v>
      </c>
      <c r="Y2871" s="15" t="s">
        <v>35</v>
      </c>
      <c r="Z2871" s="19">
        <v>0</v>
      </c>
      <c r="AA2871" s="15">
        <v>0</v>
      </c>
      <c r="AB2871" s="15" t="s">
        <v>35</v>
      </c>
    </row>
    <row r="2872">
      <c r="A2872" s="15">
        <v>2868</v>
      </c>
      <c r="B2872" s="15" t="s">
        <v>103</v>
      </c>
      <c r="C2872" s="15" t="s">
        <v>2116</v>
      </c>
      <c r="D2872" s="15" t="s">
        <v>35</v>
      </c>
      <c r="E2872" s="15" t="s">
        <v>35</v>
      </c>
      <c r="F2872" s="15" t="s">
        <v>35</v>
      </c>
      <c r="G2872" s="15" t="s">
        <v>36</v>
      </c>
      <c r="H2872" s="15" t="s">
        <v>14643</v>
      </c>
      <c r="I2872" s="15" t="s">
        <v>11110</v>
      </c>
      <c r="J2872" s="15" t="s">
        <v>14644</v>
      </c>
      <c r="K2872" s="15" t="s">
        <v>40</v>
      </c>
      <c r="L2872" s="15" t="s">
        <v>41</v>
      </c>
      <c r="M2872" s="15" t="s">
        <v>108</v>
      </c>
      <c r="N2872" s="15" t="s">
        <v>109</v>
      </c>
      <c r="O2872" s="15" t="s">
        <v>44</v>
      </c>
      <c r="P2872" s="15" t="s">
        <v>14645</v>
      </c>
      <c r="Q2872" s="15" t="s">
        <v>14646</v>
      </c>
      <c r="R2872" s="16">
        <v>44329</v>
      </c>
      <c r="S2872" s="17" t="s">
        <v>14647</v>
      </c>
      <c r="T2872" s="20">
        <f>HYPERLINK("https://vnm.spiral.com.vn//uploaded/20210513/9219c2f2-7ffb-430c-9afb-57e554172f13.JPEG","07:57:50")</f>
      </c>
      <c r="U2872" s="18"/>
      <c r="V2872" s="18" t="s">
        <v>35</v>
      </c>
      <c r="W2872" s="15" t="s">
        <v>14648</v>
      </c>
      <c r="X2872" s="15" t="s">
        <v>35</v>
      </c>
      <c r="Y2872" s="15" t="s">
        <v>35</v>
      </c>
      <c r="Z2872" s="19">
        <v>0</v>
      </c>
      <c r="AA2872" s="15">
        <v>0</v>
      </c>
      <c r="AB2872" s="15" t="s">
        <v>35</v>
      </c>
    </row>
    <row r="2873">
      <c r="A2873" s="15">
        <v>2869</v>
      </c>
      <c r="B2873" s="15" t="s">
        <v>33</v>
      </c>
      <c r="C2873" s="15" t="s">
        <v>2999</v>
      </c>
      <c r="D2873" s="15" t="s">
        <v>35</v>
      </c>
      <c r="E2873" s="15" t="s">
        <v>35</v>
      </c>
      <c r="F2873" s="15" t="s">
        <v>14649</v>
      </c>
      <c r="G2873" s="15" t="s">
        <v>36</v>
      </c>
      <c r="H2873" s="15" t="s">
        <v>14650</v>
      </c>
      <c r="I2873" s="15" t="s">
        <v>14651</v>
      </c>
      <c r="J2873" s="15" t="s">
        <v>14652</v>
      </c>
      <c r="K2873" s="15" t="s">
        <v>40</v>
      </c>
      <c r="L2873" s="15" t="s">
        <v>41</v>
      </c>
      <c r="M2873" s="15" t="s">
        <v>42</v>
      </c>
      <c r="N2873" s="15" t="s">
        <v>43</v>
      </c>
      <c r="O2873" s="15" t="s">
        <v>44</v>
      </c>
      <c r="P2873" s="15" t="s">
        <v>14653</v>
      </c>
      <c r="Q2873" s="15" t="s">
        <v>14654</v>
      </c>
      <c r="R2873" s="16">
        <v>44329</v>
      </c>
      <c r="S2873" s="17" t="s">
        <v>326</v>
      </c>
      <c r="T2873" s="20">
        <f>HYPERLINK("https://vnm.spiral.com.vn//uploaded/20210513/127458AA-D023-425F-95A7-A161E2EC597C.jpg","07:57:39")</f>
      </c>
      <c r="U2873" s="18"/>
      <c r="V2873" s="18" t="s">
        <v>35</v>
      </c>
      <c r="W2873" s="15" t="s">
        <v>14655</v>
      </c>
      <c r="X2873" s="15" t="s">
        <v>35</v>
      </c>
      <c r="Y2873" s="15" t="s">
        <v>35</v>
      </c>
      <c r="Z2873" s="19">
        <v>0</v>
      </c>
      <c r="AA2873" s="15">
        <v>0</v>
      </c>
      <c r="AB2873" s="15" t="s">
        <v>35</v>
      </c>
    </row>
    <row r="2874">
      <c r="A2874" s="15">
        <v>2870</v>
      </c>
      <c r="B2874" s="15" t="s">
        <v>33</v>
      </c>
      <c r="C2874" s="15" t="s">
        <v>951</v>
      </c>
      <c r="D2874" s="15" t="s">
        <v>35</v>
      </c>
      <c r="E2874" s="15" t="s">
        <v>35</v>
      </c>
      <c r="F2874" s="15" t="s">
        <v>35</v>
      </c>
      <c r="G2874" s="15" t="s">
        <v>74</v>
      </c>
      <c r="H2874" s="15" t="s">
        <v>14656</v>
      </c>
      <c r="I2874" s="15" t="s">
        <v>14657</v>
      </c>
      <c r="J2874" s="15" t="s">
        <v>14658</v>
      </c>
      <c r="K2874" s="15" t="s">
        <v>78</v>
      </c>
      <c r="L2874" s="15" t="s">
        <v>79</v>
      </c>
      <c r="M2874" s="15" t="s">
        <v>80</v>
      </c>
      <c r="N2874" s="15" t="s">
        <v>81</v>
      </c>
      <c r="O2874" s="15" t="s">
        <v>156</v>
      </c>
      <c r="P2874" s="15" t="s">
        <v>14659</v>
      </c>
      <c r="Q2874" s="15" t="s">
        <v>14660</v>
      </c>
      <c r="R2874" s="16">
        <v>44329</v>
      </c>
      <c r="S2874" s="17" t="s">
        <v>70</v>
      </c>
      <c r="T2874" s="20">
        <f>HYPERLINK("https://vnm.spiral.com.vn//uploaded/20210513/e0f636d6-f705-4938-bd9e-d288bc675b1c.JPEG","07:57:32")</f>
      </c>
      <c r="U2874" s="18"/>
      <c r="V2874" s="18" t="s">
        <v>35</v>
      </c>
      <c r="W2874" s="15" t="s">
        <v>14661</v>
      </c>
      <c r="X2874" s="15" t="s">
        <v>35</v>
      </c>
      <c r="Y2874" s="15" t="s">
        <v>35</v>
      </c>
      <c r="Z2874" s="19">
        <v>0</v>
      </c>
      <c r="AA2874" s="15">
        <v>0</v>
      </c>
      <c r="AB2874" s="15" t="s">
        <v>35</v>
      </c>
    </row>
    <row r="2875">
      <c r="A2875" s="15">
        <v>2871</v>
      </c>
      <c r="B2875" s="15" t="s">
        <v>87</v>
      </c>
      <c r="C2875" s="15" t="s">
        <v>88</v>
      </c>
      <c r="D2875" s="15" t="s">
        <v>35</v>
      </c>
      <c r="E2875" s="15" t="s">
        <v>35</v>
      </c>
      <c r="F2875" s="15" t="s">
        <v>2721</v>
      </c>
      <c r="G2875" s="15" t="s">
        <v>36</v>
      </c>
      <c r="H2875" s="15" t="s">
        <v>14662</v>
      </c>
      <c r="I2875" s="15" t="s">
        <v>14663</v>
      </c>
      <c r="J2875" s="15" t="s">
        <v>14664</v>
      </c>
      <c r="K2875" s="15" t="s">
        <v>40</v>
      </c>
      <c r="L2875" s="15" t="s">
        <v>41</v>
      </c>
      <c r="M2875" s="15" t="s">
        <v>1195</v>
      </c>
      <c r="N2875" s="15" t="s">
        <v>1196</v>
      </c>
      <c r="O2875" s="15" t="s">
        <v>44</v>
      </c>
      <c r="P2875" s="15" t="s">
        <v>14665</v>
      </c>
      <c r="Q2875" s="15" t="s">
        <v>14666</v>
      </c>
      <c r="R2875" s="16">
        <v>44329</v>
      </c>
      <c r="S2875" s="17" t="s">
        <v>70</v>
      </c>
      <c r="T2875" s="20">
        <f>HYPERLINK("https://vnm.spiral.com.vn//uploaded/20210513/7089ee78-1126-408a-92f9-07611a510075.JPEG","07:57:31")</f>
      </c>
      <c r="U2875" s="18"/>
      <c r="V2875" s="18" t="s">
        <v>35</v>
      </c>
      <c r="W2875" s="15" t="s">
        <v>14667</v>
      </c>
      <c r="X2875" s="15" t="s">
        <v>35</v>
      </c>
      <c r="Y2875" s="15" t="s">
        <v>35</v>
      </c>
      <c r="Z2875" s="19">
        <v>0</v>
      </c>
      <c r="AA2875" s="15">
        <v>0</v>
      </c>
      <c r="AB2875" s="15" t="s">
        <v>35</v>
      </c>
    </row>
    <row r="2876">
      <c r="A2876" s="15">
        <v>2872</v>
      </c>
      <c r="B2876" s="15" t="s">
        <v>87</v>
      </c>
      <c r="C2876" s="15" t="s">
        <v>88</v>
      </c>
      <c r="D2876" s="15" t="s">
        <v>35</v>
      </c>
      <c r="E2876" s="15" t="s">
        <v>35</v>
      </c>
      <c r="F2876" s="15" t="s">
        <v>35</v>
      </c>
      <c r="G2876" s="15" t="s">
        <v>74</v>
      </c>
      <c r="H2876" s="15" t="s">
        <v>14668</v>
      </c>
      <c r="I2876" s="15" t="s">
        <v>14669</v>
      </c>
      <c r="J2876" s="15" t="s">
        <v>14670</v>
      </c>
      <c r="K2876" s="15" t="s">
        <v>120</v>
      </c>
      <c r="L2876" s="15" t="s">
        <v>121</v>
      </c>
      <c r="M2876" s="15" t="s">
        <v>1073</v>
      </c>
      <c r="N2876" s="15" t="s">
        <v>1074</v>
      </c>
      <c r="O2876" s="15" t="s">
        <v>82</v>
      </c>
      <c r="P2876" s="15" t="s">
        <v>1748</v>
      </c>
      <c r="Q2876" s="15" t="s">
        <v>1749</v>
      </c>
      <c r="R2876" s="16">
        <v>44329</v>
      </c>
      <c r="S2876" s="17" t="s">
        <v>70</v>
      </c>
      <c r="T2876" s="20">
        <f>HYPERLINK("https://vnm.spiral.com.vn//uploaded/20210513/4D93C254-2DDF-42A3-95D8-969FA552B30D.jpg","07:38:57")</f>
      </c>
      <c r="U2876" s="20">
        <f>HYPERLINK("https://vnm.spiral.com.vn//uploaded/20210513/D218486A-AF3C-48FE-8C03-83FC16447A84.jpg","07:57:29")</f>
      </c>
      <c r="V2876" s="18">
        <v>0.01287037037037037</v>
      </c>
      <c r="W2876" s="15" t="s">
        <v>14671</v>
      </c>
      <c r="X2876" s="15" t="s">
        <v>14672</v>
      </c>
      <c r="Y2876" s="15" t="s">
        <v>35</v>
      </c>
      <c r="Z2876" s="19">
        <v>0</v>
      </c>
      <c r="AA2876" s="15">
        <v>0</v>
      </c>
      <c r="AB2876" s="15" t="s">
        <v>35</v>
      </c>
    </row>
    <row r="2877">
      <c r="A2877" s="15">
        <v>2873</v>
      </c>
      <c r="B2877" s="15" t="s">
        <v>87</v>
      </c>
      <c r="C2877" s="15" t="s">
        <v>88</v>
      </c>
      <c r="D2877" s="15" t="s">
        <v>89</v>
      </c>
      <c r="E2877" s="15" t="s">
        <v>90</v>
      </c>
      <c r="F2877" s="15" t="s">
        <v>35</v>
      </c>
      <c r="G2877" s="15" t="s">
        <v>74</v>
      </c>
      <c r="H2877" s="15" t="s">
        <v>3980</v>
      </c>
      <c r="I2877" s="15" t="s">
        <v>3981</v>
      </c>
      <c r="J2877" s="15" t="s">
        <v>3982</v>
      </c>
      <c r="K2877" s="15" t="s">
        <v>96</v>
      </c>
      <c r="L2877" s="15" t="s">
        <v>97</v>
      </c>
      <c r="M2877" s="15" t="s">
        <v>1288</v>
      </c>
      <c r="N2877" s="15" t="s">
        <v>1289</v>
      </c>
      <c r="O2877" s="15" t="s">
        <v>156</v>
      </c>
      <c r="P2877" s="15" t="s">
        <v>14673</v>
      </c>
      <c r="Q2877" s="15" t="s">
        <v>14674</v>
      </c>
      <c r="R2877" s="16">
        <v>44329</v>
      </c>
      <c r="S2877" s="17" t="s">
        <v>70</v>
      </c>
      <c r="T2877" s="20">
        <f>HYPERLINK("https://vnm.spiral.com.vn//uploaded/20210513/f5932c58-739d-4e75-8120-4e9a74ea8338.jpg","07:57:25")</f>
      </c>
      <c r="U2877" s="18"/>
      <c r="V2877" s="18" t="s">
        <v>35</v>
      </c>
      <c r="W2877" s="15" t="s">
        <v>14675</v>
      </c>
      <c r="X2877" s="15" t="s">
        <v>35</v>
      </c>
      <c r="Y2877" s="15" t="s">
        <v>35</v>
      </c>
      <c r="Z2877" s="19">
        <v>0</v>
      </c>
      <c r="AA2877" s="15">
        <v>0</v>
      </c>
      <c r="AB2877" s="15" t="s">
        <v>35</v>
      </c>
    </row>
    <row r="2878">
      <c r="A2878" s="15">
        <v>2874</v>
      </c>
      <c r="B2878" s="15" t="s">
        <v>33</v>
      </c>
      <c r="C2878" s="15" t="s">
        <v>211</v>
      </c>
      <c r="D2878" s="15" t="s">
        <v>35</v>
      </c>
      <c r="E2878" s="15" t="s">
        <v>35</v>
      </c>
      <c r="F2878" s="15" t="s">
        <v>35</v>
      </c>
      <c r="G2878" s="15" t="s">
        <v>36</v>
      </c>
      <c r="H2878" s="15" t="s">
        <v>14676</v>
      </c>
      <c r="I2878" s="15" t="s">
        <v>14677</v>
      </c>
      <c r="J2878" s="15" t="s">
        <v>14678</v>
      </c>
      <c r="K2878" s="15" t="s">
        <v>40</v>
      </c>
      <c r="L2878" s="15" t="s">
        <v>41</v>
      </c>
      <c r="M2878" s="15" t="s">
        <v>42</v>
      </c>
      <c r="N2878" s="15" t="s">
        <v>43</v>
      </c>
      <c r="O2878" s="15" t="s">
        <v>44</v>
      </c>
      <c r="P2878" s="15" t="s">
        <v>14679</v>
      </c>
      <c r="Q2878" s="15" t="s">
        <v>140</v>
      </c>
      <c r="R2878" s="16">
        <v>44329</v>
      </c>
      <c r="S2878" s="17" t="s">
        <v>70</v>
      </c>
      <c r="T2878" s="20">
        <f>HYPERLINK("https://vnm.spiral.com.vn//uploaded/20210513/c483d679-ae06-4774-b1d3-3a7e26f4bd61.JPEG","07:56:47")</f>
      </c>
      <c r="U2878" s="18"/>
      <c r="V2878" s="18" t="s">
        <v>35</v>
      </c>
      <c r="W2878" s="15" t="s">
        <v>14680</v>
      </c>
      <c r="X2878" s="15" t="s">
        <v>35</v>
      </c>
      <c r="Y2878" s="15" t="s">
        <v>35</v>
      </c>
      <c r="Z2878" s="19">
        <v>0</v>
      </c>
      <c r="AA2878" s="15">
        <v>0</v>
      </c>
      <c r="AB2878" s="15" t="s">
        <v>35</v>
      </c>
    </row>
    <row r="2879">
      <c r="A2879" s="15">
        <v>2875</v>
      </c>
      <c r="B2879" s="15" t="s">
        <v>87</v>
      </c>
      <c r="C2879" s="15" t="s">
        <v>88</v>
      </c>
      <c r="D2879" s="15" t="s">
        <v>35</v>
      </c>
      <c r="E2879" s="15" t="s">
        <v>35</v>
      </c>
      <c r="F2879" s="15" t="s">
        <v>35</v>
      </c>
      <c r="G2879" s="15" t="s">
        <v>74</v>
      </c>
      <c r="H2879" s="15" t="s">
        <v>14681</v>
      </c>
      <c r="I2879" s="15" t="s">
        <v>14682</v>
      </c>
      <c r="J2879" s="15" t="s">
        <v>14683</v>
      </c>
      <c r="K2879" s="15" t="s">
        <v>888</v>
      </c>
      <c r="L2879" s="15" t="s">
        <v>889</v>
      </c>
      <c r="M2879" s="15" t="s">
        <v>924</v>
      </c>
      <c r="N2879" s="15" t="s">
        <v>925</v>
      </c>
      <c r="O2879" s="15" t="s">
        <v>82</v>
      </c>
      <c r="P2879" s="15" t="s">
        <v>1893</v>
      </c>
      <c r="Q2879" s="15" t="s">
        <v>1894</v>
      </c>
      <c r="R2879" s="16">
        <v>44329</v>
      </c>
      <c r="S2879" s="17" t="s">
        <v>70</v>
      </c>
      <c r="T2879" s="20">
        <f>HYPERLINK("https://vnm.spiral.com.vn//uploaded/20210513/1A4B72F3-A860-432D-8278-9EB281E61BDB.jpg","07:39:57")</f>
      </c>
      <c r="U2879" s="20">
        <f>HYPERLINK("https://vnm.spiral.com.vn//uploaded/20210513/9047810A-C102-4F6E-9EBB-65B9F1C6949C.jpg","07:56:45")</f>
      </c>
      <c r="V2879" s="18">
        <v>0.011666666666666667</v>
      </c>
      <c r="W2879" s="15" t="s">
        <v>14684</v>
      </c>
      <c r="X2879" s="15" t="s">
        <v>14172</v>
      </c>
      <c r="Y2879" s="15" t="s">
        <v>35</v>
      </c>
      <c r="Z2879" s="19">
        <v>0</v>
      </c>
      <c r="AA2879" s="15">
        <v>0</v>
      </c>
      <c r="AB2879" s="15" t="s">
        <v>35</v>
      </c>
    </row>
    <row r="2880">
      <c r="A2880" s="15">
        <v>2876</v>
      </c>
      <c r="B2880" s="15" t="s">
        <v>49</v>
      </c>
      <c r="C2880" s="15" t="s">
        <v>468</v>
      </c>
      <c r="D2880" s="15" t="s">
        <v>35</v>
      </c>
      <c r="E2880" s="15" t="s">
        <v>35</v>
      </c>
      <c r="F2880" s="15" t="s">
        <v>1435</v>
      </c>
      <c r="G2880" s="15" t="s">
        <v>36</v>
      </c>
      <c r="H2880" s="15" t="s">
        <v>14685</v>
      </c>
      <c r="I2880" s="15" t="s">
        <v>7748</v>
      </c>
      <c r="J2880" s="15" t="s">
        <v>14686</v>
      </c>
      <c r="K2880" s="15" t="s">
        <v>40</v>
      </c>
      <c r="L2880" s="15" t="s">
        <v>41</v>
      </c>
      <c r="M2880" s="15" t="s">
        <v>55</v>
      </c>
      <c r="N2880" s="15" t="s">
        <v>56</v>
      </c>
      <c r="O2880" s="15" t="s">
        <v>44</v>
      </c>
      <c r="P2880" s="15" t="s">
        <v>14687</v>
      </c>
      <c r="Q2880" s="15" t="s">
        <v>221</v>
      </c>
      <c r="R2880" s="16">
        <v>44329</v>
      </c>
      <c r="S2880" s="17" t="s">
        <v>317</v>
      </c>
      <c r="T2880" s="20">
        <f>HYPERLINK("https://vnm.spiral.com.vn//uploaded/20210513/C07FEDB1-9516-462C-A77C-0A476C50C7A6.jpg","07:56:44")</f>
      </c>
      <c r="U2880" s="18"/>
      <c r="V2880" s="18" t="s">
        <v>35</v>
      </c>
      <c r="W2880" s="15" t="s">
        <v>14688</v>
      </c>
      <c r="X2880" s="15" t="s">
        <v>35</v>
      </c>
      <c r="Y2880" s="15" t="s">
        <v>35</v>
      </c>
      <c r="Z2880" s="19">
        <v>0</v>
      </c>
      <c r="AA2880" s="15">
        <v>0</v>
      </c>
      <c r="AB2880" s="15" t="s">
        <v>35</v>
      </c>
    </row>
    <row r="2881">
      <c r="A2881" s="15">
        <v>2877</v>
      </c>
      <c r="B2881" s="15" t="s">
        <v>33</v>
      </c>
      <c r="C2881" s="15" t="s">
        <v>73</v>
      </c>
      <c r="D2881" s="15" t="s">
        <v>35</v>
      </c>
      <c r="E2881" s="15" t="s">
        <v>35</v>
      </c>
      <c r="F2881" s="15" t="s">
        <v>35</v>
      </c>
      <c r="G2881" s="15" t="s">
        <v>36</v>
      </c>
      <c r="H2881" s="15" t="s">
        <v>14689</v>
      </c>
      <c r="I2881" s="15" t="s">
        <v>14690</v>
      </c>
      <c r="J2881" s="15" t="s">
        <v>14691</v>
      </c>
      <c r="K2881" s="15" t="s">
        <v>40</v>
      </c>
      <c r="L2881" s="15" t="s">
        <v>41</v>
      </c>
      <c r="M2881" s="15" t="s">
        <v>42</v>
      </c>
      <c r="N2881" s="15" t="s">
        <v>43</v>
      </c>
      <c r="O2881" s="15" t="s">
        <v>44</v>
      </c>
      <c r="P2881" s="15" t="s">
        <v>14692</v>
      </c>
      <c r="Q2881" s="15" t="s">
        <v>14693</v>
      </c>
      <c r="R2881" s="16">
        <v>44329</v>
      </c>
      <c r="S2881" s="17" t="s">
        <v>225</v>
      </c>
      <c r="T2881" s="20">
        <f>HYPERLINK("https://vnm.spiral.com.vn//uploaded/20210513/1E6C688E-2F72-45B9-8D70-344AB042305C.jpg","07:56:33")</f>
      </c>
      <c r="U2881" s="18"/>
      <c r="V2881" s="18" t="s">
        <v>35</v>
      </c>
      <c r="W2881" s="15" t="s">
        <v>14694</v>
      </c>
      <c r="X2881" s="15" t="s">
        <v>35</v>
      </c>
      <c r="Y2881" s="15" t="s">
        <v>35</v>
      </c>
      <c r="Z2881" s="19">
        <v>0</v>
      </c>
      <c r="AA2881" s="15">
        <v>0</v>
      </c>
      <c r="AB2881" s="15" t="s">
        <v>35</v>
      </c>
    </row>
    <row r="2882">
      <c r="A2882" s="15">
        <v>2878</v>
      </c>
      <c r="B2882" s="15" t="s">
        <v>61</v>
      </c>
      <c r="C2882" s="15" t="s">
        <v>442</v>
      </c>
      <c r="D2882" s="15" t="s">
        <v>35</v>
      </c>
      <c r="E2882" s="15" t="s">
        <v>35</v>
      </c>
      <c r="F2882" s="15" t="s">
        <v>35</v>
      </c>
      <c r="G2882" s="15" t="s">
        <v>36</v>
      </c>
      <c r="H2882" s="15" t="s">
        <v>14695</v>
      </c>
      <c r="I2882" s="15" t="s">
        <v>7702</v>
      </c>
      <c r="J2882" s="15" t="s">
        <v>14696</v>
      </c>
      <c r="K2882" s="15" t="s">
        <v>40</v>
      </c>
      <c r="L2882" s="15" t="s">
        <v>41</v>
      </c>
      <c r="M2882" s="15" t="s">
        <v>205</v>
      </c>
      <c r="N2882" s="15" t="s">
        <v>206</v>
      </c>
      <c r="O2882" s="15" t="s">
        <v>44</v>
      </c>
      <c r="P2882" s="15" t="s">
        <v>14697</v>
      </c>
      <c r="Q2882" s="15" t="s">
        <v>14698</v>
      </c>
      <c r="R2882" s="16">
        <v>44329</v>
      </c>
      <c r="S2882" s="17" t="s">
        <v>70</v>
      </c>
      <c r="T2882" s="20">
        <f>HYPERLINK("https://vnm.spiral.com.vn//uploaded/20210513/96a69813-bb62-4631-b4e2-17fddff463ad.JPEG","07:56:20")</f>
      </c>
      <c r="U2882" s="18"/>
      <c r="V2882" s="18" t="s">
        <v>35</v>
      </c>
      <c r="W2882" s="15" t="s">
        <v>14699</v>
      </c>
      <c r="X2882" s="15" t="s">
        <v>35</v>
      </c>
      <c r="Y2882" s="15" t="s">
        <v>35</v>
      </c>
      <c r="Z2882" s="19">
        <v>0</v>
      </c>
      <c r="AA2882" s="15">
        <v>0</v>
      </c>
      <c r="AB2882" s="15" t="s">
        <v>35</v>
      </c>
    </row>
    <row r="2883">
      <c r="A2883" s="15">
        <v>2879</v>
      </c>
      <c r="B2883" s="15" t="s">
        <v>33</v>
      </c>
      <c r="C2883" s="15" t="s">
        <v>211</v>
      </c>
      <c r="D2883" s="15" t="s">
        <v>35</v>
      </c>
      <c r="E2883" s="15" t="s">
        <v>35</v>
      </c>
      <c r="F2883" s="15" t="s">
        <v>35</v>
      </c>
      <c r="G2883" s="15" t="s">
        <v>36</v>
      </c>
      <c r="H2883" s="15" t="s">
        <v>14700</v>
      </c>
      <c r="I2883" s="15" t="s">
        <v>14701</v>
      </c>
      <c r="J2883" s="15" t="s">
        <v>14702</v>
      </c>
      <c r="K2883" s="15" t="s">
        <v>40</v>
      </c>
      <c r="L2883" s="15" t="s">
        <v>41</v>
      </c>
      <c r="M2883" s="15" t="s">
        <v>42</v>
      </c>
      <c r="N2883" s="15" t="s">
        <v>43</v>
      </c>
      <c r="O2883" s="15" t="s">
        <v>44</v>
      </c>
      <c r="P2883" s="15" t="s">
        <v>14703</v>
      </c>
      <c r="Q2883" s="15" t="s">
        <v>14704</v>
      </c>
      <c r="R2883" s="16">
        <v>44329</v>
      </c>
      <c r="S2883" s="17" t="s">
        <v>70</v>
      </c>
      <c r="T2883" s="20">
        <f>HYPERLINK("https://vnm.spiral.com.vn//uploaded/20210513/77d77c00-1043-4044-bcad-213b60a8a9a4.JPEG","07:55:59")</f>
      </c>
      <c r="U2883" s="18"/>
      <c r="V2883" s="18" t="s">
        <v>35</v>
      </c>
      <c r="W2883" s="15" t="s">
        <v>14705</v>
      </c>
      <c r="X2883" s="15" t="s">
        <v>35</v>
      </c>
      <c r="Y2883" s="15" t="s">
        <v>35</v>
      </c>
      <c r="Z2883" s="19">
        <v>0</v>
      </c>
      <c r="AA2883" s="15">
        <v>0</v>
      </c>
      <c r="AB2883" s="15" t="s">
        <v>35</v>
      </c>
    </row>
    <row r="2884">
      <c r="A2884" s="15">
        <v>2880</v>
      </c>
      <c r="B2884" s="15" t="s">
        <v>246</v>
      </c>
      <c r="C2884" s="15" t="s">
        <v>864</v>
      </c>
      <c r="D2884" s="15" t="s">
        <v>432</v>
      </c>
      <c r="E2884" s="15" t="s">
        <v>116</v>
      </c>
      <c r="F2884" s="15" t="s">
        <v>35</v>
      </c>
      <c r="G2884" s="15" t="s">
        <v>74</v>
      </c>
      <c r="H2884" s="15" t="s">
        <v>14706</v>
      </c>
      <c r="I2884" s="15" t="s">
        <v>14707</v>
      </c>
      <c r="J2884" s="15" t="s">
        <v>14708</v>
      </c>
      <c r="K2884" s="15" t="s">
        <v>166</v>
      </c>
      <c r="L2884" s="15" t="s">
        <v>167</v>
      </c>
      <c r="M2884" s="15" t="s">
        <v>263</v>
      </c>
      <c r="N2884" s="15" t="s">
        <v>264</v>
      </c>
      <c r="O2884" s="15" t="s">
        <v>98</v>
      </c>
      <c r="P2884" s="15" t="s">
        <v>868</v>
      </c>
      <c r="Q2884" s="15" t="s">
        <v>869</v>
      </c>
      <c r="R2884" s="16">
        <v>44329</v>
      </c>
      <c r="S2884" s="17" t="s">
        <v>35</v>
      </c>
      <c r="T2884" s="20">
        <f>HYPERLINK("https://vnm.spiral.com.vn//uploaded/20210513/fa6c6c42-ccfa-4393-83ec-ec4e4f27c04e.JPEG","07:41:05")</f>
      </c>
      <c r="U2884" s="20">
        <f>HYPERLINK("https://vnm.spiral.com.vn//uploaded/20210513/2da212cd-7762-4506-b12a-c98843f3817d.JPEG","07:55:57")</f>
      </c>
      <c r="V2884" s="18">
        <v>0.010324074074074074</v>
      </c>
      <c r="W2884" s="15" t="s">
        <v>14709</v>
      </c>
      <c r="X2884" s="15" t="s">
        <v>14710</v>
      </c>
      <c r="Y2884" s="15" t="s">
        <v>35</v>
      </c>
      <c r="Z2884" s="19">
        <v>0</v>
      </c>
      <c r="AA2884" s="15">
        <v>0</v>
      </c>
      <c r="AB2884" s="15" t="s">
        <v>35</v>
      </c>
    </row>
    <row r="2885">
      <c r="A2885" s="15">
        <v>2881</v>
      </c>
      <c r="B2885" s="15" t="s">
        <v>33</v>
      </c>
      <c r="C2885" s="15" t="s">
        <v>979</v>
      </c>
      <c r="D2885" s="15" t="s">
        <v>35</v>
      </c>
      <c r="E2885" s="15" t="s">
        <v>35</v>
      </c>
      <c r="F2885" s="15" t="s">
        <v>35</v>
      </c>
      <c r="G2885" s="15" t="s">
        <v>36</v>
      </c>
      <c r="H2885" s="15" t="s">
        <v>14711</v>
      </c>
      <c r="I2885" s="15" t="s">
        <v>14712</v>
      </c>
      <c r="J2885" s="15" t="s">
        <v>14713</v>
      </c>
      <c r="K2885" s="15" t="s">
        <v>40</v>
      </c>
      <c r="L2885" s="15" t="s">
        <v>41</v>
      </c>
      <c r="M2885" s="15" t="s">
        <v>42</v>
      </c>
      <c r="N2885" s="15" t="s">
        <v>43</v>
      </c>
      <c r="O2885" s="15" t="s">
        <v>44</v>
      </c>
      <c r="P2885" s="15" t="s">
        <v>14714</v>
      </c>
      <c r="Q2885" s="15" t="s">
        <v>8318</v>
      </c>
      <c r="R2885" s="16">
        <v>44329</v>
      </c>
      <c r="S2885" s="17" t="s">
        <v>14566</v>
      </c>
      <c r="T2885" s="20">
        <f>HYPERLINK("https://vnm.spiral.com.vn//uploaded/20210513/e359deb5-27ad-4b28-bb08-b4b6e2e18d8a.JPEG","07:55:37")</f>
      </c>
      <c r="U2885" s="18"/>
      <c r="V2885" s="18" t="s">
        <v>35</v>
      </c>
      <c r="W2885" s="15" t="s">
        <v>14715</v>
      </c>
      <c r="X2885" s="15" t="s">
        <v>35</v>
      </c>
      <c r="Y2885" s="15" t="s">
        <v>35</v>
      </c>
      <c r="Z2885" s="19">
        <v>0</v>
      </c>
      <c r="AA2885" s="15">
        <v>0</v>
      </c>
      <c r="AB2885" s="15" t="s">
        <v>35</v>
      </c>
    </row>
    <row r="2886">
      <c r="A2886" s="15">
        <v>2882</v>
      </c>
      <c r="B2886" s="15" t="s">
        <v>33</v>
      </c>
      <c r="C2886" s="15" t="s">
        <v>492</v>
      </c>
      <c r="D2886" s="15" t="s">
        <v>35</v>
      </c>
      <c r="E2886" s="15" t="s">
        <v>35</v>
      </c>
      <c r="F2886" s="15" t="s">
        <v>13998</v>
      </c>
      <c r="G2886" s="15" t="s">
        <v>36</v>
      </c>
      <c r="H2886" s="15" t="s">
        <v>14716</v>
      </c>
      <c r="I2886" s="15" t="s">
        <v>14717</v>
      </c>
      <c r="J2886" s="15" t="s">
        <v>14718</v>
      </c>
      <c r="K2886" s="15" t="s">
        <v>40</v>
      </c>
      <c r="L2886" s="15" t="s">
        <v>41</v>
      </c>
      <c r="M2886" s="15" t="s">
        <v>42</v>
      </c>
      <c r="N2886" s="15" t="s">
        <v>43</v>
      </c>
      <c r="O2886" s="15" t="s">
        <v>44</v>
      </c>
      <c r="P2886" s="15" t="s">
        <v>14719</v>
      </c>
      <c r="Q2886" s="15" t="s">
        <v>14720</v>
      </c>
      <c r="R2886" s="16">
        <v>44329</v>
      </c>
      <c r="S2886" s="17" t="s">
        <v>225</v>
      </c>
      <c r="T2886" s="20">
        <f>HYPERLINK("https://vnm.spiral.com.vn//uploaded/20210513/6B2753F3-88FF-415E-A585-C203E90B08C2.jpg","07:54:52")</f>
      </c>
      <c r="U2886" s="18"/>
      <c r="V2886" s="18" t="s">
        <v>35</v>
      </c>
      <c r="W2886" s="15" t="s">
        <v>14721</v>
      </c>
      <c r="X2886" s="15" t="s">
        <v>35</v>
      </c>
      <c r="Y2886" s="15" t="s">
        <v>35</v>
      </c>
      <c r="Z2886" s="19">
        <v>0</v>
      </c>
      <c r="AA2886" s="15">
        <v>0</v>
      </c>
      <c r="AB2886" s="15" t="s">
        <v>35</v>
      </c>
    </row>
    <row r="2887">
      <c r="A2887" s="15">
        <v>2883</v>
      </c>
      <c r="B2887" s="15" t="s">
        <v>49</v>
      </c>
      <c r="C2887" s="15" t="s">
        <v>468</v>
      </c>
      <c r="D2887" s="15" t="s">
        <v>35</v>
      </c>
      <c r="E2887" s="15" t="s">
        <v>35</v>
      </c>
      <c r="F2887" s="15" t="s">
        <v>1435</v>
      </c>
      <c r="G2887" s="15" t="s">
        <v>36</v>
      </c>
      <c r="H2887" s="15" t="s">
        <v>14722</v>
      </c>
      <c r="I2887" s="15" t="s">
        <v>14723</v>
      </c>
      <c r="J2887" s="15" t="s">
        <v>14724</v>
      </c>
      <c r="K2887" s="15" t="s">
        <v>40</v>
      </c>
      <c r="L2887" s="15" t="s">
        <v>41</v>
      </c>
      <c r="M2887" s="15" t="s">
        <v>55</v>
      </c>
      <c r="N2887" s="15" t="s">
        <v>56</v>
      </c>
      <c r="O2887" s="15" t="s">
        <v>44</v>
      </c>
      <c r="P2887" s="15" t="s">
        <v>14725</v>
      </c>
      <c r="Q2887" s="15" t="s">
        <v>14726</v>
      </c>
      <c r="R2887" s="16">
        <v>44329</v>
      </c>
      <c r="S2887" s="17" t="s">
        <v>70</v>
      </c>
      <c r="T2887" s="20">
        <f>HYPERLINK("https://vnm.spiral.com.vn//uploaded/20210513/420c5bdb-386a-4c33-98f8-dd46f6a8ee1a.JPEG","07:54:48")</f>
      </c>
      <c r="U2887" s="18"/>
      <c r="V2887" s="18" t="s">
        <v>35</v>
      </c>
      <c r="W2887" s="15" t="s">
        <v>14727</v>
      </c>
      <c r="X2887" s="15" t="s">
        <v>35</v>
      </c>
      <c r="Y2887" s="15" t="s">
        <v>35</v>
      </c>
      <c r="Z2887" s="19">
        <v>0</v>
      </c>
      <c r="AA2887" s="15">
        <v>0</v>
      </c>
      <c r="AB2887" s="15" t="s">
        <v>35</v>
      </c>
    </row>
    <row r="2888">
      <c r="A2888" s="15">
        <v>2884</v>
      </c>
      <c r="B2888" s="15" t="s">
        <v>49</v>
      </c>
      <c r="C2888" s="15" t="s">
        <v>468</v>
      </c>
      <c r="D2888" s="15" t="s">
        <v>35</v>
      </c>
      <c r="E2888" s="15" t="s">
        <v>35</v>
      </c>
      <c r="F2888" s="15" t="s">
        <v>1435</v>
      </c>
      <c r="G2888" s="15" t="s">
        <v>36</v>
      </c>
      <c r="H2888" s="15" t="s">
        <v>14728</v>
      </c>
      <c r="I2888" s="15" t="s">
        <v>14729</v>
      </c>
      <c r="J2888" s="15" t="s">
        <v>14730</v>
      </c>
      <c r="K2888" s="15" t="s">
        <v>40</v>
      </c>
      <c r="L2888" s="15" t="s">
        <v>41</v>
      </c>
      <c r="M2888" s="15" t="s">
        <v>55</v>
      </c>
      <c r="N2888" s="15" t="s">
        <v>56</v>
      </c>
      <c r="O2888" s="15" t="s">
        <v>44</v>
      </c>
      <c r="P2888" s="15" t="s">
        <v>14731</v>
      </c>
      <c r="Q2888" s="15" t="s">
        <v>14732</v>
      </c>
      <c r="R2888" s="16">
        <v>44329</v>
      </c>
      <c r="S2888" s="17" t="s">
        <v>475</v>
      </c>
      <c r="T2888" s="20">
        <f>HYPERLINK("https://vnm.spiral.com.vn//uploaded/20210513/f11a07ee-103e-49f4-86a7-19f6f3cecf00.JPEG","07:54:36")</f>
      </c>
      <c r="U2888" s="18"/>
      <c r="V2888" s="18" t="s">
        <v>35</v>
      </c>
      <c r="W2888" s="15" t="s">
        <v>14733</v>
      </c>
      <c r="X2888" s="15" t="s">
        <v>35</v>
      </c>
      <c r="Y2888" s="15" t="s">
        <v>35</v>
      </c>
      <c r="Z2888" s="19">
        <v>0</v>
      </c>
      <c r="AA2888" s="15">
        <v>0</v>
      </c>
      <c r="AB2888" s="15" t="s">
        <v>35</v>
      </c>
    </row>
    <row r="2889">
      <c r="A2889" s="15">
        <v>2885</v>
      </c>
      <c r="B2889" s="15" t="s">
        <v>103</v>
      </c>
      <c r="C2889" s="15" t="s">
        <v>174</v>
      </c>
      <c r="D2889" s="15" t="s">
        <v>35</v>
      </c>
      <c r="E2889" s="15" t="s">
        <v>35</v>
      </c>
      <c r="F2889" s="15" t="s">
        <v>1129</v>
      </c>
      <c r="G2889" s="15" t="s">
        <v>36</v>
      </c>
      <c r="H2889" s="15" t="s">
        <v>14734</v>
      </c>
      <c r="I2889" s="15" t="s">
        <v>14735</v>
      </c>
      <c r="J2889" s="15" t="s">
        <v>14736</v>
      </c>
      <c r="K2889" s="15" t="s">
        <v>40</v>
      </c>
      <c r="L2889" s="15" t="s">
        <v>41</v>
      </c>
      <c r="M2889" s="15" t="s">
        <v>108</v>
      </c>
      <c r="N2889" s="15" t="s">
        <v>109</v>
      </c>
      <c r="O2889" s="15" t="s">
        <v>44</v>
      </c>
      <c r="P2889" s="15" t="s">
        <v>14737</v>
      </c>
      <c r="Q2889" s="15" t="s">
        <v>255</v>
      </c>
      <c r="R2889" s="16">
        <v>44329</v>
      </c>
      <c r="S2889" s="17" t="s">
        <v>225</v>
      </c>
      <c r="T2889" s="20">
        <f>HYPERLINK("https://vnm.spiral.com.vn//uploaded/20210513/A0B924D6-538E-423D-8EC9-9F9DA0C4CEE9.jpg","07:54:29")</f>
      </c>
      <c r="U2889" s="18"/>
      <c r="V2889" s="18" t="s">
        <v>35</v>
      </c>
      <c r="W2889" s="15" t="s">
        <v>14738</v>
      </c>
      <c r="X2889" s="15" t="s">
        <v>35</v>
      </c>
      <c r="Y2889" s="15" t="s">
        <v>35</v>
      </c>
      <c r="Z2889" s="19">
        <v>0</v>
      </c>
      <c r="AA2889" s="15">
        <v>0</v>
      </c>
      <c r="AB2889" s="15" t="s">
        <v>35</v>
      </c>
    </row>
    <row r="2890">
      <c r="A2890" s="15">
        <v>2886</v>
      </c>
      <c r="B2890" s="15" t="s">
        <v>33</v>
      </c>
      <c r="C2890" s="15" t="s">
        <v>211</v>
      </c>
      <c r="D2890" s="15" t="s">
        <v>35</v>
      </c>
      <c r="E2890" s="15" t="s">
        <v>35</v>
      </c>
      <c r="F2890" s="15" t="s">
        <v>14549</v>
      </c>
      <c r="G2890" s="15" t="s">
        <v>36</v>
      </c>
      <c r="H2890" s="15" t="s">
        <v>14739</v>
      </c>
      <c r="I2890" s="15" t="s">
        <v>14740</v>
      </c>
      <c r="J2890" s="15" t="s">
        <v>14741</v>
      </c>
      <c r="K2890" s="15" t="s">
        <v>40</v>
      </c>
      <c r="L2890" s="15" t="s">
        <v>41</v>
      </c>
      <c r="M2890" s="15" t="s">
        <v>42</v>
      </c>
      <c r="N2890" s="15" t="s">
        <v>43</v>
      </c>
      <c r="O2890" s="15" t="s">
        <v>44</v>
      </c>
      <c r="P2890" s="15" t="s">
        <v>14742</v>
      </c>
      <c r="Q2890" s="15" t="s">
        <v>14743</v>
      </c>
      <c r="R2890" s="16">
        <v>44329</v>
      </c>
      <c r="S2890" s="17" t="s">
        <v>14324</v>
      </c>
      <c r="T2890" s="20">
        <f>HYPERLINK("https://vnm.spiral.com.vn//uploaded/20210513/16f52be5-4b98-4ad7-af78-e5b797a06daf.JPEG","07:54:25")</f>
      </c>
      <c r="U2890" s="18"/>
      <c r="V2890" s="18" t="s">
        <v>35</v>
      </c>
      <c r="W2890" s="15" t="s">
        <v>14744</v>
      </c>
      <c r="X2890" s="15" t="s">
        <v>35</v>
      </c>
      <c r="Y2890" s="15" t="s">
        <v>35</v>
      </c>
      <c r="Z2890" s="19">
        <v>0</v>
      </c>
      <c r="AA2890" s="15">
        <v>0</v>
      </c>
      <c r="AB2890" s="15" t="s">
        <v>35</v>
      </c>
    </row>
    <row r="2891">
      <c r="A2891" s="15">
        <v>2887</v>
      </c>
      <c r="B2891" s="15" t="s">
        <v>87</v>
      </c>
      <c r="C2891" s="15" t="s">
        <v>88</v>
      </c>
      <c r="D2891" s="15" t="s">
        <v>35</v>
      </c>
      <c r="E2891" s="15" t="s">
        <v>35</v>
      </c>
      <c r="F2891" s="15" t="s">
        <v>2721</v>
      </c>
      <c r="G2891" s="15" t="s">
        <v>36</v>
      </c>
      <c r="H2891" s="15" t="s">
        <v>14745</v>
      </c>
      <c r="I2891" s="15" t="s">
        <v>14746</v>
      </c>
      <c r="J2891" s="15" t="s">
        <v>14747</v>
      </c>
      <c r="K2891" s="15" t="s">
        <v>40</v>
      </c>
      <c r="L2891" s="15" t="s">
        <v>41</v>
      </c>
      <c r="M2891" s="15" t="s">
        <v>1195</v>
      </c>
      <c r="N2891" s="15" t="s">
        <v>1196</v>
      </c>
      <c r="O2891" s="15" t="s">
        <v>44</v>
      </c>
      <c r="P2891" s="15" t="s">
        <v>14748</v>
      </c>
      <c r="Q2891" s="15" t="s">
        <v>14749</v>
      </c>
      <c r="R2891" s="16">
        <v>44329</v>
      </c>
      <c r="S2891" s="17" t="s">
        <v>70</v>
      </c>
      <c r="T2891" s="20">
        <f>HYPERLINK("https://vnm.spiral.com.vn//uploaded/20210513/fe62cb08-ae48-4735-9fa6-7ed24a44a830.JPEG","07:53:58")</f>
      </c>
      <c r="U2891" s="18"/>
      <c r="V2891" s="18" t="s">
        <v>35</v>
      </c>
      <c r="W2891" s="15" t="s">
        <v>14750</v>
      </c>
      <c r="X2891" s="15" t="s">
        <v>35</v>
      </c>
      <c r="Y2891" s="15" t="s">
        <v>35</v>
      </c>
      <c r="Z2891" s="19">
        <v>0</v>
      </c>
      <c r="AA2891" s="15">
        <v>0</v>
      </c>
      <c r="AB2891" s="15" t="s">
        <v>35</v>
      </c>
    </row>
    <row r="2892">
      <c r="A2892" s="15">
        <v>2888</v>
      </c>
      <c r="B2892" s="15" t="s">
        <v>61</v>
      </c>
      <c r="C2892" s="15" t="s">
        <v>442</v>
      </c>
      <c r="D2892" s="15" t="s">
        <v>35</v>
      </c>
      <c r="E2892" s="15" t="s">
        <v>35</v>
      </c>
      <c r="F2892" s="15" t="s">
        <v>35</v>
      </c>
      <c r="G2892" s="15" t="s">
        <v>36</v>
      </c>
      <c r="H2892" s="15" t="s">
        <v>14751</v>
      </c>
      <c r="I2892" s="15" t="s">
        <v>14752</v>
      </c>
      <c r="J2892" s="15" t="s">
        <v>14753</v>
      </c>
      <c r="K2892" s="15" t="s">
        <v>40</v>
      </c>
      <c r="L2892" s="15" t="s">
        <v>41</v>
      </c>
      <c r="M2892" s="15" t="s">
        <v>205</v>
      </c>
      <c r="N2892" s="15" t="s">
        <v>206</v>
      </c>
      <c r="O2892" s="15" t="s">
        <v>44</v>
      </c>
      <c r="P2892" s="15" t="s">
        <v>14754</v>
      </c>
      <c r="Q2892" s="15" t="s">
        <v>14755</v>
      </c>
      <c r="R2892" s="16">
        <v>44329</v>
      </c>
      <c r="S2892" s="17" t="s">
        <v>70</v>
      </c>
      <c r="T2892" s="20">
        <f>HYPERLINK("https://vnm.spiral.com.vn//uploaded/20210513/2FCD4CCE-A26A-4318-8A13-ABB8E69101A9.jpg","07:53:02")</f>
      </c>
      <c r="U2892" s="18"/>
      <c r="V2892" s="18" t="s">
        <v>35</v>
      </c>
      <c r="W2892" s="15" t="s">
        <v>14756</v>
      </c>
      <c r="X2892" s="15" t="s">
        <v>35</v>
      </c>
      <c r="Y2892" s="15" t="s">
        <v>35</v>
      </c>
      <c r="Z2892" s="19">
        <v>0</v>
      </c>
      <c r="AA2892" s="15">
        <v>0</v>
      </c>
      <c r="AB2892" s="15" t="s">
        <v>35</v>
      </c>
    </row>
    <row r="2893">
      <c r="A2893" s="15">
        <v>2889</v>
      </c>
      <c r="B2893" s="15" t="s">
        <v>33</v>
      </c>
      <c r="C2893" s="15" t="s">
        <v>8154</v>
      </c>
      <c r="D2893" s="15" t="s">
        <v>35</v>
      </c>
      <c r="E2893" s="15" t="s">
        <v>35</v>
      </c>
      <c r="F2893" s="15" t="s">
        <v>35</v>
      </c>
      <c r="G2893" s="15" t="s">
        <v>74</v>
      </c>
      <c r="H2893" s="15" t="s">
        <v>14757</v>
      </c>
      <c r="I2893" s="15" t="s">
        <v>14758</v>
      </c>
      <c r="J2893" s="15" t="s">
        <v>14759</v>
      </c>
      <c r="K2893" s="15" t="s">
        <v>2887</v>
      </c>
      <c r="L2893" s="15" t="s">
        <v>2888</v>
      </c>
      <c r="M2893" s="15" t="s">
        <v>2889</v>
      </c>
      <c r="N2893" s="15" t="s">
        <v>2890</v>
      </c>
      <c r="O2893" s="15" t="s">
        <v>156</v>
      </c>
      <c r="P2893" s="15" t="s">
        <v>14760</v>
      </c>
      <c r="Q2893" s="15" t="s">
        <v>14761</v>
      </c>
      <c r="R2893" s="16">
        <v>44329</v>
      </c>
      <c r="S2893" s="17" t="s">
        <v>159</v>
      </c>
      <c r="T2893" s="20">
        <f>HYPERLINK("https://vnm.spiral.com.vn//uploaded/20210513/2c3d593d-69d0-4d93-9f75-7cab29b99d3a.JPEG","07:52:49")</f>
      </c>
      <c r="U2893" s="18"/>
      <c r="V2893" s="18" t="s">
        <v>35</v>
      </c>
      <c r="W2893" s="15" t="s">
        <v>14762</v>
      </c>
      <c r="X2893" s="15" t="s">
        <v>35</v>
      </c>
      <c r="Y2893" s="15" t="s">
        <v>35</v>
      </c>
      <c r="Z2893" s="19">
        <v>0</v>
      </c>
      <c r="AA2893" s="15">
        <v>0</v>
      </c>
      <c r="AB2893" s="15" t="s">
        <v>35</v>
      </c>
    </row>
    <row r="2894">
      <c r="A2894" s="15">
        <v>2890</v>
      </c>
      <c r="B2894" s="15" t="s">
        <v>343</v>
      </c>
      <c r="C2894" s="15" t="s">
        <v>4798</v>
      </c>
      <c r="D2894" s="15" t="s">
        <v>35</v>
      </c>
      <c r="E2894" s="15" t="s">
        <v>35</v>
      </c>
      <c r="F2894" s="15" t="s">
        <v>35</v>
      </c>
      <c r="G2894" s="15" t="s">
        <v>36</v>
      </c>
      <c r="H2894" s="15" t="s">
        <v>14763</v>
      </c>
      <c r="I2894" s="15" t="s">
        <v>11244</v>
      </c>
      <c r="J2894" s="15" t="s">
        <v>14764</v>
      </c>
      <c r="K2894" s="15" t="s">
        <v>40</v>
      </c>
      <c r="L2894" s="15" t="s">
        <v>41</v>
      </c>
      <c r="M2894" s="15" t="s">
        <v>409</v>
      </c>
      <c r="N2894" s="15" t="s">
        <v>410</v>
      </c>
      <c r="O2894" s="15" t="s">
        <v>44</v>
      </c>
      <c r="P2894" s="15" t="s">
        <v>14765</v>
      </c>
      <c r="Q2894" s="15" t="s">
        <v>14766</v>
      </c>
      <c r="R2894" s="16">
        <v>44329</v>
      </c>
      <c r="S2894" s="17" t="s">
        <v>225</v>
      </c>
      <c r="T2894" s="20">
        <f>HYPERLINK("https://vnm.spiral.com.vn//uploaded/20210513/f1c9503e-a88d-46d7-a921-fb804929417f.JPEG","07:52:14")</f>
      </c>
      <c r="U2894" s="18"/>
      <c r="V2894" s="18" t="s">
        <v>35</v>
      </c>
      <c r="W2894" s="15" t="s">
        <v>14767</v>
      </c>
      <c r="X2894" s="15" t="s">
        <v>35</v>
      </c>
      <c r="Y2894" s="15" t="s">
        <v>35</v>
      </c>
      <c r="Z2894" s="19">
        <v>0</v>
      </c>
      <c r="AA2894" s="15">
        <v>0</v>
      </c>
      <c r="AB2894" s="15" t="s">
        <v>35</v>
      </c>
    </row>
    <row r="2895">
      <c r="A2895" s="15">
        <v>2891</v>
      </c>
      <c r="B2895" s="15" t="s">
        <v>61</v>
      </c>
      <c r="C2895" s="15" t="s">
        <v>1106</v>
      </c>
      <c r="D2895" s="15" t="s">
        <v>89</v>
      </c>
      <c r="E2895" s="15" t="s">
        <v>90</v>
      </c>
      <c r="F2895" s="15" t="s">
        <v>35</v>
      </c>
      <c r="G2895" s="15" t="s">
        <v>74</v>
      </c>
      <c r="H2895" s="15" t="s">
        <v>12199</v>
      </c>
      <c r="I2895" s="15" t="s">
        <v>12200</v>
      </c>
      <c r="J2895" s="15" t="s">
        <v>12201</v>
      </c>
      <c r="K2895" s="15" t="s">
        <v>154</v>
      </c>
      <c r="L2895" s="15" t="s">
        <v>155</v>
      </c>
      <c r="M2895" s="15" t="s">
        <v>2458</v>
      </c>
      <c r="N2895" s="15" t="s">
        <v>2459</v>
      </c>
      <c r="O2895" s="15" t="s">
        <v>156</v>
      </c>
      <c r="P2895" s="15" t="s">
        <v>14768</v>
      </c>
      <c r="Q2895" s="15" t="s">
        <v>14769</v>
      </c>
      <c r="R2895" s="16">
        <v>44329</v>
      </c>
      <c r="S2895" s="17" t="s">
        <v>70</v>
      </c>
      <c r="T2895" s="20">
        <f>HYPERLINK("https://vnm.spiral.com.vn//uploaded/20210513/9B7535C7-BB51-4353-9022-AD316CEDC777.jpg","07:52:10")</f>
      </c>
      <c r="U2895" s="18"/>
      <c r="V2895" s="18" t="s">
        <v>35</v>
      </c>
      <c r="W2895" s="15" t="s">
        <v>14770</v>
      </c>
      <c r="X2895" s="15" t="s">
        <v>35</v>
      </c>
      <c r="Y2895" s="15" t="s">
        <v>35</v>
      </c>
      <c r="Z2895" s="19">
        <v>0</v>
      </c>
      <c r="AA2895" s="15">
        <v>0</v>
      </c>
      <c r="AB2895" s="15" t="s">
        <v>35</v>
      </c>
    </row>
    <row r="2896">
      <c r="A2896" s="15">
        <v>2892</v>
      </c>
      <c r="B2896" s="15" t="s">
        <v>61</v>
      </c>
      <c r="C2896" s="15" t="s">
        <v>737</v>
      </c>
      <c r="D2896" s="15" t="s">
        <v>35</v>
      </c>
      <c r="E2896" s="15" t="s">
        <v>35</v>
      </c>
      <c r="F2896" s="15" t="s">
        <v>5330</v>
      </c>
      <c r="G2896" s="15" t="s">
        <v>36</v>
      </c>
      <c r="H2896" s="15" t="s">
        <v>14771</v>
      </c>
      <c r="I2896" s="15" t="s">
        <v>14772</v>
      </c>
      <c r="J2896" s="15" t="s">
        <v>3843</v>
      </c>
      <c r="K2896" s="15" t="s">
        <v>40</v>
      </c>
      <c r="L2896" s="15" t="s">
        <v>41</v>
      </c>
      <c r="M2896" s="15" t="s">
        <v>205</v>
      </c>
      <c r="N2896" s="15" t="s">
        <v>206</v>
      </c>
      <c r="O2896" s="15" t="s">
        <v>44</v>
      </c>
      <c r="P2896" s="15" t="s">
        <v>14773</v>
      </c>
      <c r="Q2896" s="15" t="s">
        <v>14774</v>
      </c>
      <c r="R2896" s="16">
        <v>44329</v>
      </c>
      <c r="S2896" s="17" t="s">
        <v>70</v>
      </c>
      <c r="T2896" s="20">
        <f>HYPERLINK("https://vnm.spiral.com.vn//uploaded/20210513/21e331e3-6b54-4c73-86a6-2a0eca1b5363.JPEG","07:52:04")</f>
      </c>
      <c r="U2896" s="18"/>
      <c r="V2896" s="18" t="s">
        <v>35</v>
      </c>
      <c r="W2896" s="15" t="s">
        <v>14775</v>
      </c>
      <c r="X2896" s="15" t="s">
        <v>35</v>
      </c>
      <c r="Y2896" s="15" t="s">
        <v>35</v>
      </c>
      <c r="Z2896" s="19">
        <v>0</v>
      </c>
      <c r="AA2896" s="15">
        <v>0</v>
      </c>
      <c r="AB2896" s="15" t="s">
        <v>35</v>
      </c>
    </row>
    <row r="2897">
      <c r="A2897" s="15">
        <v>2893</v>
      </c>
      <c r="B2897" s="15" t="s">
        <v>61</v>
      </c>
      <c r="C2897" s="15" t="s">
        <v>1730</v>
      </c>
      <c r="D2897" s="15" t="s">
        <v>357</v>
      </c>
      <c r="E2897" s="15" t="s">
        <v>90</v>
      </c>
      <c r="F2897" s="15" t="s">
        <v>35</v>
      </c>
      <c r="G2897" s="15" t="s">
        <v>74</v>
      </c>
      <c r="H2897" s="15" t="s">
        <v>14776</v>
      </c>
      <c r="I2897" s="15" t="s">
        <v>14777</v>
      </c>
      <c r="J2897" s="15" t="s">
        <v>14778</v>
      </c>
      <c r="K2897" s="15" t="s">
        <v>309</v>
      </c>
      <c r="L2897" s="15" t="s">
        <v>310</v>
      </c>
      <c r="M2897" s="15" t="s">
        <v>778</v>
      </c>
      <c r="N2897" s="15" t="s">
        <v>779</v>
      </c>
      <c r="O2897" s="15" t="s">
        <v>82</v>
      </c>
      <c r="P2897" s="15" t="s">
        <v>14779</v>
      </c>
      <c r="Q2897" s="15" t="s">
        <v>14780</v>
      </c>
      <c r="R2897" s="16">
        <v>44329</v>
      </c>
      <c r="S2897" s="17" t="s">
        <v>70</v>
      </c>
      <c r="T2897" s="20">
        <f>HYPERLINK("https://vnm.spiral.com.vn//uploaded/20210513/C9CE26A4-17C8-43BC-9317-27E33ACB4D46.jpg","07:51:24")</f>
      </c>
      <c r="U2897" s="18"/>
      <c r="V2897" s="18" t="s">
        <v>35</v>
      </c>
      <c r="W2897" s="15" t="s">
        <v>14781</v>
      </c>
      <c r="X2897" s="15" t="s">
        <v>35</v>
      </c>
      <c r="Y2897" s="15" t="s">
        <v>35</v>
      </c>
      <c r="Z2897" s="19">
        <v>0</v>
      </c>
      <c r="AA2897" s="15">
        <v>0</v>
      </c>
      <c r="AB2897" s="15" t="s">
        <v>35</v>
      </c>
    </row>
    <row r="2898">
      <c r="A2898" s="15">
        <v>2894</v>
      </c>
      <c r="B2898" s="15" t="s">
        <v>61</v>
      </c>
      <c r="C2898" s="15" t="s">
        <v>201</v>
      </c>
      <c r="D2898" s="15" t="s">
        <v>35</v>
      </c>
      <c r="E2898" s="15" t="s">
        <v>35</v>
      </c>
      <c r="F2898" s="15" t="s">
        <v>35</v>
      </c>
      <c r="G2898" s="15" t="s">
        <v>36</v>
      </c>
      <c r="H2898" s="15" t="s">
        <v>14782</v>
      </c>
      <c r="I2898" s="15" t="s">
        <v>14783</v>
      </c>
      <c r="J2898" s="15" t="s">
        <v>14784</v>
      </c>
      <c r="K2898" s="15" t="s">
        <v>40</v>
      </c>
      <c r="L2898" s="15" t="s">
        <v>41</v>
      </c>
      <c r="M2898" s="15" t="s">
        <v>205</v>
      </c>
      <c r="N2898" s="15" t="s">
        <v>206</v>
      </c>
      <c r="O2898" s="15" t="s">
        <v>44</v>
      </c>
      <c r="P2898" s="15" t="s">
        <v>14785</v>
      </c>
      <c r="Q2898" s="15" t="s">
        <v>9439</v>
      </c>
      <c r="R2898" s="16">
        <v>44329</v>
      </c>
      <c r="S2898" s="17" t="s">
        <v>70</v>
      </c>
      <c r="T2898" s="20">
        <f>HYPERLINK("https://vnm.spiral.com.vn//uploaded/20210513/0deaa3b9-ad11-4b77-ab71-0f8c480c0e5a.JPEG","07:51:19")</f>
      </c>
      <c r="U2898" s="18"/>
      <c r="V2898" s="18" t="s">
        <v>35</v>
      </c>
      <c r="W2898" s="15" t="s">
        <v>14786</v>
      </c>
      <c r="X2898" s="15" t="s">
        <v>35</v>
      </c>
      <c r="Y2898" s="15" t="s">
        <v>35</v>
      </c>
      <c r="Z2898" s="19">
        <v>0</v>
      </c>
      <c r="AA2898" s="15">
        <v>0</v>
      </c>
      <c r="AB2898" s="15" t="s">
        <v>35</v>
      </c>
    </row>
    <row r="2899">
      <c r="A2899" s="15">
        <v>2895</v>
      </c>
      <c r="B2899" s="15" t="s">
        <v>61</v>
      </c>
      <c r="C2899" s="15" t="s">
        <v>904</v>
      </c>
      <c r="D2899" s="15" t="s">
        <v>35</v>
      </c>
      <c r="E2899" s="15" t="s">
        <v>35</v>
      </c>
      <c r="F2899" s="15" t="s">
        <v>35</v>
      </c>
      <c r="G2899" s="15" t="s">
        <v>36</v>
      </c>
      <c r="H2899" s="15" t="s">
        <v>14787</v>
      </c>
      <c r="I2899" s="15" t="s">
        <v>14788</v>
      </c>
      <c r="J2899" s="15" t="s">
        <v>14789</v>
      </c>
      <c r="K2899" s="15" t="s">
        <v>40</v>
      </c>
      <c r="L2899" s="15" t="s">
        <v>41</v>
      </c>
      <c r="M2899" s="15" t="s">
        <v>66</v>
      </c>
      <c r="N2899" s="15" t="s">
        <v>67</v>
      </c>
      <c r="O2899" s="15" t="s">
        <v>44</v>
      </c>
      <c r="P2899" s="15" t="s">
        <v>14790</v>
      </c>
      <c r="Q2899" s="15" t="s">
        <v>14791</v>
      </c>
      <c r="R2899" s="16">
        <v>44329</v>
      </c>
      <c r="S2899" s="17" t="s">
        <v>70</v>
      </c>
      <c r="T2899" s="20">
        <f>HYPERLINK("https://vnm.spiral.com.vn//uploaded/20210513/67adf782-d137-456f-ae5c-7807e2cafd1e.JPEG","07:50:52")</f>
      </c>
      <c r="U2899" s="18"/>
      <c r="V2899" s="18" t="s">
        <v>35</v>
      </c>
      <c r="W2899" s="15" t="s">
        <v>14792</v>
      </c>
      <c r="X2899" s="15" t="s">
        <v>35</v>
      </c>
      <c r="Y2899" s="15" t="s">
        <v>35</v>
      </c>
      <c r="Z2899" s="19">
        <v>0</v>
      </c>
      <c r="AA2899" s="15">
        <v>0</v>
      </c>
      <c r="AB2899" s="15" t="s">
        <v>35</v>
      </c>
    </row>
    <row r="2900">
      <c r="A2900" s="15">
        <v>2896</v>
      </c>
      <c r="B2900" s="15" t="s">
        <v>343</v>
      </c>
      <c r="C2900" s="15" t="s">
        <v>344</v>
      </c>
      <c r="D2900" s="15" t="s">
        <v>35</v>
      </c>
      <c r="E2900" s="15" t="s">
        <v>35</v>
      </c>
      <c r="F2900" s="15" t="s">
        <v>35</v>
      </c>
      <c r="G2900" s="15" t="s">
        <v>74</v>
      </c>
      <c r="H2900" s="15" t="s">
        <v>14793</v>
      </c>
      <c r="I2900" s="15" t="s">
        <v>14794</v>
      </c>
      <c r="J2900" s="15" t="s">
        <v>14795</v>
      </c>
      <c r="K2900" s="15" t="s">
        <v>897</v>
      </c>
      <c r="L2900" s="15" t="s">
        <v>898</v>
      </c>
      <c r="M2900" s="15" t="s">
        <v>3476</v>
      </c>
      <c r="N2900" s="15" t="s">
        <v>3477</v>
      </c>
      <c r="O2900" s="15" t="s">
        <v>156</v>
      </c>
      <c r="P2900" s="15" t="s">
        <v>14796</v>
      </c>
      <c r="Q2900" s="15" t="s">
        <v>14797</v>
      </c>
      <c r="R2900" s="16">
        <v>44329</v>
      </c>
      <c r="S2900" s="17" t="s">
        <v>256</v>
      </c>
      <c r="T2900" s="20">
        <f>HYPERLINK("https://vnm.spiral.com.vn//uploaded/20210513/38649b59-84c6-4375-b758-cb757edfd49f.JPEG","07:50:24")</f>
      </c>
      <c r="U2900" s="18"/>
      <c r="V2900" s="18" t="s">
        <v>35</v>
      </c>
      <c r="W2900" s="15" t="s">
        <v>14798</v>
      </c>
      <c r="X2900" s="15" t="s">
        <v>35</v>
      </c>
      <c r="Y2900" s="15" t="s">
        <v>35</v>
      </c>
      <c r="Z2900" s="19">
        <v>0</v>
      </c>
      <c r="AA2900" s="15">
        <v>0</v>
      </c>
      <c r="AB2900" s="15" t="s">
        <v>35</v>
      </c>
    </row>
    <row r="2901">
      <c r="A2901" s="15">
        <v>2897</v>
      </c>
      <c r="B2901" s="15" t="s">
        <v>61</v>
      </c>
      <c r="C2901" s="15" t="s">
        <v>904</v>
      </c>
      <c r="D2901" s="15" t="s">
        <v>35</v>
      </c>
      <c r="E2901" s="15" t="s">
        <v>35</v>
      </c>
      <c r="F2901" s="15" t="s">
        <v>35</v>
      </c>
      <c r="G2901" s="15" t="s">
        <v>36</v>
      </c>
      <c r="H2901" s="15" t="s">
        <v>14799</v>
      </c>
      <c r="I2901" s="15" t="s">
        <v>14800</v>
      </c>
      <c r="J2901" s="15" t="s">
        <v>14801</v>
      </c>
      <c r="K2901" s="15" t="s">
        <v>40</v>
      </c>
      <c r="L2901" s="15" t="s">
        <v>41</v>
      </c>
      <c r="M2901" s="15" t="s">
        <v>66</v>
      </c>
      <c r="N2901" s="15" t="s">
        <v>67</v>
      </c>
      <c r="O2901" s="15" t="s">
        <v>44</v>
      </c>
      <c r="P2901" s="15" t="s">
        <v>14802</v>
      </c>
      <c r="Q2901" s="15" t="s">
        <v>14803</v>
      </c>
      <c r="R2901" s="16">
        <v>44329</v>
      </c>
      <c r="S2901" s="17" t="s">
        <v>70</v>
      </c>
      <c r="T2901" s="20">
        <f>HYPERLINK("https://vnm.spiral.com.vn//uploaded/20210513/6F5E17E6-13FF-4E98-BA21-150094B446CB.jpg","07:50:20")</f>
      </c>
      <c r="U2901" s="18"/>
      <c r="V2901" s="18" t="s">
        <v>35</v>
      </c>
      <c r="W2901" s="15" t="s">
        <v>14804</v>
      </c>
      <c r="X2901" s="15" t="s">
        <v>35</v>
      </c>
      <c r="Y2901" s="15" t="s">
        <v>35</v>
      </c>
      <c r="Z2901" s="19">
        <v>0</v>
      </c>
      <c r="AA2901" s="15">
        <v>0</v>
      </c>
      <c r="AB2901" s="15" t="s">
        <v>35</v>
      </c>
    </row>
    <row r="2902">
      <c r="A2902" s="15">
        <v>2898</v>
      </c>
      <c r="B2902" s="15" t="s">
        <v>49</v>
      </c>
      <c r="C2902" s="15" t="s">
        <v>162</v>
      </c>
      <c r="D2902" s="15" t="s">
        <v>35</v>
      </c>
      <c r="E2902" s="15" t="s">
        <v>35</v>
      </c>
      <c r="F2902" s="15" t="s">
        <v>1850</v>
      </c>
      <c r="G2902" s="15" t="s">
        <v>36</v>
      </c>
      <c r="H2902" s="15" t="s">
        <v>14805</v>
      </c>
      <c r="I2902" s="15" t="s">
        <v>14806</v>
      </c>
      <c r="J2902" s="15" t="s">
        <v>14807</v>
      </c>
      <c r="K2902" s="15" t="s">
        <v>40</v>
      </c>
      <c r="L2902" s="15" t="s">
        <v>41</v>
      </c>
      <c r="M2902" s="15" t="s">
        <v>55</v>
      </c>
      <c r="N2902" s="15" t="s">
        <v>56</v>
      </c>
      <c r="O2902" s="15" t="s">
        <v>44</v>
      </c>
      <c r="P2902" s="15" t="s">
        <v>14808</v>
      </c>
      <c r="Q2902" s="15" t="s">
        <v>3359</v>
      </c>
      <c r="R2902" s="16">
        <v>44329</v>
      </c>
      <c r="S2902" s="17" t="s">
        <v>14566</v>
      </c>
      <c r="T2902" s="20">
        <f>HYPERLINK("https://vnm.spiral.com.vn//uploaded/20210513/53AF31F1-3F4A-459B-AD6F-90A4C8F3DCAC.jpg","07:50:01")</f>
      </c>
      <c r="U2902" s="18"/>
      <c r="V2902" s="18" t="s">
        <v>35</v>
      </c>
      <c r="W2902" s="15" t="s">
        <v>14809</v>
      </c>
      <c r="X2902" s="15" t="s">
        <v>35</v>
      </c>
      <c r="Y2902" s="15" t="s">
        <v>35</v>
      </c>
      <c r="Z2902" s="19">
        <v>0</v>
      </c>
      <c r="AA2902" s="15">
        <v>0</v>
      </c>
      <c r="AB2902" s="15" t="s">
        <v>35</v>
      </c>
    </row>
    <row r="2903">
      <c r="A2903" s="15">
        <v>2899</v>
      </c>
      <c r="B2903" s="15" t="s">
        <v>343</v>
      </c>
      <c r="C2903" s="15" t="s">
        <v>344</v>
      </c>
      <c r="D2903" s="15" t="s">
        <v>1644</v>
      </c>
      <c r="E2903" s="15" t="s">
        <v>35</v>
      </c>
      <c r="F2903" s="15" t="s">
        <v>35</v>
      </c>
      <c r="G2903" s="15" t="s">
        <v>74</v>
      </c>
      <c r="H2903" s="15" t="s">
        <v>14810</v>
      </c>
      <c r="I2903" s="15" t="s">
        <v>14811</v>
      </c>
      <c r="J2903" s="15" t="s">
        <v>14812</v>
      </c>
      <c r="K2903" s="15" t="s">
        <v>584</v>
      </c>
      <c r="L2903" s="15" t="s">
        <v>585</v>
      </c>
      <c r="M2903" s="15" t="s">
        <v>827</v>
      </c>
      <c r="N2903" s="15" t="s">
        <v>828</v>
      </c>
      <c r="O2903" s="15" t="s">
        <v>82</v>
      </c>
      <c r="P2903" s="15" t="s">
        <v>2484</v>
      </c>
      <c r="Q2903" s="15" t="s">
        <v>2485</v>
      </c>
      <c r="R2903" s="16">
        <v>44329</v>
      </c>
      <c r="S2903" s="17" t="s">
        <v>70</v>
      </c>
      <c r="T2903" s="20">
        <f>HYPERLINK("https://vnm.spiral.com.vn//uploaded/20210513/5BB582BA-5E9B-4E44-B4BF-5EC04541C3D2.jpg","07:32:55")</f>
      </c>
      <c r="U2903" s="20">
        <f>HYPERLINK("https://vnm.spiral.com.vn//uploaded/20210513/EECA2749-9C24-43FC-A439-551727576CE5.jpg","07:49:50")</f>
      </c>
      <c r="V2903" s="18">
        <v>0.011747685185185186</v>
      </c>
      <c r="W2903" s="15" t="s">
        <v>14813</v>
      </c>
      <c r="X2903" s="15" t="s">
        <v>14814</v>
      </c>
      <c r="Y2903" s="15" t="s">
        <v>35</v>
      </c>
      <c r="Z2903" s="19">
        <v>0</v>
      </c>
      <c r="AA2903" s="15">
        <v>0</v>
      </c>
      <c r="AB2903" s="15" t="s">
        <v>35</v>
      </c>
    </row>
    <row r="2904">
      <c r="A2904" s="15">
        <v>2900</v>
      </c>
      <c r="B2904" s="15" t="s">
        <v>343</v>
      </c>
      <c r="C2904" s="15" t="s">
        <v>344</v>
      </c>
      <c r="D2904" s="15" t="s">
        <v>35</v>
      </c>
      <c r="E2904" s="15" t="s">
        <v>35</v>
      </c>
      <c r="F2904" s="15" t="s">
        <v>35</v>
      </c>
      <c r="G2904" s="15" t="s">
        <v>36</v>
      </c>
      <c r="H2904" s="15" t="s">
        <v>14815</v>
      </c>
      <c r="I2904" s="15" t="s">
        <v>14816</v>
      </c>
      <c r="J2904" s="15" t="s">
        <v>14817</v>
      </c>
      <c r="K2904" s="15" t="s">
        <v>40</v>
      </c>
      <c r="L2904" s="15" t="s">
        <v>41</v>
      </c>
      <c r="M2904" s="15" t="s">
        <v>409</v>
      </c>
      <c r="N2904" s="15" t="s">
        <v>410</v>
      </c>
      <c r="O2904" s="15" t="s">
        <v>44</v>
      </c>
      <c r="P2904" s="15" t="s">
        <v>14818</v>
      </c>
      <c r="Q2904" s="15" t="s">
        <v>14819</v>
      </c>
      <c r="R2904" s="16">
        <v>44329</v>
      </c>
      <c r="S2904" s="17" t="s">
        <v>70</v>
      </c>
      <c r="T2904" s="20">
        <f>HYPERLINK("https://vnm.spiral.com.vn//uploaded/20210513/46fdb7fe-38fb-4c1d-831a-a9c9bb152274.JPEG","07:49:37")</f>
      </c>
      <c r="U2904" s="18"/>
      <c r="V2904" s="18" t="s">
        <v>35</v>
      </c>
      <c r="W2904" s="15" t="s">
        <v>14820</v>
      </c>
      <c r="X2904" s="15" t="s">
        <v>35</v>
      </c>
      <c r="Y2904" s="15" t="s">
        <v>35</v>
      </c>
      <c r="Z2904" s="19">
        <v>0</v>
      </c>
      <c r="AA2904" s="15">
        <v>0</v>
      </c>
      <c r="AB2904" s="15" t="s">
        <v>35</v>
      </c>
    </row>
    <row r="2905">
      <c r="A2905" s="15">
        <v>2901</v>
      </c>
      <c r="B2905" s="15" t="s">
        <v>246</v>
      </c>
      <c r="C2905" s="15" t="s">
        <v>247</v>
      </c>
      <c r="D2905" s="15" t="s">
        <v>35</v>
      </c>
      <c r="E2905" s="15" t="s">
        <v>35</v>
      </c>
      <c r="F2905" s="15" t="s">
        <v>248</v>
      </c>
      <c r="G2905" s="15" t="s">
        <v>36</v>
      </c>
      <c r="H2905" s="15" t="s">
        <v>14821</v>
      </c>
      <c r="I2905" s="15" t="s">
        <v>14822</v>
      </c>
      <c r="J2905" s="15" t="s">
        <v>14823</v>
      </c>
      <c r="K2905" s="15" t="s">
        <v>40</v>
      </c>
      <c r="L2905" s="15" t="s">
        <v>41</v>
      </c>
      <c r="M2905" s="15" t="s">
        <v>252</v>
      </c>
      <c r="N2905" s="15" t="s">
        <v>253</v>
      </c>
      <c r="O2905" s="15" t="s">
        <v>44</v>
      </c>
      <c r="P2905" s="15" t="s">
        <v>14824</v>
      </c>
      <c r="Q2905" s="15" t="s">
        <v>7481</v>
      </c>
      <c r="R2905" s="16">
        <v>44329</v>
      </c>
      <c r="S2905" s="17" t="s">
        <v>225</v>
      </c>
      <c r="T2905" s="20">
        <f>HYPERLINK("https://vnm.spiral.com.vn//uploaded/20210513/20d4ae69-9402-4bc4-82e7-daba6479afeb.JPEG","07:49:32")</f>
      </c>
      <c r="U2905" s="18"/>
      <c r="V2905" s="18" t="s">
        <v>35</v>
      </c>
      <c r="W2905" s="15" t="s">
        <v>14825</v>
      </c>
      <c r="X2905" s="15" t="s">
        <v>35</v>
      </c>
      <c r="Y2905" s="15" t="s">
        <v>35</v>
      </c>
      <c r="Z2905" s="19">
        <v>0</v>
      </c>
      <c r="AA2905" s="15">
        <v>0</v>
      </c>
      <c r="AB2905" s="15" t="s">
        <v>35</v>
      </c>
    </row>
    <row r="2906">
      <c r="A2906" s="15">
        <v>2902</v>
      </c>
      <c r="B2906" s="15" t="s">
        <v>61</v>
      </c>
      <c r="C2906" s="15" t="s">
        <v>904</v>
      </c>
      <c r="D2906" s="15" t="s">
        <v>35</v>
      </c>
      <c r="E2906" s="15" t="s">
        <v>35</v>
      </c>
      <c r="F2906" s="15" t="s">
        <v>35</v>
      </c>
      <c r="G2906" s="15" t="s">
        <v>36</v>
      </c>
      <c r="H2906" s="15" t="s">
        <v>14826</v>
      </c>
      <c r="I2906" s="15" t="s">
        <v>4124</v>
      </c>
      <c r="J2906" s="15" t="s">
        <v>14827</v>
      </c>
      <c r="K2906" s="15" t="s">
        <v>40</v>
      </c>
      <c r="L2906" s="15" t="s">
        <v>41</v>
      </c>
      <c r="M2906" s="15" t="s">
        <v>66</v>
      </c>
      <c r="N2906" s="15" t="s">
        <v>67</v>
      </c>
      <c r="O2906" s="15" t="s">
        <v>44</v>
      </c>
      <c r="P2906" s="15" t="s">
        <v>14828</v>
      </c>
      <c r="Q2906" s="15" t="s">
        <v>14829</v>
      </c>
      <c r="R2906" s="16">
        <v>44329</v>
      </c>
      <c r="S2906" s="17" t="s">
        <v>70</v>
      </c>
      <c r="T2906" s="20">
        <f>HYPERLINK("https://vnm.spiral.com.vn//uploaded/20210513/3d2a37d9-ce13-4c6e-af3f-db3f170f2763.JPEG","07:49:31")</f>
      </c>
      <c r="U2906" s="18"/>
      <c r="V2906" s="18" t="s">
        <v>35</v>
      </c>
      <c r="W2906" s="15" t="s">
        <v>14830</v>
      </c>
      <c r="X2906" s="15" t="s">
        <v>35</v>
      </c>
      <c r="Y2906" s="15" t="s">
        <v>35</v>
      </c>
      <c r="Z2906" s="19">
        <v>0</v>
      </c>
      <c r="AA2906" s="15">
        <v>0</v>
      </c>
      <c r="AB2906" s="15" t="s">
        <v>35</v>
      </c>
    </row>
    <row r="2907">
      <c r="A2907" s="15">
        <v>2903</v>
      </c>
      <c r="B2907" s="15" t="s">
        <v>61</v>
      </c>
      <c r="C2907" s="15" t="s">
        <v>147</v>
      </c>
      <c r="D2907" s="15" t="s">
        <v>35</v>
      </c>
      <c r="E2907" s="15" t="s">
        <v>35</v>
      </c>
      <c r="F2907" s="15" t="s">
        <v>35</v>
      </c>
      <c r="G2907" s="15" t="s">
        <v>36</v>
      </c>
      <c r="H2907" s="15" t="s">
        <v>14831</v>
      </c>
      <c r="I2907" s="15" t="s">
        <v>14832</v>
      </c>
      <c r="J2907" s="15" t="s">
        <v>14833</v>
      </c>
      <c r="K2907" s="15" t="s">
        <v>40</v>
      </c>
      <c r="L2907" s="15" t="s">
        <v>41</v>
      </c>
      <c r="M2907" s="15" t="s">
        <v>66</v>
      </c>
      <c r="N2907" s="15" t="s">
        <v>67</v>
      </c>
      <c r="O2907" s="15" t="s">
        <v>44</v>
      </c>
      <c r="P2907" s="15" t="s">
        <v>14834</v>
      </c>
      <c r="Q2907" s="15" t="s">
        <v>14835</v>
      </c>
      <c r="R2907" s="16">
        <v>44329</v>
      </c>
      <c r="S2907" s="17" t="s">
        <v>1112</v>
      </c>
      <c r="T2907" s="20">
        <f>HYPERLINK("https://vnm.spiral.com.vn//uploaded/20210513/1c16dc73-b8f3-42d0-8c69-66b57fb097f6.JPEG","07:48:21")</f>
      </c>
      <c r="U2907" s="18"/>
      <c r="V2907" s="18" t="s">
        <v>35</v>
      </c>
      <c r="W2907" s="15" t="s">
        <v>14836</v>
      </c>
      <c r="X2907" s="15" t="s">
        <v>35</v>
      </c>
      <c r="Y2907" s="15" t="s">
        <v>35</v>
      </c>
      <c r="Z2907" s="19">
        <v>0</v>
      </c>
      <c r="AA2907" s="15">
        <v>0</v>
      </c>
      <c r="AB2907" s="15" t="s">
        <v>35</v>
      </c>
    </row>
    <row r="2908">
      <c r="A2908" s="15">
        <v>2904</v>
      </c>
      <c r="B2908" s="15" t="s">
        <v>343</v>
      </c>
      <c r="C2908" s="15" t="s">
        <v>645</v>
      </c>
      <c r="D2908" s="15" t="s">
        <v>35</v>
      </c>
      <c r="E2908" s="15" t="s">
        <v>35</v>
      </c>
      <c r="F2908" s="15" t="s">
        <v>35</v>
      </c>
      <c r="G2908" s="15" t="s">
        <v>36</v>
      </c>
      <c r="H2908" s="15" t="s">
        <v>14837</v>
      </c>
      <c r="I2908" s="15" t="s">
        <v>14838</v>
      </c>
      <c r="J2908" s="15" t="s">
        <v>14839</v>
      </c>
      <c r="K2908" s="15" t="s">
        <v>40</v>
      </c>
      <c r="L2908" s="15" t="s">
        <v>41</v>
      </c>
      <c r="M2908" s="15" t="s">
        <v>42</v>
      </c>
      <c r="N2908" s="15" t="s">
        <v>43</v>
      </c>
      <c r="O2908" s="15" t="s">
        <v>44</v>
      </c>
      <c r="P2908" s="15" t="s">
        <v>14840</v>
      </c>
      <c r="Q2908" s="15" t="s">
        <v>14841</v>
      </c>
      <c r="R2908" s="16">
        <v>44329</v>
      </c>
      <c r="S2908" s="17" t="s">
        <v>14566</v>
      </c>
      <c r="T2908" s="20">
        <f>HYPERLINK("https://vnm.spiral.com.vn//uploaded/20210513/0F850A30-D333-4BEA-8313-F0DFA37B2867.jpg","07:48:11")</f>
      </c>
      <c r="U2908" s="18"/>
      <c r="V2908" s="18" t="s">
        <v>35</v>
      </c>
      <c r="W2908" s="15" t="s">
        <v>14842</v>
      </c>
      <c r="X2908" s="15" t="s">
        <v>35</v>
      </c>
      <c r="Y2908" s="15" t="s">
        <v>35</v>
      </c>
      <c r="Z2908" s="19">
        <v>0</v>
      </c>
      <c r="AA2908" s="15">
        <v>0</v>
      </c>
      <c r="AB2908" s="15" t="s">
        <v>35</v>
      </c>
    </row>
    <row r="2909">
      <c r="A2909" s="15">
        <v>2905</v>
      </c>
      <c r="B2909" s="15" t="s">
        <v>33</v>
      </c>
      <c r="C2909" s="15" t="s">
        <v>2883</v>
      </c>
      <c r="D2909" s="15" t="s">
        <v>35</v>
      </c>
      <c r="E2909" s="15" t="s">
        <v>35</v>
      </c>
      <c r="F2909" s="15" t="s">
        <v>35</v>
      </c>
      <c r="G2909" s="15" t="s">
        <v>36</v>
      </c>
      <c r="H2909" s="15" t="s">
        <v>14843</v>
      </c>
      <c r="I2909" s="15" t="s">
        <v>14844</v>
      </c>
      <c r="J2909" s="15" t="s">
        <v>14845</v>
      </c>
      <c r="K2909" s="15" t="s">
        <v>40</v>
      </c>
      <c r="L2909" s="15" t="s">
        <v>41</v>
      </c>
      <c r="M2909" s="15" t="s">
        <v>42</v>
      </c>
      <c r="N2909" s="15" t="s">
        <v>43</v>
      </c>
      <c r="O2909" s="15" t="s">
        <v>44</v>
      </c>
      <c r="P2909" s="15" t="s">
        <v>14846</v>
      </c>
      <c r="Q2909" s="15" t="s">
        <v>14847</v>
      </c>
      <c r="R2909" s="16">
        <v>44329</v>
      </c>
      <c r="S2909" s="17" t="s">
        <v>70</v>
      </c>
      <c r="T2909" s="20">
        <f>HYPERLINK("https://vnm.spiral.com.vn//uploaded/20210513/a0c738d8-fe89-45a6-ad7f-76ac42f86350.JPEG","07:48:09")</f>
      </c>
      <c r="U2909" s="18"/>
      <c r="V2909" s="18" t="s">
        <v>35</v>
      </c>
      <c r="W2909" s="15" t="s">
        <v>14848</v>
      </c>
      <c r="X2909" s="15" t="s">
        <v>35</v>
      </c>
      <c r="Y2909" s="15" t="s">
        <v>35</v>
      </c>
      <c r="Z2909" s="19">
        <v>0</v>
      </c>
      <c r="AA2909" s="15">
        <v>0</v>
      </c>
      <c r="AB2909" s="15" t="s">
        <v>35</v>
      </c>
    </row>
    <row r="2910">
      <c r="A2910" s="15">
        <v>2906</v>
      </c>
      <c r="B2910" s="15" t="s">
        <v>33</v>
      </c>
      <c r="C2910" s="15" t="s">
        <v>2883</v>
      </c>
      <c r="D2910" s="15" t="s">
        <v>35</v>
      </c>
      <c r="E2910" s="15" t="s">
        <v>35</v>
      </c>
      <c r="F2910" s="15" t="s">
        <v>35</v>
      </c>
      <c r="G2910" s="15" t="s">
        <v>36</v>
      </c>
      <c r="H2910" s="15" t="s">
        <v>14849</v>
      </c>
      <c r="I2910" s="15" t="s">
        <v>808</v>
      </c>
      <c r="J2910" s="15" t="s">
        <v>14850</v>
      </c>
      <c r="K2910" s="15" t="s">
        <v>40</v>
      </c>
      <c r="L2910" s="15" t="s">
        <v>41</v>
      </c>
      <c r="M2910" s="15" t="s">
        <v>42</v>
      </c>
      <c r="N2910" s="15" t="s">
        <v>43</v>
      </c>
      <c r="O2910" s="15" t="s">
        <v>44</v>
      </c>
      <c r="P2910" s="15" t="s">
        <v>14851</v>
      </c>
      <c r="Q2910" s="15" t="s">
        <v>14852</v>
      </c>
      <c r="R2910" s="16">
        <v>44329</v>
      </c>
      <c r="S2910" s="17" t="s">
        <v>70</v>
      </c>
      <c r="T2910" s="20">
        <f>HYPERLINK("https://vnm.spiral.com.vn//uploaded/20210513/a68eaefa-ee04-4cd8-a15a-0689395eeb29.JPEG","07:46:59")</f>
      </c>
      <c r="U2910" s="18"/>
      <c r="V2910" s="18" t="s">
        <v>35</v>
      </c>
      <c r="W2910" s="15" t="s">
        <v>14853</v>
      </c>
      <c r="X2910" s="15" t="s">
        <v>35</v>
      </c>
      <c r="Y2910" s="15" t="s">
        <v>35</v>
      </c>
      <c r="Z2910" s="19">
        <v>0</v>
      </c>
      <c r="AA2910" s="15">
        <v>0</v>
      </c>
      <c r="AB2910" s="15" t="s">
        <v>35</v>
      </c>
    </row>
    <row r="2911">
      <c r="A2911" s="15">
        <v>2907</v>
      </c>
      <c r="B2911" s="15" t="s">
        <v>33</v>
      </c>
      <c r="C2911" s="15" t="s">
        <v>2883</v>
      </c>
      <c r="D2911" s="15" t="s">
        <v>35</v>
      </c>
      <c r="E2911" s="15" t="s">
        <v>35</v>
      </c>
      <c r="F2911" s="15" t="s">
        <v>35</v>
      </c>
      <c r="G2911" s="15" t="s">
        <v>36</v>
      </c>
      <c r="H2911" s="15" t="s">
        <v>14854</v>
      </c>
      <c r="I2911" s="15" t="s">
        <v>14855</v>
      </c>
      <c r="J2911" s="15" t="s">
        <v>14856</v>
      </c>
      <c r="K2911" s="15" t="s">
        <v>40</v>
      </c>
      <c r="L2911" s="15" t="s">
        <v>41</v>
      </c>
      <c r="M2911" s="15" t="s">
        <v>42</v>
      </c>
      <c r="N2911" s="15" t="s">
        <v>43</v>
      </c>
      <c r="O2911" s="15" t="s">
        <v>44</v>
      </c>
      <c r="P2911" s="15" t="s">
        <v>14857</v>
      </c>
      <c r="Q2911" s="15" t="s">
        <v>14858</v>
      </c>
      <c r="R2911" s="16">
        <v>44329</v>
      </c>
      <c r="S2911" s="17" t="s">
        <v>70</v>
      </c>
      <c r="T2911" s="20">
        <f>HYPERLINK("https://vnm.spiral.com.vn//uploaded/20210513/dcefbc8a-6609-4090-aa12-448257f4ecfb.JPEG","07:46:59")</f>
      </c>
      <c r="U2911" s="18"/>
      <c r="V2911" s="18" t="s">
        <v>35</v>
      </c>
      <c r="W2911" s="15" t="s">
        <v>14859</v>
      </c>
      <c r="X2911" s="15" t="s">
        <v>35</v>
      </c>
      <c r="Y2911" s="15" t="s">
        <v>35</v>
      </c>
      <c r="Z2911" s="19">
        <v>0</v>
      </c>
      <c r="AA2911" s="15">
        <v>0</v>
      </c>
      <c r="AB2911" s="15" t="s">
        <v>35</v>
      </c>
    </row>
    <row r="2912">
      <c r="A2912" s="15">
        <v>2908</v>
      </c>
      <c r="B2912" s="15" t="s">
        <v>61</v>
      </c>
      <c r="C2912" s="15" t="s">
        <v>62</v>
      </c>
      <c r="D2912" s="15" t="s">
        <v>35</v>
      </c>
      <c r="E2912" s="15" t="s">
        <v>35</v>
      </c>
      <c r="F2912" s="15" t="s">
        <v>35</v>
      </c>
      <c r="G2912" s="15" t="s">
        <v>36</v>
      </c>
      <c r="H2912" s="15" t="s">
        <v>14860</v>
      </c>
      <c r="I2912" s="15" t="s">
        <v>14861</v>
      </c>
      <c r="J2912" s="15" t="s">
        <v>14862</v>
      </c>
      <c r="K2912" s="15" t="s">
        <v>40</v>
      </c>
      <c r="L2912" s="15" t="s">
        <v>41</v>
      </c>
      <c r="M2912" s="15" t="s">
        <v>66</v>
      </c>
      <c r="N2912" s="15" t="s">
        <v>67</v>
      </c>
      <c r="O2912" s="15" t="s">
        <v>44</v>
      </c>
      <c r="P2912" s="15" t="s">
        <v>14863</v>
      </c>
      <c r="Q2912" s="15" t="s">
        <v>14864</v>
      </c>
      <c r="R2912" s="16">
        <v>44329</v>
      </c>
      <c r="S2912" s="17" t="s">
        <v>70</v>
      </c>
      <c r="T2912" s="20">
        <f>HYPERLINK("https://vnm.spiral.com.vn//uploaded/20210513/12f5abf7-cd9f-4e71-be70-257a1b35d572.JPEG","07:46:25")</f>
      </c>
      <c r="U2912" s="18"/>
      <c r="V2912" s="18" t="s">
        <v>35</v>
      </c>
      <c r="W2912" s="15" t="s">
        <v>14865</v>
      </c>
      <c r="X2912" s="15" t="s">
        <v>35</v>
      </c>
      <c r="Y2912" s="15" t="s">
        <v>35</v>
      </c>
      <c r="Z2912" s="19">
        <v>0</v>
      </c>
      <c r="AA2912" s="15">
        <v>0</v>
      </c>
      <c r="AB2912" s="15" t="s">
        <v>35</v>
      </c>
    </row>
    <row r="2913">
      <c r="A2913" s="15">
        <v>2909</v>
      </c>
      <c r="B2913" s="15" t="s">
        <v>61</v>
      </c>
      <c r="C2913" s="15" t="s">
        <v>904</v>
      </c>
      <c r="D2913" s="15" t="s">
        <v>35</v>
      </c>
      <c r="E2913" s="15" t="s">
        <v>35</v>
      </c>
      <c r="F2913" s="15" t="s">
        <v>1062</v>
      </c>
      <c r="G2913" s="15" t="s">
        <v>36</v>
      </c>
      <c r="H2913" s="15" t="s">
        <v>14866</v>
      </c>
      <c r="I2913" s="15" t="s">
        <v>14867</v>
      </c>
      <c r="J2913" s="15" t="s">
        <v>14868</v>
      </c>
      <c r="K2913" s="15" t="s">
        <v>40</v>
      </c>
      <c r="L2913" s="15" t="s">
        <v>41</v>
      </c>
      <c r="M2913" s="15" t="s">
        <v>66</v>
      </c>
      <c r="N2913" s="15" t="s">
        <v>67</v>
      </c>
      <c r="O2913" s="15" t="s">
        <v>44</v>
      </c>
      <c r="P2913" s="15" t="s">
        <v>14869</v>
      </c>
      <c r="Q2913" s="15" t="s">
        <v>14870</v>
      </c>
      <c r="R2913" s="16">
        <v>44329</v>
      </c>
      <c r="S2913" s="17" t="s">
        <v>70</v>
      </c>
      <c r="T2913" s="20">
        <f>HYPERLINK("https://vnm.spiral.com.vn//uploaded/20210513/472129a7-aeea-44bc-91dc-e148db1b9be4.JPEG","07:45:52")</f>
      </c>
      <c r="U2913" s="18"/>
      <c r="V2913" s="18" t="s">
        <v>35</v>
      </c>
      <c r="W2913" s="15" t="s">
        <v>14871</v>
      </c>
      <c r="X2913" s="15" t="s">
        <v>35</v>
      </c>
      <c r="Y2913" s="15" t="s">
        <v>35</v>
      </c>
      <c r="Z2913" s="19">
        <v>0</v>
      </c>
      <c r="AA2913" s="15">
        <v>0</v>
      </c>
      <c r="AB2913" s="15" t="s">
        <v>35</v>
      </c>
    </row>
    <row r="2914">
      <c r="A2914" s="15">
        <v>2910</v>
      </c>
      <c r="B2914" s="15" t="s">
        <v>61</v>
      </c>
      <c r="C2914" s="15" t="s">
        <v>904</v>
      </c>
      <c r="D2914" s="15" t="s">
        <v>35</v>
      </c>
      <c r="E2914" s="15" t="s">
        <v>35</v>
      </c>
      <c r="F2914" s="15" t="s">
        <v>35</v>
      </c>
      <c r="G2914" s="15" t="s">
        <v>36</v>
      </c>
      <c r="H2914" s="15" t="s">
        <v>14872</v>
      </c>
      <c r="I2914" s="15" t="s">
        <v>14873</v>
      </c>
      <c r="J2914" s="15" t="s">
        <v>14874</v>
      </c>
      <c r="K2914" s="15" t="s">
        <v>40</v>
      </c>
      <c r="L2914" s="15" t="s">
        <v>41</v>
      </c>
      <c r="M2914" s="15" t="s">
        <v>66</v>
      </c>
      <c r="N2914" s="15" t="s">
        <v>67</v>
      </c>
      <c r="O2914" s="15" t="s">
        <v>44</v>
      </c>
      <c r="P2914" s="15" t="s">
        <v>14875</v>
      </c>
      <c r="Q2914" s="15" t="s">
        <v>14876</v>
      </c>
      <c r="R2914" s="16">
        <v>44329</v>
      </c>
      <c r="S2914" s="17" t="s">
        <v>70</v>
      </c>
      <c r="T2914" s="20">
        <f>HYPERLINK("https://vnm.spiral.com.vn//uploaded/20210513/3d88776a-3949-4fd7-b47b-17474d207f16.JPEG","07:45:46")</f>
      </c>
      <c r="U2914" s="18"/>
      <c r="V2914" s="18" t="s">
        <v>35</v>
      </c>
      <c r="W2914" s="15" t="s">
        <v>14877</v>
      </c>
      <c r="X2914" s="15" t="s">
        <v>35</v>
      </c>
      <c r="Y2914" s="15" t="s">
        <v>35</v>
      </c>
      <c r="Z2914" s="19">
        <v>0</v>
      </c>
      <c r="AA2914" s="15">
        <v>0</v>
      </c>
      <c r="AB2914" s="15" t="s">
        <v>35</v>
      </c>
    </row>
    <row r="2915">
      <c r="A2915" s="15">
        <v>2911</v>
      </c>
      <c r="B2915" s="15" t="s">
        <v>246</v>
      </c>
      <c r="C2915" s="15" t="s">
        <v>782</v>
      </c>
      <c r="D2915" s="15" t="s">
        <v>35</v>
      </c>
      <c r="E2915" s="15" t="s">
        <v>35</v>
      </c>
      <c r="F2915" s="15" t="s">
        <v>5859</v>
      </c>
      <c r="G2915" s="15" t="s">
        <v>36</v>
      </c>
      <c r="H2915" s="15" t="s">
        <v>14878</v>
      </c>
      <c r="I2915" s="15" t="s">
        <v>14879</v>
      </c>
      <c r="J2915" s="15" t="s">
        <v>14880</v>
      </c>
      <c r="K2915" s="15" t="s">
        <v>40</v>
      </c>
      <c r="L2915" s="15" t="s">
        <v>41</v>
      </c>
      <c r="M2915" s="15" t="s">
        <v>252</v>
      </c>
      <c r="N2915" s="15" t="s">
        <v>253</v>
      </c>
      <c r="O2915" s="15" t="s">
        <v>44</v>
      </c>
      <c r="P2915" s="15" t="s">
        <v>14881</v>
      </c>
      <c r="Q2915" s="15" t="s">
        <v>14882</v>
      </c>
      <c r="R2915" s="16">
        <v>44329</v>
      </c>
      <c r="S2915" s="17" t="s">
        <v>14324</v>
      </c>
      <c r="T2915" s="20">
        <f>HYPERLINK("https://vnm.spiral.com.vn//uploaded/20210513/703dc807-6e71-49a0-8c45-50f40ce2d420.JPEG","07:45:12")</f>
      </c>
      <c r="U2915" s="18"/>
      <c r="V2915" s="18" t="s">
        <v>35</v>
      </c>
      <c r="W2915" s="15" t="s">
        <v>14883</v>
      </c>
      <c r="X2915" s="15" t="s">
        <v>35</v>
      </c>
      <c r="Y2915" s="15" t="s">
        <v>35</v>
      </c>
      <c r="Z2915" s="19">
        <v>0</v>
      </c>
      <c r="AA2915" s="15">
        <v>0</v>
      </c>
      <c r="AB2915" s="15" t="s">
        <v>35</v>
      </c>
    </row>
    <row r="2916">
      <c r="A2916" s="15">
        <v>2912</v>
      </c>
      <c r="B2916" s="15" t="s">
        <v>33</v>
      </c>
      <c r="C2916" s="15" t="s">
        <v>211</v>
      </c>
      <c r="D2916" s="15" t="s">
        <v>35</v>
      </c>
      <c r="E2916" s="15" t="s">
        <v>35</v>
      </c>
      <c r="F2916" s="15" t="s">
        <v>35</v>
      </c>
      <c r="G2916" s="15" t="s">
        <v>36</v>
      </c>
      <c r="H2916" s="15" t="s">
        <v>14884</v>
      </c>
      <c r="I2916" s="15" t="s">
        <v>14885</v>
      </c>
      <c r="J2916" s="15" t="s">
        <v>14886</v>
      </c>
      <c r="K2916" s="15" t="s">
        <v>40</v>
      </c>
      <c r="L2916" s="15" t="s">
        <v>41</v>
      </c>
      <c r="M2916" s="15" t="s">
        <v>42</v>
      </c>
      <c r="N2916" s="15" t="s">
        <v>43</v>
      </c>
      <c r="O2916" s="15" t="s">
        <v>44</v>
      </c>
      <c r="P2916" s="15" t="s">
        <v>14887</v>
      </c>
      <c r="Q2916" s="15" t="s">
        <v>6266</v>
      </c>
      <c r="R2916" s="16">
        <v>44329</v>
      </c>
      <c r="S2916" s="17" t="s">
        <v>14324</v>
      </c>
      <c r="T2916" s="20">
        <f>HYPERLINK("https://vnm.spiral.com.vn//uploaded/20210513/84F3E16D-43B1-4D70-80E1-6722836435CC.jpg","07:44:54")</f>
      </c>
      <c r="U2916" s="18"/>
      <c r="V2916" s="18" t="s">
        <v>35</v>
      </c>
      <c r="W2916" s="15" t="s">
        <v>14888</v>
      </c>
      <c r="X2916" s="15" t="s">
        <v>35</v>
      </c>
      <c r="Y2916" s="15" t="s">
        <v>35</v>
      </c>
      <c r="Z2916" s="19">
        <v>0</v>
      </c>
      <c r="AA2916" s="15">
        <v>0</v>
      </c>
      <c r="AB2916" s="15" t="s">
        <v>35</v>
      </c>
    </row>
    <row r="2917">
      <c r="A2917" s="15">
        <v>2913</v>
      </c>
      <c r="B2917" s="15" t="s">
        <v>87</v>
      </c>
      <c r="C2917" s="15" t="s">
        <v>88</v>
      </c>
      <c r="D2917" s="15" t="s">
        <v>89</v>
      </c>
      <c r="E2917" s="15" t="s">
        <v>90</v>
      </c>
      <c r="F2917" s="15" t="s">
        <v>35</v>
      </c>
      <c r="G2917" s="15" t="s">
        <v>74</v>
      </c>
      <c r="H2917" s="15" t="s">
        <v>14889</v>
      </c>
      <c r="I2917" s="15" t="s">
        <v>14890</v>
      </c>
      <c r="J2917" s="15" t="s">
        <v>14891</v>
      </c>
      <c r="K2917" s="15" t="s">
        <v>96</v>
      </c>
      <c r="L2917" s="15" t="s">
        <v>97</v>
      </c>
      <c r="M2917" s="15" t="s">
        <v>1279</v>
      </c>
      <c r="N2917" s="15" t="s">
        <v>1280</v>
      </c>
      <c r="O2917" s="15" t="s">
        <v>156</v>
      </c>
      <c r="P2917" s="15" t="s">
        <v>14892</v>
      </c>
      <c r="Q2917" s="15" t="s">
        <v>14893</v>
      </c>
      <c r="R2917" s="16">
        <v>44329</v>
      </c>
      <c r="S2917" s="17" t="s">
        <v>14162</v>
      </c>
      <c r="T2917" s="20">
        <f>HYPERLINK("https://vnm.spiral.com.vn//uploaded/20210513/88ad3341-8493-4107-9ddb-e6d728d301b9.JPEG","07:44:13")</f>
      </c>
      <c r="U2917" s="18"/>
      <c r="V2917" s="18" t="s">
        <v>35</v>
      </c>
      <c r="W2917" s="15" t="s">
        <v>14894</v>
      </c>
      <c r="X2917" s="15" t="s">
        <v>35</v>
      </c>
      <c r="Y2917" s="15" t="s">
        <v>35</v>
      </c>
      <c r="Z2917" s="19">
        <v>0</v>
      </c>
      <c r="AA2917" s="15">
        <v>0</v>
      </c>
      <c r="AB2917" s="15" t="s">
        <v>35</v>
      </c>
    </row>
    <row r="2918">
      <c r="A2918" s="15">
        <v>2914</v>
      </c>
      <c r="B2918" s="15" t="s">
        <v>103</v>
      </c>
      <c r="C2918" s="15" t="s">
        <v>186</v>
      </c>
      <c r="D2918" s="15" t="s">
        <v>35</v>
      </c>
      <c r="E2918" s="15" t="s">
        <v>35</v>
      </c>
      <c r="F2918" s="15" t="s">
        <v>5018</v>
      </c>
      <c r="G2918" s="15" t="s">
        <v>36</v>
      </c>
      <c r="H2918" s="15" t="s">
        <v>14895</v>
      </c>
      <c r="I2918" s="15" t="s">
        <v>14896</v>
      </c>
      <c r="J2918" s="15" t="s">
        <v>14897</v>
      </c>
      <c r="K2918" s="15" t="s">
        <v>40</v>
      </c>
      <c r="L2918" s="15" t="s">
        <v>41</v>
      </c>
      <c r="M2918" s="15" t="s">
        <v>565</v>
      </c>
      <c r="N2918" s="15" t="s">
        <v>566</v>
      </c>
      <c r="O2918" s="15" t="s">
        <v>44</v>
      </c>
      <c r="P2918" s="15" t="s">
        <v>14898</v>
      </c>
      <c r="Q2918" s="15" t="s">
        <v>898</v>
      </c>
      <c r="R2918" s="16">
        <v>44329</v>
      </c>
      <c r="S2918" s="17" t="s">
        <v>475</v>
      </c>
      <c r="T2918" s="20">
        <f>HYPERLINK("https://vnm.spiral.com.vn//uploaded/20210513/4C90C57D-E728-41E0-8FD8-6CE37EA7BFEA.jpg","07:43:20")</f>
      </c>
      <c r="U2918" s="18"/>
      <c r="V2918" s="18" t="s">
        <v>35</v>
      </c>
      <c r="W2918" s="15" t="s">
        <v>14899</v>
      </c>
      <c r="X2918" s="15" t="s">
        <v>35</v>
      </c>
      <c r="Y2918" s="15" t="s">
        <v>35</v>
      </c>
      <c r="Z2918" s="19">
        <v>0</v>
      </c>
      <c r="AA2918" s="15">
        <v>0</v>
      </c>
      <c r="AB2918" s="15" t="s">
        <v>35</v>
      </c>
    </row>
    <row r="2919">
      <c r="A2919" s="15">
        <v>2915</v>
      </c>
      <c r="B2919" s="15" t="s">
        <v>61</v>
      </c>
      <c r="C2919" s="15" t="s">
        <v>737</v>
      </c>
      <c r="D2919" s="15" t="s">
        <v>35</v>
      </c>
      <c r="E2919" s="15" t="s">
        <v>35</v>
      </c>
      <c r="F2919" s="15" t="s">
        <v>35</v>
      </c>
      <c r="G2919" s="15" t="s">
        <v>36</v>
      </c>
      <c r="H2919" s="15" t="s">
        <v>14900</v>
      </c>
      <c r="I2919" s="15" t="s">
        <v>14901</v>
      </c>
      <c r="J2919" s="15" t="s">
        <v>14902</v>
      </c>
      <c r="K2919" s="15" t="s">
        <v>40</v>
      </c>
      <c r="L2919" s="15" t="s">
        <v>41</v>
      </c>
      <c r="M2919" s="15" t="s">
        <v>205</v>
      </c>
      <c r="N2919" s="15" t="s">
        <v>206</v>
      </c>
      <c r="O2919" s="15" t="s">
        <v>44</v>
      </c>
      <c r="P2919" s="15" t="s">
        <v>14903</v>
      </c>
      <c r="Q2919" s="15" t="s">
        <v>14904</v>
      </c>
      <c r="R2919" s="16">
        <v>44329</v>
      </c>
      <c r="S2919" s="17" t="s">
        <v>70</v>
      </c>
      <c r="T2919" s="20">
        <f>HYPERLINK("https://vnm.spiral.com.vn//uploaded/20210513/A80FF19C-E73D-4718-92C9-90BAD53D4474.jpg","07:41:16")</f>
      </c>
      <c r="U2919" s="18"/>
      <c r="V2919" s="18" t="s">
        <v>35</v>
      </c>
      <c r="W2919" s="15" t="s">
        <v>14905</v>
      </c>
      <c r="X2919" s="15" t="s">
        <v>35</v>
      </c>
      <c r="Y2919" s="15" t="s">
        <v>35</v>
      </c>
      <c r="Z2919" s="19">
        <v>0</v>
      </c>
      <c r="AA2919" s="15">
        <v>0</v>
      </c>
      <c r="AB2919" s="15" t="s">
        <v>35</v>
      </c>
    </row>
    <row r="2920">
      <c r="A2920" s="15">
        <v>2916</v>
      </c>
      <c r="B2920" s="15" t="s">
        <v>49</v>
      </c>
      <c r="C2920" s="15" t="s">
        <v>162</v>
      </c>
      <c r="D2920" s="15" t="s">
        <v>35</v>
      </c>
      <c r="E2920" s="15" t="s">
        <v>35</v>
      </c>
      <c r="F2920" s="15" t="s">
        <v>1969</v>
      </c>
      <c r="G2920" s="15" t="s">
        <v>36</v>
      </c>
      <c r="H2920" s="15" t="s">
        <v>14906</v>
      </c>
      <c r="I2920" s="15" t="s">
        <v>14907</v>
      </c>
      <c r="J2920" s="15" t="s">
        <v>14908</v>
      </c>
      <c r="K2920" s="15" t="s">
        <v>40</v>
      </c>
      <c r="L2920" s="15" t="s">
        <v>41</v>
      </c>
      <c r="M2920" s="15" t="s">
        <v>55</v>
      </c>
      <c r="N2920" s="15" t="s">
        <v>56</v>
      </c>
      <c r="O2920" s="15" t="s">
        <v>44</v>
      </c>
      <c r="P2920" s="15" t="s">
        <v>14909</v>
      </c>
      <c r="Q2920" s="15" t="s">
        <v>14516</v>
      </c>
      <c r="R2920" s="16">
        <v>44329</v>
      </c>
      <c r="S2920" s="17" t="s">
        <v>2779</v>
      </c>
      <c r="T2920" s="20">
        <f>HYPERLINK("https://vnm.spiral.com.vn//uploaded/20210513/2a19cb41-2330-4e7c-9c20-8e3c07650deb.JPEG","07:40:47")</f>
      </c>
      <c r="U2920" s="18"/>
      <c r="V2920" s="18" t="s">
        <v>35</v>
      </c>
      <c r="W2920" s="15" t="s">
        <v>14910</v>
      </c>
      <c r="X2920" s="15" t="s">
        <v>35</v>
      </c>
      <c r="Y2920" s="15" t="s">
        <v>35</v>
      </c>
      <c r="Z2920" s="19">
        <v>0</v>
      </c>
      <c r="AA2920" s="15">
        <v>0</v>
      </c>
      <c r="AB2920" s="15" t="s">
        <v>35</v>
      </c>
    </row>
    <row r="2921">
      <c r="A2921" s="15">
        <v>2917</v>
      </c>
      <c r="B2921" s="15" t="s">
        <v>343</v>
      </c>
      <c r="C2921" s="15" t="s">
        <v>645</v>
      </c>
      <c r="D2921" s="15" t="s">
        <v>35</v>
      </c>
      <c r="E2921" s="15" t="s">
        <v>35</v>
      </c>
      <c r="F2921" s="15" t="s">
        <v>35</v>
      </c>
      <c r="G2921" s="15" t="s">
        <v>36</v>
      </c>
      <c r="H2921" s="15" t="s">
        <v>14911</v>
      </c>
      <c r="I2921" s="15" t="s">
        <v>14912</v>
      </c>
      <c r="J2921" s="15" t="s">
        <v>14913</v>
      </c>
      <c r="K2921" s="15" t="s">
        <v>40</v>
      </c>
      <c r="L2921" s="15" t="s">
        <v>41</v>
      </c>
      <c r="M2921" s="15" t="s">
        <v>42</v>
      </c>
      <c r="N2921" s="15" t="s">
        <v>43</v>
      </c>
      <c r="O2921" s="15" t="s">
        <v>44</v>
      </c>
      <c r="P2921" s="15" t="s">
        <v>14914</v>
      </c>
      <c r="Q2921" s="15" t="s">
        <v>14915</v>
      </c>
      <c r="R2921" s="16">
        <v>44329</v>
      </c>
      <c r="S2921" s="17" t="s">
        <v>14624</v>
      </c>
      <c r="T2921" s="20">
        <f>HYPERLINK("https://vnm.spiral.com.vn//uploaded/20210513/72189b07-9f91-4edb-9582-1b47c9c3364c.JPEG","07:40:47")</f>
      </c>
      <c r="U2921" s="18"/>
      <c r="V2921" s="18" t="s">
        <v>35</v>
      </c>
      <c r="W2921" s="15" t="s">
        <v>14916</v>
      </c>
      <c r="X2921" s="15" t="s">
        <v>35</v>
      </c>
      <c r="Y2921" s="15" t="s">
        <v>35</v>
      </c>
      <c r="Z2921" s="19">
        <v>0</v>
      </c>
      <c r="AA2921" s="15">
        <v>0</v>
      </c>
      <c r="AB2921" s="15" t="s">
        <v>35</v>
      </c>
    </row>
    <row r="2922">
      <c r="A2922" s="15">
        <v>2918</v>
      </c>
      <c r="B2922" s="15" t="s">
        <v>33</v>
      </c>
      <c r="C2922" s="15" t="s">
        <v>34</v>
      </c>
      <c r="D2922" s="15" t="s">
        <v>35</v>
      </c>
      <c r="E2922" s="15" t="s">
        <v>35</v>
      </c>
      <c r="F2922" s="15" t="s">
        <v>6653</v>
      </c>
      <c r="G2922" s="15" t="s">
        <v>36</v>
      </c>
      <c r="H2922" s="15" t="s">
        <v>14917</v>
      </c>
      <c r="I2922" s="15" t="s">
        <v>14918</v>
      </c>
      <c r="J2922" s="15" t="s">
        <v>14919</v>
      </c>
      <c r="K2922" s="15" t="s">
        <v>40</v>
      </c>
      <c r="L2922" s="15" t="s">
        <v>41</v>
      </c>
      <c r="M2922" s="15" t="s">
        <v>42</v>
      </c>
      <c r="N2922" s="15" t="s">
        <v>43</v>
      </c>
      <c r="O2922" s="15" t="s">
        <v>44</v>
      </c>
      <c r="P2922" s="15" t="s">
        <v>14920</v>
      </c>
      <c r="Q2922" s="15" t="s">
        <v>3395</v>
      </c>
      <c r="R2922" s="16">
        <v>44329</v>
      </c>
      <c r="S2922" s="17" t="s">
        <v>326</v>
      </c>
      <c r="T2922" s="20">
        <f>HYPERLINK("https://vnm.spiral.com.vn//uploaded/20210513/464b401f-51ae-4fa4-9276-b3ce6ed67701.JPEG","07:40:45")</f>
      </c>
      <c r="U2922" s="18"/>
      <c r="V2922" s="18" t="s">
        <v>35</v>
      </c>
      <c r="W2922" s="15" t="s">
        <v>14921</v>
      </c>
      <c r="X2922" s="15" t="s">
        <v>35</v>
      </c>
      <c r="Y2922" s="15" t="s">
        <v>35</v>
      </c>
      <c r="Z2922" s="19">
        <v>0</v>
      </c>
      <c r="AA2922" s="15">
        <v>0</v>
      </c>
      <c r="AB2922" s="15" t="s">
        <v>35</v>
      </c>
    </row>
    <row r="2923">
      <c r="A2923" s="15">
        <v>2919</v>
      </c>
      <c r="B2923" s="15" t="s">
        <v>61</v>
      </c>
      <c r="C2923" s="15" t="s">
        <v>737</v>
      </c>
      <c r="D2923" s="15" t="s">
        <v>35</v>
      </c>
      <c r="E2923" s="15" t="s">
        <v>35</v>
      </c>
      <c r="F2923" s="15" t="s">
        <v>35</v>
      </c>
      <c r="G2923" s="15" t="s">
        <v>36</v>
      </c>
      <c r="H2923" s="15" t="s">
        <v>14922</v>
      </c>
      <c r="I2923" s="15" t="s">
        <v>14923</v>
      </c>
      <c r="J2923" s="15" t="s">
        <v>14924</v>
      </c>
      <c r="K2923" s="15" t="s">
        <v>40</v>
      </c>
      <c r="L2923" s="15" t="s">
        <v>41</v>
      </c>
      <c r="M2923" s="15" t="s">
        <v>205</v>
      </c>
      <c r="N2923" s="15" t="s">
        <v>206</v>
      </c>
      <c r="O2923" s="15" t="s">
        <v>44</v>
      </c>
      <c r="P2923" s="15" t="s">
        <v>14925</v>
      </c>
      <c r="Q2923" s="15" t="s">
        <v>14926</v>
      </c>
      <c r="R2923" s="16">
        <v>44329</v>
      </c>
      <c r="S2923" s="17" t="s">
        <v>70</v>
      </c>
      <c r="T2923" s="20">
        <f>HYPERLINK("https://vnm.spiral.com.vn//uploaded/20210513/038339D9-B25D-406E-8BD3-59CB4B214350.jpg","07:40:23")</f>
      </c>
      <c r="U2923" s="18"/>
      <c r="V2923" s="18" t="s">
        <v>35</v>
      </c>
      <c r="W2923" s="15" t="s">
        <v>14927</v>
      </c>
      <c r="X2923" s="15" t="s">
        <v>35</v>
      </c>
      <c r="Y2923" s="15" t="s">
        <v>35</v>
      </c>
      <c r="Z2923" s="19">
        <v>0</v>
      </c>
      <c r="AA2923" s="15">
        <v>0</v>
      </c>
      <c r="AB2923" s="15" t="s">
        <v>35</v>
      </c>
    </row>
    <row r="2924">
      <c r="A2924" s="15">
        <v>2920</v>
      </c>
      <c r="B2924" s="15" t="s">
        <v>33</v>
      </c>
      <c r="C2924" s="15" t="s">
        <v>979</v>
      </c>
      <c r="D2924" s="15" t="s">
        <v>35</v>
      </c>
      <c r="E2924" s="15" t="s">
        <v>35</v>
      </c>
      <c r="F2924" s="15" t="s">
        <v>35</v>
      </c>
      <c r="G2924" s="15" t="s">
        <v>35</v>
      </c>
      <c r="H2924" s="15" t="s">
        <v>14928</v>
      </c>
      <c r="I2924" s="15" t="s">
        <v>14929</v>
      </c>
      <c r="J2924" s="15" t="s">
        <v>14930</v>
      </c>
      <c r="K2924" s="15" t="s">
        <v>40</v>
      </c>
      <c r="L2924" s="15" t="s">
        <v>41</v>
      </c>
      <c r="M2924" s="15" t="s">
        <v>42</v>
      </c>
      <c r="N2924" s="15" t="s">
        <v>43</v>
      </c>
      <c r="O2924" s="15" t="s">
        <v>44</v>
      </c>
      <c r="P2924" s="15" t="s">
        <v>14931</v>
      </c>
      <c r="Q2924" s="15" t="s">
        <v>14932</v>
      </c>
      <c r="R2924" s="16">
        <v>44329</v>
      </c>
      <c r="S2924" s="17" t="s">
        <v>14933</v>
      </c>
      <c r="T2924" s="20">
        <f>HYPERLINK("https://vnm.spiral.com.vn//uploaded/20210513/8247ee07-66ec-46b2-a2f3-fe15d815435b.JPEG","07:40:07")</f>
      </c>
      <c r="U2924" s="18"/>
      <c r="V2924" s="18" t="s">
        <v>35</v>
      </c>
      <c r="W2924" s="15" t="s">
        <v>14934</v>
      </c>
      <c r="X2924" s="15" t="s">
        <v>35</v>
      </c>
      <c r="Y2924" s="15" t="s">
        <v>35</v>
      </c>
      <c r="Z2924" s="19">
        <v>0</v>
      </c>
      <c r="AA2924" s="15">
        <v>0</v>
      </c>
      <c r="AB2924" s="15" t="s">
        <v>35</v>
      </c>
    </row>
    <row r="2925">
      <c r="A2925" s="15">
        <v>2921</v>
      </c>
      <c r="B2925" s="15" t="s">
        <v>61</v>
      </c>
      <c r="C2925" s="15" t="s">
        <v>62</v>
      </c>
      <c r="D2925" s="15" t="s">
        <v>148</v>
      </c>
      <c r="E2925" s="15" t="s">
        <v>90</v>
      </c>
      <c r="F2925" s="15" t="s">
        <v>35</v>
      </c>
      <c r="G2925" s="15" t="s">
        <v>74</v>
      </c>
      <c r="H2925" s="15" t="s">
        <v>14935</v>
      </c>
      <c r="I2925" s="15" t="s">
        <v>14936</v>
      </c>
      <c r="J2925" s="15" t="s">
        <v>14937</v>
      </c>
      <c r="K2925" s="15" t="s">
        <v>1586</v>
      </c>
      <c r="L2925" s="15" t="s">
        <v>1587</v>
      </c>
      <c r="M2925" s="15" t="s">
        <v>1588</v>
      </c>
      <c r="N2925" s="15" t="s">
        <v>1589</v>
      </c>
      <c r="O2925" s="15" t="s">
        <v>156</v>
      </c>
      <c r="P2925" s="15" t="s">
        <v>14938</v>
      </c>
      <c r="Q2925" s="15" t="s">
        <v>2938</v>
      </c>
      <c r="R2925" s="16">
        <v>44329</v>
      </c>
      <c r="S2925" s="17" t="s">
        <v>256</v>
      </c>
      <c r="T2925" s="20">
        <f>HYPERLINK("https://vnm.spiral.com.vn//uploaded/20210513/8C2C43D3-E312-46A4-87A6-40E265F667AD.jpg","07:40:05")</f>
      </c>
      <c r="U2925" s="18"/>
      <c r="V2925" s="18" t="s">
        <v>35</v>
      </c>
      <c r="W2925" s="15" t="s">
        <v>14939</v>
      </c>
      <c r="X2925" s="15" t="s">
        <v>35</v>
      </c>
      <c r="Y2925" s="15" t="s">
        <v>35</v>
      </c>
      <c r="Z2925" s="19">
        <v>0</v>
      </c>
      <c r="AA2925" s="15">
        <v>0</v>
      </c>
      <c r="AB2925" s="15" t="s">
        <v>35</v>
      </c>
    </row>
    <row r="2926">
      <c r="A2926" s="15">
        <v>2922</v>
      </c>
      <c r="B2926" s="15" t="s">
        <v>49</v>
      </c>
      <c r="C2926" s="15" t="s">
        <v>1715</v>
      </c>
      <c r="D2926" s="15" t="s">
        <v>35</v>
      </c>
      <c r="E2926" s="15" t="s">
        <v>35</v>
      </c>
      <c r="F2926" s="15" t="s">
        <v>3661</v>
      </c>
      <c r="G2926" s="15" t="s">
        <v>36</v>
      </c>
      <c r="H2926" s="15" t="s">
        <v>14940</v>
      </c>
      <c r="I2926" s="15" t="s">
        <v>14941</v>
      </c>
      <c r="J2926" s="15" t="s">
        <v>14942</v>
      </c>
      <c r="K2926" s="15" t="s">
        <v>40</v>
      </c>
      <c r="L2926" s="15" t="s">
        <v>41</v>
      </c>
      <c r="M2926" s="15" t="s">
        <v>55</v>
      </c>
      <c r="N2926" s="15" t="s">
        <v>56</v>
      </c>
      <c r="O2926" s="15" t="s">
        <v>44</v>
      </c>
      <c r="P2926" s="15" t="s">
        <v>14943</v>
      </c>
      <c r="Q2926" s="15" t="s">
        <v>14944</v>
      </c>
      <c r="R2926" s="16">
        <v>44329</v>
      </c>
      <c r="S2926" s="17" t="s">
        <v>475</v>
      </c>
      <c r="T2926" s="20">
        <f>HYPERLINK("https://vnm.spiral.com.vn//uploaded/20210513/F002C21C-ADF7-46FC-A850-65BF4029EE13.jpg","07:39:43")</f>
      </c>
      <c r="U2926" s="18"/>
      <c r="V2926" s="18" t="s">
        <v>35</v>
      </c>
      <c r="W2926" s="15" t="s">
        <v>14945</v>
      </c>
      <c r="X2926" s="15" t="s">
        <v>35</v>
      </c>
      <c r="Y2926" s="15" t="s">
        <v>35</v>
      </c>
      <c r="Z2926" s="19">
        <v>0</v>
      </c>
      <c r="AA2926" s="15">
        <v>0</v>
      </c>
      <c r="AB2926" s="15" t="s">
        <v>35</v>
      </c>
    </row>
    <row r="2927">
      <c r="A2927" s="15">
        <v>2923</v>
      </c>
      <c r="B2927" s="15" t="s">
        <v>103</v>
      </c>
      <c r="C2927" s="15" t="s">
        <v>104</v>
      </c>
      <c r="D2927" s="15" t="s">
        <v>35</v>
      </c>
      <c r="E2927" s="15" t="s">
        <v>35</v>
      </c>
      <c r="F2927" s="15" t="s">
        <v>14946</v>
      </c>
      <c r="G2927" s="15" t="s">
        <v>36</v>
      </c>
      <c r="H2927" s="15" t="s">
        <v>14947</v>
      </c>
      <c r="I2927" s="15" t="s">
        <v>14948</v>
      </c>
      <c r="J2927" s="15" t="s">
        <v>14949</v>
      </c>
      <c r="K2927" s="15" t="s">
        <v>40</v>
      </c>
      <c r="L2927" s="15" t="s">
        <v>41</v>
      </c>
      <c r="M2927" s="15" t="s">
        <v>108</v>
      </c>
      <c r="N2927" s="15" t="s">
        <v>109</v>
      </c>
      <c r="O2927" s="15" t="s">
        <v>44</v>
      </c>
      <c r="P2927" s="15" t="s">
        <v>14950</v>
      </c>
      <c r="Q2927" s="15" t="s">
        <v>14951</v>
      </c>
      <c r="R2927" s="16">
        <v>44329</v>
      </c>
      <c r="S2927" s="17" t="s">
        <v>70</v>
      </c>
      <c r="T2927" s="20">
        <f>HYPERLINK("https://vnm.spiral.com.vn//uploaded/20210513/f249acb9-92f0-4980-ab87-ce69bda21c9d.JPEG","07:39:39")</f>
      </c>
      <c r="U2927" s="18"/>
      <c r="V2927" s="18" t="s">
        <v>35</v>
      </c>
      <c r="W2927" s="15" t="s">
        <v>14952</v>
      </c>
      <c r="X2927" s="15" t="s">
        <v>35</v>
      </c>
      <c r="Y2927" s="15" t="s">
        <v>35</v>
      </c>
      <c r="Z2927" s="19">
        <v>0</v>
      </c>
      <c r="AA2927" s="15">
        <v>0</v>
      </c>
      <c r="AB2927" s="15" t="s">
        <v>35</v>
      </c>
    </row>
    <row r="2928">
      <c r="A2928" s="15">
        <v>2924</v>
      </c>
      <c r="B2928" s="15" t="s">
        <v>246</v>
      </c>
      <c r="C2928" s="15" t="s">
        <v>259</v>
      </c>
      <c r="D2928" s="15" t="s">
        <v>304</v>
      </c>
      <c r="E2928" s="15" t="s">
        <v>305</v>
      </c>
      <c r="F2928" s="15" t="s">
        <v>35</v>
      </c>
      <c r="G2928" s="15" t="s">
        <v>74</v>
      </c>
      <c r="H2928" s="15" t="s">
        <v>10838</v>
      </c>
      <c r="I2928" s="15" t="s">
        <v>10839</v>
      </c>
      <c r="J2928" s="15" t="s">
        <v>10840</v>
      </c>
      <c r="K2928" s="15" t="s">
        <v>263</v>
      </c>
      <c r="L2928" s="15" t="s">
        <v>264</v>
      </c>
      <c r="M2928" s="15" t="s">
        <v>1510</v>
      </c>
      <c r="N2928" s="15" t="s">
        <v>1511</v>
      </c>
      <c r="O2928" s="15" t="s">
        <v>156</v>
      </c>
      <c r="P2928" s="15" t="s">
        <v>14953</v>
      </c>
      <c r="Q2928" s="15" t="s">
        <v>14954</v>
      </c>
      <c r="R2928" s="16">
        <v>44329</v>
      </c>
      <c r="S2928" s="17" t="s">
        <v>2779</v>
      </c>
      <c r="T2928" s="20">
        <f>HYPERLINK("https://vnm.spiral.com.vn//uploaded/20210513/0CC3B2DA-32BF-4309-B760-2BC62233A4A7.jpg","07:39:11")</f>
      </c>
      <c r="U2928" s="18"/>
      <c r="V2928" s="18" t="s">
        <v>35</v>
      </c>
      <c r="W2928" s="15" t="s">
        <v>14955</v>
      </c>
      <c r="X2928" s="15" t="s">
        <v>35</v>
      </c>
      <c r="Y2928" s="15" t="s">
        <v>35</v>
      </c>
      <c r="Z2928" s="19">
        <v>0</v>
      </c>
      <c r="AA2928" s="15">
        <v>0</v>
      </c>
      <c r="AB2928" s="15" t="s">
        <v>35</v>
      </c>
    </row>
    <row r="2929">
      <c r="A2929" s="15">
        <v>2925</v>
      </c>
      <c r="B2929" s="15" t="s">
        <v>103</v>
      </c>
      <c r="C2929" s="15" t="s">
        <v>174</v>
      </c>
      <c r="D2929" s="15" t="s">
        <v>35</v>
      </c>
      <c r="E2929" s="15" t="s">
        <v>35</v>
      </c>
      <c r="F2929" s="15" t="s">
        <v>14956</v>
      </c>
      <c r="G2929" s="15" t="s">
        <v>36</v>
      </c>
      <c r="H2929" s="15" t="s">
        <v>14957</v>
      </c>
      <c r="I2929" s="15" t="s">
        <v>14958</v>
      </c>
      <c r="J2929" s="15" t="s">
        <v>14959</v>
      </c>
      <c r="K2929" s="15" t="s">
        <v>40</v>
      </c>
      <c r="L2929" s="15" t="s">
        <v>41</v>
      </c>
      <c r="M2929" s="15" t="s">
        <v>108</v>
      </c>
      <c r="N2929" s="15" t="s">
        <v>109</v>
      </c>
      <c r="O2929" s="15" t="s">
        <v>44</v>
      </c>
      <c r="P2929" s="15" t="s">
        <v>14960</v>
      </c>
      <c r="Q2929" s="15" t="s">
        <v>14961</v>
      </c>
      <c r="R2929" s="16">
        <v>44329</v>
      </c>
      <c r="S2929" s="17" t="s">
        <v>70</v>
      </c>
      <c r="T2929" s="20">
        <f>HYPERLINK("https://vnm.spiral.com.vn//uploaded/20210513/4D86AC58-CD95-4BE7-9AF1-C9EE22804E1A.jpg","07:37:58")</f>
      </c>
      <c r="U2929" s="18"/>
      <c r="V2929" s="18" t="s">
        <v>35</v>
      </c>
      <c r="W2929" s="15" t="s">
        <v>14962</v>
      </c>
      <c r="X2929" s="15" t="s">
        <v>35</v>
      </c>
      <c r="Y2929" s="15" t="s">
        <v>35</v>
      </c>
      <c r="Z2929" s="19">
        <v>0</v>
      </c>
      <c r="AA2929" s="15">
        <v>0</v>
      </c>
      <c r="AB2929" s="15" t="s">
        <v>35</v>
      </c>
    </row>
    <row r="2930">
      <c r="A2930" s="15">
        <v>2926</v>
      </c>
      <c r="B2930" s="15" t="s">
        <v>33</v>
      </c>
      <c r="C2930" s="15" t="s">
        <v>2999</v>
      </c>
      <c r="D2930" s="15" t="s">
        <v>35</v>
      </c>
      <c r="E2930" s="15" t="s">
        <v>35</v>
      </c>
      <c r="F2930" s="15" t="s">
        <v>35</v>
      </c>
      <c r="G2930" s="15" t="s">
        <v>36</v>
      </c>
      <c r="H2930" s="15" t="s">
        <v>14963</v>
      </c>
      <c r="I2930" s="15" t="s">
        <v>14964</v>
      </c>
      <c r="J2930" s="15" t="s">
        <v>14965</v>
      </c>
      <c r="K2930" s="15" t="s">
        <v>40</v>
      </c>
      <c r="L2930" s="15" t="s">
        <v>41</v>
      </c>
      <c r="M2930" s="15" t="s">
        <v>42</v>
      </c>
      <c r="N2930" s="15" t="s">
        <v>43</v>
      </c>
      <c r="O2930" s="15" t="s">
        <v>44</v>
      </c>
      <c r="P2930" s="15" t="s">
        <v>14966</v>
      </c>
      <c r="Q2930" s="15" t="s">
        <v>14967</v>
      </c>
      <c r="R2930" s="16">
        <v>44329</v>
      </c>
      <c r="S2930" s="17" t="s">
        <v>1112</v>
      </c>
      <c r="T2930" s="20">
        <f>HYPERLINK("https://vnm.spiral.com.vn//uploaded/20210513/4E40A0C7-B01D-4D48-87E6-EFF15ED38B92.jpg","07:37:16")</f>
      </c>
      <c r="U2930" s="18"/>
      <c r="V2930" s="18" t="s">
        <v>35</v>
      </c>
      <c r="W2930" s="15" t="s">
        <v>14968</v>
      </c>
      <c r="X2930" s="15" t="s">
        <v>35</v>
      </c>
      <c r="Y2930" s="15" t="s">
        <v>35</v>
      </c>
      <c r="Z2930" s="19">
        <v>0</v>
      </c>
      <c r="AA2930" s="15">
        <v>0</v>
      </c>
      <c r="AB2930" s="15" t="s">
        <v>35</v>
      </c>
    </row>
    <row r="2931">
      <c r="A2931" s="15">
        <v>2927</v>
      </c>
      <c r="B2931" s="15" t="s">
        <v>33</v>
      </c>
      <c r="C2931" s="15" t="s">
        <v>8154</v>
      </c>
      <c r="D2931" s="15" t="s">
        <v>35</v>
      </c>
      <c r="E2931" s="15" t="s">
        <v>35</v>
      </c>
      <c r="F2931" s="15" t="s">
        <v>8155</v>
      </c>
      <c r="G2931" s="15" t="s">
        <v>36</v>
      </c>
      <c r="H2931" s="15" t="s">
        <v>14969</v>
      </c>
      <c r="I2931" s="15" t="s">
        <v>14970</v>
      </c>
      <c r="J2931" s="15" t="s">
        <v>14971</v>
      </c>
      <c r="K2931" s="15" t="s">
        <v>40</v>
      </c>
      <c r="L2931" s="15" t="s">
        <v>41</v>
      </c>
      <c r="M2931" s="15" t="s">
        <v>42</v>
      </c>
      <c r="N2931" s="15" t="s">
        <v>43</v>
      </c>
      <c r="O2931" s="15" t="s">
        <v>44</v>
      </c>
      <c r="P2931" s="15" t="s">
        <v>14972</v>
      </c>
      <c r="Q2931" s="15" t="s">
        <v>14973</v>
      </c>
      <c r="R2931" s="16">
        <v>44329</v>
      </c>
      <c r="S2931" s="17" t="s">
        <v>256</v>
      </c>
      <c r="T2931" s="20">
        <f>HYPERLINK("https://vnm.spiral.com.vn//uploaded/20210513/A125F297-39CA-451B-ACE9-5C3AAD346931.jpg","07:37:06")</f>
      </c>
      <c r="U2931" s="18"/>
      <c r="V2931" s="18" t="s">
        <v>35</v>
      </c>
      <c r="W2931" s="15" t="s">
        <v>14974</v>
      </c>
      <c r="X2931" s="15" t="s">
        <v>35</v>
      </c>
      <c r="Y2931" s="15" t="s">
        <v>35</v>
      </c>
      <c r="Z2931" s="19">
        <v>0</v>
      </c>
      <c r="AA2931" s="15">
        <v>0</v>
      </c>
      <c r="AB2931" s="15" t="s">
        <v>35</v>
      </c>
    </row>
    <row r="2932">
      <c r="A2932" s="15">
        <v>2928</v>
      </c>
      <c r="B2932" s="15" t="s">
        <v>33</v>
      </c>
      <c r="C2932" s="15" t="s">
        <v>492</v>
      </c>
      <c r="D2932" s="15" t="s">
        <v>35</v>
      </c>
      <c r="E2932" s="15" t="s">
        <v>35</v>
      </c>
      <c r="F2932" s="15" t="s">
        <v>35</v>
      </c>
      <c r="G2932" s="15" t="s">
        <v>36</v>
      </c>
      <c r="H2932" s="15" t="s">
        <v>14975</v>
      </c>
      <c r="I2932" s="15" t="s">
        <v>14976</v>
      </c>
      <c r="J2932" s="15" t="s">
        <v>14977</v>
      </c>
      <c r="K2932" s="15" t="s">
        <v>40</v>
      </c>
      <c r="L2932" s="15" t="s">
        <v>41</v>
      </c>
      <c r="M2932" s="15" t="s">
        <v>42</v>
      </c>
      <c r="N2932" s="15" t="s">
        <v>43</v>
      </c>
      <c r="O2932" s="15" t="s">
        <v>44</v>
      </c>
      <c r="P2932" s="15" t="s">
        <v>14978</v>
      </c>
      <c r="Q2932" s="15" t="s">
        <v>14979</v>
      </c>
      <c r="R2932" s="16">
        <v>44329</v>
      </c>
      <c r="S2932" s="17" t="s">
        <v>14324</v>
      </c>
      <c r="T2932" s="20">
        <f>HYPERLINK("https://vnm.spiral.com.vn//uploaded/20210513/e5754b7b-c168-4207-af9d-0ec11e285bf2.JPEG","07:37:05")</f>
      </c>
      <c r="U2932" s="18"/>
      <c r="V2932" s="18" t="s">
        <v>35</v>
      </c>
      <c r="W2932" s="15" t="s">
        <v>14980</v>
      </c>
      <c r="X2932" s="15" t="s">
        <v>35</v>
      </c>
      <c r="Y2932" s="15" t="s">
        <v>35</v>
      </c>
      <c r="Z2932" s="19">
        <v>0</v>
      </c>
      <c r="AA2932" s="15">
        <v>0</v>
      </c>
      <c r="AB2932" s="15" t="s">
        <v>35</v>
      </c>
    </row>
    <row r="2933">
      <c r="A2933" s="15">
        <v>2929</v>
      </c>
      <c r="B2933" s="15" t="s">
        <v>61</v>
      </c>
      <c r="C2933" s="15" t="s">
        <v>303</v>
      </c>
      <c r="D2933" s="15" t="s">
        <v>35</v>
      </c>
      <c r="E2933" s="15" t="s">
        <v>35</v>
      </c>
      <c r="F2933" s="15" t="s">
        <v>35</v>
      </c>
      <c r="G2933" s="15" t="s">
        <v>36</v>
      </c>
      <c r="H2933" s="15" t="s">
        <v>14981</v>
      </c>
      <c r="I2933" s="15" t="s">
        <v>14982</v>
      </c>
      <c r="J2933" s="15" t="s">
        <v>14983</v>
      </c>
      <c r="K2933" s="15" t="s">
        <v>40</v>
      </c>
      <c r="L2933" s="15" t="s">
        <v>41</v>
      </c>
      <c r="M2933" s="15" t="s">
        <v>205</v>
      </c>
      <c r="N2933" s="15" t="s">
        <v>206</v>
      </c>
      <c r="O2933" s="15" t="s">
        <v>44</v>
      </c>
      <c r="P2933" s="15" t="s">
        <v>14984</v>
      </c>
      <c r="Q2933" s="15" t="s">
        <v>14985</v>
      </c>
      <c r="R2933" s="16">
        <v>44329</v>
      </c>
      <c r="S2933" s="17" t="s">
        <v>273</v>
      </c>
      <c r="T2933" s="20">
        <f>HYPERLINK("https://vnm.spiral.com.vn//uploaded/20210513/1AC20E03-AFA4-43E5-8FF3-697326948294.jpg","07:37:00")</f>
      </c>
      <c r="U2933" s="18"/>
      <c r="V2933" s="18" t="s">
        <v>35</v>
      </c>
      <c r="W2933" s="15" t="s">
        <v>14986</v>
      </c>
      <c r="X2933" s="15" t="s">
        <v>35</v>
      </c>
      <c r="Y2933" s="15" t="s">
        <v>35</v>
      </c>
      <c r="Z2933" s="19">
        <v>0</v>
      </c>
      <c r="AA2933" s="15">
        <v>0</v>
      </c>
      <c r="AB2933" s="15" t="s">
        <v>35</v>
      </c>
    </row>
    <row r="2934">
      <c r="A2934" s="15">
        <v>2930</v>
      </c>
      <c r="B2934" s="15" t="s">
        <v>49</v>
      </c>
      <c r="C2934" s="15" t="s">
        <v>756</v>
      </c>
      <c r="D2934" s="15" t="s">
        <v>35</v>
      </c>
      <c r="E2934" s="15" t="s">
        <v>35</v>
      </c>
      <c r="F2934" s="15" t="s">
        <v>14987</v>
      </c>
      <c r="G2934" s="15" t="s">
        <v>36</v>
      </c>
      <c r="H2934" s="15" t="s">
        <v>14988</v>
      </c>
      <c r="I2934" s="15" t="s">
        <v>6543</v>
      </c>
      <c r="J2934" s="15" t="s">
        <v>14989</v>
      </c>
      <c r="K2934" s="15" t="s">
        <v>40</v>
      </c>
      <c r="L2934" s="15" t="s">
        <v>41</v>
      </c>
      <c r="M2934" s="15" t="s">
        <v>55</v>
      </c>
      <c r="N2934" s="15" t="s">
        <v>56</v>
      </c>
      <c r="O2934" s="15" t="s">
        <v>44</v>
      </c>
      <c r="P2934" s="15" t="s">
        <v>14990</v>
      </c>
      <c r="Q2934" s="15" t="s">
        <v>14991</v>
      </c>
      <c r="R2934" s="16">
        <v>44329</v>
      </c>
      <c r="S2934" s="17" t="s">
        <v>225</v>
      </c>
      <c r="T2934" s="20">
        <f>HYPERLINK("https://vnm.spiral.com.vn//uploaded/20210513/1E4CA0A0-60E9-4F2C-B044-B707A89E0243.jpg","07:36:59")</f>
      </c>
      <c r="U2934" s="18"/>
      <c r="V2934" s="18" t="s">
        <v>35</v>
      </c>
      <c r="W2934" s="15" t="s">
        <v>14992</v>
      </c>
      <c r="X2934" s="15" t="s">
        <v>35</v>
      </c>
      <c r="Y2934" s="15" t="s">
        <v>35</v>
      </c>
      <c r="Z2934" s="19">
        <v>0</v>
      </c>
      <c r="AA2934" s="15">
        <v>0</v>
      </c>
      <c r="AB2934" s="15" t="s">
        <v>35</v>
      </c>
    </row>
    <row r="2935">
      <c r="A2935" s="15">
        <v>2931</v>
      </c>
      <c r="B2935" s="15" t="s">
        <v>246</v>
      </c>
      <c r="C2935" s="15" t="s">
        <v>259</v>
      </c>
      <c r="D2935" s="15" t="s">
        <v>536</v>
      </c>
      <c r="E2935" s="15" t="s">
        <v>116</v>
      </c>
      <c r="F2935" s="15" t="s">
        <v>35</v>
      </c>
      <c r="G2935" s="15" t="s">
        <v>74</v>
      </c>
      <c r="H2935" s="15" t="s">
        <v>14993</v>
      </c>
      <c r="I2935" s="15" t="s">
        <v>14994</v>
      </c>
      <c r="J2935" s="15" t="s">
        <v>14995</v>
      </c>
      <c r="K2935" s="15" t="s">
        <v>540</v>
      </c>
      <c r="L2935" s="15" t="s">
        <v>541</v>
      </c>
      <c r="M2935" s="15" t="s">
        <v>542</v>
      </c>
      <c r="N2935" s="15" t="s">
        <v>543</v>
      </c>
      <c r="O2935" s="15" t="s">
        <v>82</v>
      </c>
      <c r="P2935" s="15" t="s">
        <v>14996</v>
      </c>
      <c r="Q2935" s="15" t="s">
        <v>14997</v>
      </c>
      <c r="R2935" s="16">
        <v>44329</v>
      </c>
      <c r="S2935" s="17" t="s">
        <v>70</v>
      </c>
      <c r="T2935" s="20">
        <f>HYPERLINK("https://vnm.spiral.com.vn//uploaded/20210513/C659B159-05FB-48E8-AA88-0CE9FE78BFA9.jpg","07:36:29")</f>
      </c>
      <c r="U2935" s="18"/>
      <c r="V2935" s="18" t="s">
        <v>35</v>
      </c>
      <c r="W2935" s="15" t="s">
        <v>14998</v>
      </c>
      <c r="X2935" s="15" t="s">
        <v>35</v>
      </c>
      <c r="Y2935" s="15" t="s">
        <v>35</v>
      </c>
      <c r="Z2935" s="19">
        <v>0</v>
      </c>
      <c r="AA2935" s="15">
        <v>0</v>
      </c>
      <c r="AB2935" s="15" t="s">
        <v>35</v>
      </c>
    </row>
    <row r="2936">
      <c r="A2936" s="15">
        <v>2932</v>
      </c>
      <c r="B2936" s="15" t="s">
        <v>33</v>
      </c>
      <c r="C2936" s="15" t="s">
        <v>211</v>
      </c>
      <c r="D2936" s="15" t="s">
        <v>35</v>
      </c>
      <c r="E2936" s="15" t="s">
        <v>35</v>
      </c>
      <c r="F2936" s="15" t="s">
        <v>35</v>
      </c>
      <c r="G2936" s="15" t="s">
        <v>36</v>
      </c>
      <c r="H2936" s="15" t="s">
        <v>14999</v>
      </c>
      <c r="I2936" s="15" t="s">
        <v>15000</v>
      </c>
      <c r="J2936" s="15" t="s">
        <v>15001</v>
      </c>
      <c r="K2936" s="15" t="s">
        <v>40</v>
      </c>
      <c r="L2936" s="15" t="s">
        <v>41</v>
      </c>
      <c r="M2936" s="15" t="s">
        <v>42</v>
      </c>
      <c r="N2936" s="15" t="s">
        <v>43</v>
      </c>
      <c r="O2936" s="15" t="s">
        <v>44</v>
      </c>
      <c r="P2936" s="15" t="s">
        <v>15002</v>
      </c>
      <c r="Q2936" s="15" t="s">
        <v>2501</v>
      </c>
      <c r="R2936" s="16">
        <v>44329</v>
      </c>
      <c r="S2936" s="17" t="s">
        <v>70</v>
      </c>
      <c r="T2936" s="20">
        <f>HYPERLINK("https://vnm.spiral.com.vn//uploaded/20210513/0839C4BD-128F-4331-AC2D-1000AB6B6D22.jpg","07:36:09")</f>
      </c>
      <c r="U2936" s="18"/>
      <c r="V2936" s="18" t="s">
        <v>35</v>
      </c>
      <c r="W2936" s="15" t="s">
        <v>15003</v>
      </c>
      <c r="X2936" s="15" t="s">
        <v>35</v>
      </c>
      <c r="Y2936" s="15" t="s">
        <v>35</v>
      </c>
      <c r="Z2936" s="19">
        <v>0</v>
      </c>
      <c r="AA2936" s="15">
        <v>0</v>
      </c>
      <c r="AB2936" s="15" t="s">
        <v>35</v>
      </c>
    </row>
    <row r="2937">
      <c r="A2937" s="15">
        <v>2933</v>
      </c>
      <c r="B2937" s="15" t="s">
        <v>33</v>
      </c>
      <c r="C2937" s="15" t="s">
        <v>492</v>
      </c>
      <c r="D2937" s="15" t="s">
        <v>35</v>
      </c>
      <c r="E2937" s="15" t="s">
        <v>35</v>
      </c>
      <c r="F2937" s="15" t="s">
        <v>35</v>
      </c>
      <c r="G2937" s="15" t="s">
        <v>36</v>
      </c>
      <c r="H2937" s="15" t="s">
        <v>15004</v>
      </c>
      <c r="I2937" s="15" t="s">
        <v>15005</v>
      </c>
      <c r="J2937" s="15" t="s">
        <v>15006</v>
      </c>
      <c r="K2937" s="15" t="s">
        <v>40</v>
      </c>
      <c r="L2937" s="15" t="s">
        <v>41</v>
      </c>
      <c r="M2937" s="15" t="s">
        <v>42</v>
      </c>
      <c r="N2937" s="15" t="s">
        <v>43</v>
      </c>
      <c r="O2937" s="15" t="s">
        <v>44</v>
      </c>
      <c r="P2937" s="15" t="s">
        <v>15007</v>
      </c>
      <c r="Q2937" s="15" t="s">
        <v>15008</v>
      </c>
      <c r="R2937" s="16">
        <v>44329</v>
      </c>
      <c r="S2937" s="17" t="s">
        <v>70</v>
      </c>
      <c r="T2937" s="20">
        <f>HYPERLINK("https://vnm.spiral.com.vn//uploaded/20210513/50637670-3973-46ec-bdb1-9b1eca181734.JPEG","07:35:59")</f>
      </c>
      <c r="U2937" s="18"/>
      <c r="V2937" s="18" t="s">
        <v>35</v>
      </c>
      <c r="W2937" s="15" t="s">
        <v>15009</v>
      </c>
      <c r="X2937" s="15" t="s">
        <v>35</v>
      </c>
      <c r="Y2937" s="15" t="s">
        <v>35</v>
      </c>
      <c r="Z2937" s="19">
        <v>0</v>
      </c>
      <c r="AA2937" s="15">
        <v>0</v>
      </c>
      <c r="AB2937" s="15" t="s">
        <v>35</v>
      </c>
    </row>
    <row r="2938">
      <c r="A2938" s="15">
        <v>2934</v>
      </c>
      <c r="B2938" s="15" t="s">
        <v>49</v>
      </c>
      <c r="C2938" s="15" t="s">
        <v>369</v>
      </c>
      <c r="D2938" s="15" t="s">
        <v>89</v>
      </c>
      <c r="E2938" s="15" t="s">
        <v>90</v>
      </c>
      <c r="F2938" s="15" t="s">
        <v>35</v>
      </c>
      <c r="G2938" s="15" t="s">
        <v>74</v>
      </c>
      <c r="H2938" s="15" t="s">
        <v>15010</v>
      </c>
      <c r="I2938" s="15" t="s">
        <v>15011</v>
      </c>
      <c r="J2938" s="15" t="s">
        <v>15012</v>
      </c>
      <c r="K2938" s="15" t="s">
        <v>166</v>
      </c>
      <c r="L2938" s="15" t="s">
        <v>167</v>
      </c>
      <c r="M2938" s="15" t="s">
        <v>168</v>
      </c>
      <c r="N2938" s="15" t="s">
        <v>169</v>
      </c>
      <c r="O2938" s="15" t="s">
        <v>156</v>
      </c>
      <c r="P2938" s="15" t="s">
        <v>15013</v>
      </c>
      <c r="Q2938" s="15" t="s">
        <v>15014</v>
      </c>
      <c r="R2938" s="16">
        <v>44329</v>
      </c>
      <c r="S2938" s="17" t="s">
        <v>70</v>
      </c>
      <c r="T2938" s="20">
        <f>HYPERLINK("https://vnm.spiral.com.vn//uploaded/20210513/3d19c7d6-3109-43f8-af0d-03409b9939c7.JPEG","07:35:47")</f>
      </c>
      <c r="U2938" s="18"/>
      <c r="V2938" s="18" t="s">
        <v>35</v>
      </c>
      <c r="W2938" s="15" t="s">
        <v>15015</v>
      </c>
      <c r="X2938" s="15" t="s">
        <v>35</v>
      </c>
      <c r="Y2938" s="15" t="s">
        <v>35</v>
      </c>
      <c r="Z2938" s="19">
        <v>0</v>
      </c>
      <c r="AA2938" s="15">
        <v>0</v>
      </c>
      <c r="AB2938" s="15" t="s">
        <v>35</v>
      </c>
    </row>
    <row r="2939">
      <c r="A2939" s="15">
        <v>2935</v>
      </c>
      <c r="B2939" s="15" t="s">
        <v>343</v>
      </c>
      <c r="C2939" s="15" t="s">
        <v>1150</v>
      </c>
      <c r="D2939" s="15" t="s">
        <v>35</v>
      </c>
      <c r="E2939" s="15" t="s">
        <v>35</v>
      </c>
      <c r="F2939" s="15" t="s">
        <v>35</v>
      </c>
      <c r="G2939" s="15" t="s">
        <v>36</v>
      </c>
      <c r="H2939" s="15" t="s">
        <v>15016</v>
      </c>
      <c r="I2939" s="15" t="s">
        <v>15017</v>
      </c>
      <c r="J2939" s="15" t="s">
        <v>15018</v>
      </c>
      <c r="K2939" s="15" t="s">
        <v>40</v>
      </c>
      <c r="L2939" s="15" t="s">
        <v>41</v>
      </c>
      <c r="M2939" s="15" t="s">
        <v>409</v>
      </c>
      <c r="N2939" s="15" t="s">
        <v>410</v>
      </c>
      <c r="O2939" s="15" t="s">
        <v>44</v>
      </c>
      <c r="P2939" s="15" t="s">
        <v>15019</v>
      </c>
      <c r="Q2939" s="15" t="s">
        <v>2095</v>
      </c>
      <c r="R2939" s="16">
        <v>44329</v>
      </c>
      <c r="S2939" s="17" t="s">
        <v>15020</v>
      </c>
      <c r="T2939" s="20">
        <f>HYPERLINK("https://vnm.spiral.com.vn//uploaded/20210513/0F7985D7-E3F0-41DD-A0D7-4F53C459EC28.jpg","07:35:14")</f>
      </c>
      <c r="U2939" s="18"/>
      <c r="V2939" s="18" t="s">
        <v>35</v>
      </c>
      <c r="W2939" s="15" t="s">
        <v>15021</v>
      </c>
      <c r="X2939" s="15" t="s">
        <v>35</v>
      </c>
      <c r="Y2939" s="15" t="s">
        <v>35</v>
      </c>
      <c r="Z2939" s="19">
        <v>0</v>
      </c>
      <c r="AA2939" s="15">
        <v>0</v>
      </c>
      <c r="AB2939" s="15" t="s">
        <v>35</v>
      </c>
    </row>
    <row r="2940">
      <c r="A2940" s="15">
        <v>2936</v>
      </c>
      <c r="B2940" s="15" t="s">
        <v>33</v>
      </c>
      <c r="C2940" s="15" t="s">
        <v>2883</v>
      </c>
      <c r="D2940" s="15" t="s">
        <v>35</v>
      </c>
      <c r="E2940" s="15" t="s">
        <v>35</v>
      </c>
      <c r="F2940" s="15" t="s">
        <v>35</v>
      </c>
      <c r="G2940" s="15" t="s">
        <v>74</v>
      </c>
      <c r="H2940" s="15" t="s">
        <v>12863</v>
      </c>
      <c r="I2940" s="15" t="s">
        <v>12864</v>
      </c>
      <c r="J2940" s="15" t="s">
        <v>12865</v>
      </c>
      <c r="K2940" s="15" t="s">
        <v>2887</v>
      </c>
      <c r="L2940" s="15" t="s">
        <v>2888</v>
      </c>
      <c r="M2940" s="15" t="s">
        <v>2889</v>
      </c>
      <c r="N2940" s="15" t="s">
        <v>2890</v>
      </c>
      <c r="O2940" s="15" t="s">
        <v>156</v>
      </c>
      <c r="P2940" s="15" t="s">
        <v>15022</v>
      </c>
      <c r="Q2940" s="15" t="s">
        <v>8522</v>
      </c>
      <c r="R2940" s="16">
        <v>44329</v>
      </c>
      <c r="S2940" s="17" t="s">
        <v>9484</v>
      </c>
      <c r="T2940" s="20">
        <f>HYPERLINK("https://vnm.spiral.com.vn//uploaded/20210513/e561f20c-968a-470f-b4bd-8fc6040f1d85.JPEG","07:35:09")</f>
      </c>
      <c r="U2940" s="18"/>
      <c r="V2940" s="18" t="s">
        <v>35</v>
      </c>
      <c r="W2940" s="15" t="s">
        <v>15023</v>
      </c>
      <c r="X2940" s="15" t="s">
        <v>35</v>
      </c>
      <c r="Y2940" s="15" t="s">
        <v>35</v>
      </c>
      <c r="Z2940" s="19">
        <v>0</v>
      </c>
      <c r="AA2940" s="15">
        <v>0</v>
      </c>
      <c r="AB2940" s="15" t="s">
        <v>35</v>
      </c>
    </row>
    <row r="2941">
      <c r="A2941" s="15">
        <v>2937</v>
      </c>
      <c r="B2941" s="15" t="s">
        <v>61</v>
      </c>
      <c r="C2941" s="15" t="s">
        <v>320</v>
      </c>
      <c r="D2941" s="15" t="s">
        <v>35</v>
      </c>
      <c r="E2941" s="15" t="s">
        <v>35</v>
      </c>
      <c r="F2941" s="15" t="s">
        <v>35</v>
      </c>
      <c r="G2941" s="15" t="s">
        <v>36</v>
      </c>
      <c r="H2941" s="15" t="s">
        <v>15024</v>
      </c>
      <c r="I2941" s="15" t="s">
        <v>15025</v>
      </c>
      <c r="J2941" s="15" t="s">
        <v>15026</v>
      </c>
      <c r="K2941" s="15" t="s">
        <v>40</v>
      </c>
      <c r="L2941" s="15" t="s">
        <v>41</v>
      </c>
      <c r="M2941" s="15" t="s">
        <v>205</v>
      </c>
      <c r="N2941" s="15" t="s">
        <v>206</v>
      </c>
      <c r="O2941" s="15" t="s">
        <v>44</v>
      </c>
      <c r="P2941" s="15" t="s">
        <v>15027</v>
      </c>
      <c r="Q2941" s="15" t="s">
        <v>15028</v>
      </c>
      <c r="R2941" s="16">
        <v>44329</v>
      </c>
      <c r="S2941" s="17" t="s">
        <v>70</v>
      </c>
      <c r="T2941" s="20">
        <f>HYPERLINK("https://vnm.spiral.com.vn//uploaded/20210513/79391208-f2c8-406d-92d1-bbd2f3bcced6.JPEG","07:34:48")</f>
      </c>
      <c r="U2941" s="18"/>
      <c r="V2941" s="18" t="s">
        <v>35</v>
      </c>
      <c r="W2941" s="15" t="s">
        <v>15029</v>
      </c>
      <c r="X2941" s="15" t="s">
        <v>35</v>
      </c>
      <c r="Y2941" s="15" t="s">
        <v>35</v>
      </c>
      <c r="Z2941" s="19">
        <v>0</v>
      </c>
      <c r="AA2941" s="15">
        <v>0</v>
      </c>
      <c r="AB2941" s="15" t="s">
        <v>35</v>
      </c>
    </row>
    <row r="2942">
      <c r="A2942" s="15">
        <v>2938</v>
      </c>
      <c r="B2942" s="15" t="s">
        <v>33</v>
      </c>
      <c r="C2942" s="15" t="s">
        <v>211</v>
      </c>
      <c r="D2942" s="15" t="s">
        <v>35</v>
      </c>
      <c r="E2942" s="15" t="s">
        <v>35</v>
      </c>
      <c r="F2942" s="15" t="s">
        <v>35</v>
      </c>
      <c r="G2942" s="15" t="s">
        <v>36</v>
      </c>
      <c r="H2942" s="15" t="s">
        <v>15030</v>
      </c>
      <c r="I2942" s="15" t="s">
        <v>15031</v>
      </c>
      <c r="J2942" s="15" t="s">
        <v>15032</v>
      </c>
      <c r="K2942" s="15" t="s">
        <v>40</v>
      </c>
      <c r="L2942" s="15" t="s">
        <v>41</v>
      </c>
      <c r="M2942" s="15" t="s">
        <v>42</v>
      </c>
      <c r="N2942" s="15" t="s">
        <v>43</v>
      </c>
      <c r="O2942" s="15" t="s">
        <v>44</v>
      </c>
      <c r="P2942" s="15" t="s">
        <v>15033</v>
      </c>
      <c r="Q2942" s="15" t="s">
        <v>15034</v>
      </c>
      <c r="R2942" s="16">
        <v>44329</v>
      </c>
      <c r="S2942" s="17" t="s">
        <v>70</v>
      </c>
      <c r="T2942" s="20">
        <f>HYPERLINK("https://vnm.spiral.com.vn//uploaded/20210513/FE24016F-E135-4626-BEA9-9B2A21BC148D.jpg","07:34:32")</f>
      </c>
      <c r="U2942" s="18"/>
      <c r="V2942" s="18" t="s">
        <v>35</v>
      </c>
      <c r="W2942" s="15" t="s">
        <v>15035</v>
      </c>
      <c r="X2942" s="15" t="s">
        <v>35</v>
      </c>
      <c r="Y2942" s="15" t="s">
        <v>35</v>
      </c>
      <c r="Z2942" s="19">
        <v>0</v>
      </c>
      <c r="AA2942" s="15">
        <v>0</v>
      </c>
      <c r="AB2942" s="15" t="s">
        <v>35</v>
      </c>
    </row>
    <row r="2943">
      <c r="A2943" s="15">
        <v>2939</v>
      </c>
      <c r="B2943" s="15" t="s">
        <v>103</v>
      </c>
      <c r="C2943" s="15" t="s">
        <v>186</v>
      </c>
      <c r="D2943" s="15" t="s">
        <v>35</v>
      </c>
      <c r="E2943" s="15" t="s">
        <v>35</v>
      </c>
      <c r="F2943" s="15" t="s">
        <v>35</v>
      </c>
      <c r="G2943" s="15" t="s">
        <v>36</v>
      </c>
      <c r="H2943" s="15" t="s">
        <v>6012</v>
      </c>
      <c r="I2943" s="15" t="s">
        <v>6013</v>
      </c>
      <c r="J2943" s="15" t="s">
        <v>6014</v>
      </c>
      <c r="K2943" s="15" t="s">
        <v>40</v>
      </c>
      <c r="L2943" s="15" t="s">
        <v>41</v>
      </c>
      <c r="M2943" s="15" t="s">
        <v>565</v>
      </c>
      <c r="N2943" s="15" t="s">
        <v>566</v>
      </c>
      <c r="O2943" s="15" t="s">
        <v>44</v>
      </c>
      <c r="P2943" s="15" t="s">
        <v>6015</v>
      </c>
      <c r="Q2943" s="15" t="s">
        <v>6016</v>
      </c>
      <c r="R2943" s="16">
        <v>44329</v>
      </c>
      <c r="S2943" s="17" t="s">
        <v>8968</v>
      </c>
      <c r="T2943" s="20">
        <f>HYPERLINK("https://vnm.spiral.com.vn//uploaded/20210513/a7bd92c7-d7c9-41f8-b3d5-512916f7866b.JPEG","07:33:19")</f>
      </c>
      <c r="U2943" s="18"/>
      <c r="V2943" s="18" t="s">
        <v>35</v>
      </c>
      <c r="W2943" s="15" t="s">
        <v>15036</v>
      </c>
      <c r="X2943" s="15" t="s">
        <v>35</v>
      </c>
      <c r="Y2943" s="15" t="s">
        <v>35</v>
      </c>
      <c r="Z2943" s="19">
        <v>0</v>
      </c>
      <c r="AA2943" s="15">
        <v>0</v>
      </c>
      <c r="AB2943" s="15" t="s">
        <v>35</v>
      </c>
    </row>
    <row r="2944">
      <c r="A2944" s="15">
        <v>2940</v>
      </c>
      <c r="B2944" s="15" t="s">
        <v>49</v>
      </c>
      <c r="C2944" s="15" t="s">
        <v>369</v>
      </c>
      <c r="D2944" s="15" t="s">
        <v>304</v>
      </c>
      <c r="E2944" s="15" t="s">
        <v>305</v>
      </c>
      <c r="F2944" s="15" t="s">
        <v>35</v>
      </c>
      <c r="G2944" s="15" t="s">
        <v>74</v>
      </c>
      <c r="H2944" s="15" t="s">
        <v>4693</v>
      </c>
      <c r="I2944" s="15" t="s">
        <v>4694</v>
      </c>
      <c r="J2944" s="15" t="s">
        <v>4695</v>
      </c>
      <c r="K2944" s="15" t="s">
        <v>168</v>
      </c>
      <c r="L2944" s="15" t="s">
        <v>169</v>
      </c>
      <c r="M2944" s="15" t="s">
        <v>383</v>
      </c>
      <c r="N2944" s="15" t="s">
        <v>384</v>
      </c>
      <c r="O2944" s="15" t="s">
        <v>156</v>
      </c>
      <c r="P2944" s="15" t="s">
        <v>15037</v>
      </c>
      <c r="Q2944" s="15" t="s">
        <v>15038</v>
      </c>
      <c r="R2944" s="16">
        <v>44329</v>
      </c>
      <c r="S2944" s="17" t="s">
        <v>70</v>
      </c>
      <c r="T2944" s="20">
        <f>HYPERLINK("https://vnm.spiral.com.vn//uploaded/20210513/CBFF0FEE-FE68-4372-9FE4-577070142CB6.jpg","07:32:52")</f>
      </c>
      <c r="U2944" s="18"/>
      <c r="V2944" s="18" t="s">
        <v>35</v>
      </c>
      <c r="W2944" s="15" t="s">
        <v>15039</v>
      </c>
      <c r="X2944" s="15" t="s">
        <v>35</v>
      </c>
      <c r="Y2944" s="15" t="s">
        <v>35</v>
      </c>
      <c r="Z2944" s="19">
        <v>0</v>
      </c>
      <c r="AA2944" s="15">
        <v>0</v>
      </c>
      <c r="AB2944" s="15" t="s">
        <v>35</v>
      </c>
    </row>
    <row r="2945">
      <c r="A2945" s="15">
        <v>2941</v>
      </c>
      <c r="B2945" s="15" t="s">
        <v>61</v>
      </c>
      <c r="C2945" s="15" t="s">
        <v>737</v>
      </c>
      <c r="D2945" s="15" t="s">
        <v>35</v>
      </c>
      <c r="E2945" s="15" t="s">
        <v>35</v>
      </c>
      <c r="F2945" s="15" t="s">
        <v>35</v>
      </c>
      <c r="G2945" s="15" t="s">
        <v>36</v>
      </c>
      <c r="H2945" s="15" t="s">
        <v>11024</v>
      </c>
      <c r="I2945" s="15" t="s">
        <v>7268</v>
      </c>
      <c r="J2945" s="15" t="s">
        <v>11025</v>
      </c>
      <c r="K2945" s="15" t="s">
        <v>40</v>
      </c>
      <c r="L2945" s="15" t="s">
        <v>41</v>
      </c>
      <c r="M2945" s="15" t="s">
        <v>205</v>
      </c>
      <c r="N2945" s="15" t="s">
        <v>206</v>
      </c>
      <c r="O2945" s="15" t="s">
        <v>44</v>
      </c>
      <c r="P2945" s="15" t="s">
        <v>11026</v>
      </c>
      <c r="Q2945" s="15" t="s">
        <v>11027</v>
      </c>
      <c r="R2945" s="16">
        <v>44329</v>
      </c>
      <c r="S2945" s="17" t="s">
        <v>2925</v>
      </c>
      <c r="T2945" s="20">
        <f>HYPERLINK("https://vnm.spiral.com.vn//uploaded/20210513/47731d7b-89f1-48af-9ad6-eb1b6e6fdab1.JPEG","07:31:57")</f>
      </c>
      <c r="U2945" s="18"/>
      <c r="V2945" s="18" t="s">
        <v>35</v>
      </c>
      <c r="W2945" s="15" t="s">
        <v>15040</v>
      </c>
      <c r="X2945" s="15" t="s">
        <v>35</v>
      </c>
      <c r="Y2945" s="15" t="s">
        <v>35</v>
      </c>
      <c r="Z2945" s="19">
        <v>0</v>
      </c>
      <c r="AA2945" s="15">
        <v>0</v>
      </c>
      <c r="AB2945" s="15" t="s">
        <v>35</v>
      </c>
    </row>
    <row r="2946">
      <c r="A2946" s="15">
        <v>2942</v>
      </c>
      <c r="B2946" s="15" t="s">
        <v>49</v>
      </c>
      <c r="C2946" s="15" t="s">
        <v>468</v>
      </c>
      <c r="D2946" s="15" t="s">
        <v>89</v>
      </c>
      <c r="E2946" s="15" t="s">
        <v>90</v>
      </c>
      <c r="F2946" s="15" t="s">
        <v>35</v>
      </c>
      <c r="G2946" s="15" t="s">
        <v>74</v>
      </c>
      <c r="H2946" s="15" t="s">
        <v>2421</v>
      </c>
      <c r="I2946" s="15" t="s">
        <v>2422</v>
      </c>
      <c r="J2946" s="15" t="s">
        <v>2423</v>
      </c>
      <c r="K2946" s="15" t="s">
        <v>166</v>
      </c>
      <c r="L2946" s="15" t="s">
        <v>167</v>
      </c>
      <c r="M2946" s="15" t="s">
        <v>168</v>
      </c>
      <c r="N2946" s="15" t="s">
        <v>169</v>
      </c>
      <c r="O2946" s="15" t="s">
        <v>156</v>
      </c>
      <c r="P2946" s="15" t="s">
        <v>15041</v>
      </c>
      <c r="Q2946" s="15" t="s">
        <v>15042</v>
      </c>
      <c r="R2946" s="16">
        <v>44329</v>
      </c>
      <c r="S2946" s="17" t="s">
        <v>273</v>
      </c>
      <c r="T2946" s="20">
        <f>HYPERLINK("https://vnm.spiral.com.vn//uploaded/20210513/769929AC-02D9-4B25-93AE-8226AF2B0917.jpg","07:31:44")</f>
      </c>
      <c r="U2946" s="18"/>
      <c r="V2946" s="18" t="s">
        <v>35</v>
      </c>
      <c r="W2946" s="15" t="s">
        <v>15043</v>
      </c>
      <c r="X2946" s="15" t="s">
        <v>35</v>
      </c>
      <c r="Y2946" s="15" t="s">
        <v>35</v>
      </c>
      <c r="Z2946" s="19">
        <v>0</v>
      </c>
      <c r="AA2946" s="15">
        <v>0</v>
      </c>
      <c r="AB2946" s="15" t="s">
        <v>35</v>
      </c>
    </row>
    <row r="2947">
      <c r="A2947" s="15">
        <v>2943</v>
      </c>
      <c r="B2947" s="15" t="s">
        <v>246</v>
      </c>
      <c r="C2947" s="15" t="s">
        <v>276</v>
      </c>
      <c r="D2947" s="15" t="s">
        <v>35</v>
      </c>
      <c r="E2947" s="15" t="s">
        <v>35</v>
      </c>
      <c r="F2947" s="15" t="s">
        <v>8302</v>
      </c>
      <c r="G2947" s="15" t="s">
        <v>36</v>
      </c>
      <c r="H2947" s="15" t="s">
        <v>15044</v>
      </c>
      <c r="I2947" s="15" t="s">
        <v>15045</v>
      </c>
      <c r="J2947" s="15" t="s">
        <v>15046</v>
      </c>
      <c r="K2947" s="15" t="s">
        <v>40</v>
      </c>
      <c r="L2947" s="15" t="s">
        <v>41</v>
      </c>
      <c r="M2947" s="15" t="s">
        <v>252</v>
      </c>
      <c r="N2947" s="15" t="s">
        <v>253</v>
      </c>
      <c r="O2947" s="15" t="s">
        <v>44</v>
      </c>
      <c r="P2947" s="15" t="s">
        <v>15047</v>
      </c>
      <c r="Q2947" s="15" t="s">
        <v>15048</v>
      </c>
      <c r="R2947" s="16">
        <v>44329</v>
      </c>
      <c r="S2947" s="17" t="s">
        <v>2779</v>
      </c>
      <c r="T2947" s="20">
        <f>HYPERLINK("https://vnm.spiral.com.vn//uploaded/20210513/EDEE8C15-D386-4393-B99A-EF66E18253D9.jpg","07:31:42")</f>
      </c>
      <c r="U2947" s="18"/>
      <c r="V2947" s="18" t="s">
        <v>35</v>
      </c>
      <c r="W2947" s="15" t="s">
        <v>15049</v>
      </c>
      <c r="X2947" s="15" t="s">
        <v>35</v>
      </c>
      <c r="Y2947" s="15" t="s">
        <v>35</v>
      </c>
      <c r="Z2947" s="19">
        <v>0</v>
      </c>
      <c r="AA2947" s="15">
        <v>0</v>
      </c>
      <c r="AB2947" s="15" t="s">
        <v>35</v>
      </c>
    </row>
    <row r="2948">
      <c r="A2948" s="15">
        <v>2944</v>
      </c>
      <c r="B2948" s="15" t="s">
        <v>61</v>
      </c>
      <c r="C2948" s="15" t="s">
        <v>147</v>
      </c>
      <c r="D2948" s="15" t="s">
        <v>35</v>
      </c>
      <c r="E2948" s="15" t="s">
        <v>35</v>
      </c>
      <c r="F2948" s="15" t="s">
        <v>35</v>
      </c>
      <c r="G2948" s="15" t="s">
        <v>36</v>
      </c>
      <c r="H2948" s="15" t="s">
        <v>15050</v>
      </c>
      <c r="I2948" s="15" t="s">
        <v>15051</v>
      </c>
      <c r="J2948" s="15" t="s">
        <v>15052</v>
      </c>
      <c r="K2948" s="15" t="s">
        <v>40</v>
      </c>
      <c r="L2948" s="15" t="s">
        <v>41</v>
      </c>
      <c r="M2948" s="15" t="s">
        <v>66</v>
      </c>
      <c r="N2948" s="15" t="s">
        <v>67</v>
      </c>
      <c r="O2948" s="15" t="s">
        <v>44</v>
      </c>
      <c r="P2948" s="15" t="s">
        <v>15053</v>
      </c>
      <c r="Q2948" s="15" t="s">
        <v>15054</v>
      </c>
      <c r="R2948" s="16">
        <v>44329</v>
      </c>
      <c r="S2948" s="17" t="s">
        <v>70</v>
      </c>
      <c r="T2948" s="20">
        <f>HYPERLINK("https://vnm.spiral.com.vn//uploaded/20210513/93872002-d22c-4f85-924c-470e882ad293.JPEG","07:31:02")</f>
      </c>
      <c r="U2948" s="18"/>
      <c r="V2948" s="18" t="s">
        <v>35</v>
      </c>
      <c r="W2948" s="15" t="s">
        <v>15055</v>
      </c>
      <c r="X2948" s="15" t="s">
        <v>35</v>
      </c>
      <c r="Y2948" s="15" t="s">
        <v>35</v>
      </c>
      <c r="Z2948" s="19">
        <v>0</v>
      </c>
      <c r="AA2948" s="15">
        <v>0</v>
      </c>
      <c r="AB2948" s="15" t="s">
        <v>35</v>
      </c>
    </row>
    <row r="2949">
      <c r="A2949" s="15">
        <v>2945</v>
      </c>
      <c r="B2949" s="15" t="s">
        <v>49</v>
      </c>
      <c r="C2949" s="15" t="s">
        <v>756</v>
      </c>
      <c r="D2949" s="15" t="s">
        <v>35</v>
      </c>
      <c r="E2949" s="15" t="s">
        <v>35</v>
      </c>
      <c r="F2949" s="15" t="s">
        <v>15056</v>
      </c>
      <c r="G2949" s="15" t="s">
        <v>36</v>
      </c>
      <c r="H2949" s="15" t="s">
        <v>15057</v>
      </c>
      <c r="I2949" s="15" t="s">
        <v>15058</v>
      </c>
      <c r="J2949" s="15" t="s">
        <v>15059</v>
      </c>
      <c r="K2949" s="15" t="s">
        <v>40</v>
      </c>
      <c r="L2949" s="15" t="s">
        <v>41</v>
      </c>
      <c r="M2949" s="15" t="s">
        <v>55</v>
      </c>
      <c r="N2949" s="15" t="s">
        <v>56</v>
      </c>
      <c r="O2949" s="15" t="s">
        <v>44</v>
      </c>
      <c r="P2949" s="15" t="s">
        <v>15060</v>
      </c>
      <c r="Q2949" s="15" t="s">
        <v>15061</v>
      </c>
      <c r="R2949" s="16">
        <v>44329</v>
      </c>
      <c r="S2949" s="17" t="s">
        <v>293</v>
      </c>
      <c r="T2949" s="20">
        <f>HYPERLINK("https://vnm.spiral.com.vn//uploaded/20210513/461C4561-677C-40AE-8DBA-DC8C7D011214.jpg","07:30:35")</f>
      </c>
      <c r="U2949" s="18"/>
      <c r="V2949" s="18" t="s">
        <v>35</v>
      </c>
      <c r="W2949" s="15" t="s">
        <v>15062</v>
      </c>
      <c r="X2949" s="15" t="s">
        <v>35</v>
      </c>
      <c r="Y2949" s="15" t="s">
        <v>35</v>
      </c>
      <c r="Z2949" s="19">
        <v>0</v>
      </c>
      <c r="AA2949" s="15">
        <v>0</v>
      </c>
      <c r="AB2949" s="15" t="s">
        <v>35</v>
      </c>
    </row>
    <row r="2950">
      <c r="A2950" s="15">
        <v>2946</v>
      </c>
      <c r="B2950" s="15" t="s">
        <v>103</v>
      </c>
      <c r="C2950" s="15" t="s">
        <v>104</v>
      </c>
      <c r="D2950" s="15" t="s">
        <v>35</v>
      </c>
      <c r="E2950" s="15" t="s">
        <v>35</v>
      </c>
      <c r="F2950" s="15" t="s">
        <v>35</v>
      </c>
      <c r="G2950" s="15" t="s">
        <v>36</v>
      </c>
      <c r="H2950" s="15" t="s">
        <v>15063</v>
      </c>
      <c r="I2950" s="15" t="s">
        <v>15064</v>
      </c>
      <c r="J2950" s="15" t="s">
        <v>15065</v>
      </c>
      <c r="K2950" s="15" t="s">
        <v>40</v>
      </c>
      <c r="L2950" s="15" t="s">
        <v>41</v>
      </c>
      <c r="M2950" s="15" t="s">
        <v>108</v>
      </c>
      <c r="N2950" s="15" t="s">
        <v>109</v>
      </c>
      <c r="O2950" s="15" t="s">
        <v>44</v>
      </c>
      <c r="P2950" s="15" t="s">
        <v>15066</v>
      </c>
      <c r="Q2950" s="15" t="s">
        <v>15067</v>
      </c>
      <c r="R2950" s="16">
        <v>44329</v>
      </c>
      <c r="S2950" s="17" t="s">
        <v>13344</v>
      </c>
      <c r="T2950" s="20">
        <f>HYPERLINK("https://vnm.spiral.com.vn//uploaded/20210513/AC5F3AC4-5E4F-4EEE-9D39-5E3F3BCC694C.jpg","07:29:34")</f>
      </c>
      <c r="U2950" s="18"/>
      <c r="V2950" s="18" t="s">
        <v>35</v>
      </c>
      <c r="W2950" s="15" t="s">
        <v>15068</v>
      </c>
      <c r="X2950" s="15" t="s">
        <v>35</v>
      </c>
      <c r="Y2950" s="15" t="s">
        <v>35</v>
      </c>
      <c r="Z2950" s="19">
        <v>0</v>
      </c>
      <c r="AA2950" s="15">
        <v>0</v>
      </c>
      <c r="AB2950" s="15" t="s">
        <v>35</v>
      </c>
    </row>
    <row r="2951">
      <c r="A2951" s="15">
        <v>2947</v>
      </c>
      <c r="B2951" s="15" t="s">
        <v>343</v>
      </c>
      <c r="C2951" s="15" t="s">
        <v>2069</v>
      </c>
      <c r="D2951" s="15" t="s">
        <v>89</v>
      </c>
      <c r="E2951" s="15" t="s">
        <v>90</v>
      </c>
      <c r="F2951" s="15" t="s">
        <v>35</v>
      </c>
      <c r="G2951" s="15" t="s">
        <v>74</v>
      </c>
      <c r="H2951" s="15" t="s">
        <v>15069</v>
      </c>
      <c r="I2951" s="15" t="s">
        <v>15070</v>
      </c>
      <c r="J2951" s="15" t="s">
        <v>15071</v>
      </c>
      <c r="K2951" s="15" t="s">
        <v>1168</v>
      </c>
      <c r="L2951" s="15" t="s">
        <v>1169</v>
      </c>
      <c r="M2951" s="15" t="s">
        <v>1170</v>
      </c>
      <c r="N2951" s="15" t="s">
        <v>1171</v>
      </c>
      <c r="O2951" s="15" t="s">
        <v>156</v>
      </c>
      <c r="P2951" s="15" t="s">
        <v>15072</v>
      </c>
      <c r="Q2951" s="15" t="s">
        <v>3435</v>
      </c>
      <c r="R2951" s="16">
        <v>44329</v>
      </c>
      <c r="S2951" s="17" t="s">
        <v>256</v>
      </c>
      <c r="T2951" s="20">
        <f>HYPERLINK("https://vnm.spiral.com.vn//uploaded/20210513/0AF15E6E-4B19-4BA6-AFFA-1286C31FBA88.jpg","07:29:04")</f>
      </c>
      <c r="U2951" s="18"/>
      <c r="V2951" s="18" t="s">
        <v>35</v>
      </c>
      <c r="W2951" s="15" t="s">
        <v>15073</v>
      </c>
      <c r="X2951" s="15" t="s">
        <v>35</v>
      </c>
      <c r="Y2951" s="15" t="s">
        <v>35</v>
      </c>
      <c r="Z2951" s="19">
        <v>0</v>
      </c>
      <c r="AA2951" s="15">
        <v>0</v>
      </c>
      <c r="AB2951" s="15" t="s">
        <v>35</v>
      </c>
    </row>
    <row r="2952">
      <c r="A2952" s="15">
        <v>2948</v>
      </c>
      <c r="B2952" s="15" t="s">
        <v>33</v>
      </c>
      <c r="C2952" s="15" t="s">
        <v>2999</v>
      </c>
      <c r="D2952" s="15" t="s">
        <v>35</v>
      </c>
      <c r="E2952" s="15" t="s">
        <v>35</v>
      </c>
      <c r="F2952" s="15" t="s">
        <v>35</v>
      </c>
      <c r="G2952" s="15" t="s">
        <v>74</v>
      </c>
      <c r="H2952" s="15" t="s">
        <v>15074</v>
      </c>
      <c r="I2952" s="15" t="s">
        <v>15075</v>
      </c>
      <c r="J2952" s="15" t="s">
        <v>15076</v>
      </c>
      <c r="K2952" s="15" t="s">
        <v>2887</v>
      </c>
      <c r="L2952" s="15" t="s">
        <v>2888</v>
      </c>
      <c r="M2952" s="15" t="s">
        <v>2889</v>
      </c>
      <c r="N2952" s="15" t="s">
        <v>2890</v>
      </c>
      <c r="O2952" s="15" t="s">
        <v>82</v>
      </c>
      <c r="P2952" s="15" t="s">
        <v>3003</v>
      </c>
      <c r="Q2952" s="15" t="s">
        <v>1155</v>
      </c>
      <c r="R2952" s="16">
        <v>44329</v>
      </c>
      <c r="S2952" s="17" t="s">
        <v>70</v>
      </c>
      <c r="T2952" s="20">
        <f>HYPERLINK("https://vnm.spiral.com.vn//uploaded/20210513/a7077463-076e-416c-9841-aa2e2c2f85f6.JPEG","06:44:23")</f>
      </c>
      <c r="U2952" s="20">
        <f>HYPERLINK("https://vnm.spiral.com.vn//uploaded/20210513/810f04e9-ca01-4b90-8928-73bd2e19d857.JPEG","07:28:21")</f>
      </c>
      <c r="V2952" s="18">
        <v>0.030532407407407407</v>
      </c>
      <c r="W2952" s="15" t="s">
        <v>15077</v>
      </c>
      <c r="X2952" s="15" t="s">
        <v>15078</v>
      </c>
      <c r="Y2952" s="15" t="s">
        <v>35</v>
      </c>
      <c r="Z2952" s="19">
        <v>0</v>
      </c>
      <c r="AA2952" s="15">
        <v>0</v>
      </c>
      <c r="AB2952" s="15" t="s">
        <v>35</v>
      </c>
    </row>
    <row r="2953">
      <c r="A2953" s="15">
        <v>2949</v>
      </c>
      <c r="B2953" s="15" t="s">
        <v>61</v>
      </c>
      <c r="C2953" s="15" t="s">
        <v>201</v>
      </c>
      <c r="D2953" s="15" t="s">
        <v>35</v>
      </c>
      <c r="E2953" s="15" t="s">
        <v>35</v>
      </c>
      <c r="F2953" s="15" t="s">
        <v>35</v>
      </c>
      <c r="G2953" s="15" t="s">
        <v>36</v>
      </c>
      <c r="H2953" s="15" t="s">
        <v>15079</v>
      </c>
      <c r="I2953" s="15" t="s">
        <v>15080</v>
      </c>
      <c r="J2953" s="15" t="s">
        <v>15081</v>
      </c>
      <c r="K2953" s="15" t="s">
        <v>40</v>
      </c>
      <c r="L2953" s="15" t="s">
        <v>41</v>
      </c>
      <c r="M2953" s="15" t="s">
        <v>66</v>
      </c>
      <c r="N2953" s="15" t="s">
        <v>67</v>
      </c>
      <c r="O2953" s="15" t="s">
        <v>44</v>
      </c>
      <c r="P2953" s="15" t="s">
        <v>15082</v>
      </c>
      <c r="Q2953" s="15" t="s">
        <v>15083</v>
      </c>
      <c r="R2953" s="16">
        <v>44329</v>
      </c>
      <c r="S2953" s="17" t="s">
        <v>70</v>
      </c>
      <c r="T2953" s="20">
        <f>HYPERLINK("https://vnm.spiral.com.vn//uploaded/20210513/2cd138ba-7be8-4105-9709-677e492ac0c9.JPEG","07:28:17")</f>
      </c>
      <c r="U2953" s="18"/>
      <c r="V2953" s="18" t="s">
        <v>35</v>
      </c>
      <c r="W2953" s="15" t="s">
        <v>15084</v>
      </c>
      <c r="X2953" s="15" t="s">
        <v>35</v>
      </c>
      <c r="Y2953" s="15" t="s">
        <v>35</v>
      </c>
      <c r="Z2953" s="19">
        <v>0</v>
      </c>
      <c r="AA2953" s="15">
        <v>0</v>
      </c>
      <c r="AB2953" s="15" t="s">
        <v>35</v>
      </c>
    </row>
    <row r="2954">
      <c r="A2954" s="15">
        <v>2950</v>
      </c>
      <c r="B2954" s="15" t="s">
        <v>33</v>
      </c>
      <c r="C2954" s="15" t="s">
        <v>492</v>
      </c>
      <c r="D2954" s="15" t="s">
        <v>35</v>
      </c>
      <c r="E2954" s="15" t="s">
        <v>35</v>
      </c>
      <c r="F2954" s="15" t="s">
        <v>15085</v>
      </c>
      <c r="G2954" s="15" t="s">
        <v>36</v>
      </c>
      <c r="H2954" s="15" t="s">
        <v>15086</v>
      </c>
      <c r="I2954" s="15" t="s">
        <v>15087</v>
      </c>
      <c r="J2954" s="15" t="s">
        <v>15088</v>
      </c>
      <c r="K2954" s="15" t="s">
        <v>40</v>
      </c>
      <c r="L2954" s="15" t="s">
        <v>41</v>
      </c>
      <c r="M2954" s="15" t="s">
        <v>42</v>
      </c>
      <c r="N2954" s="15" t="s">
        <v>43</v>
      </c>
      <c r="O2954" s="15" t="s">
        <v>44</v>
      </c>
      <c r="P2954" s="15" t="s">
        <v>15089</v>
      </c>
      <c r="Q2954" s="15" t="s">
        <v>15090</v>
      </c>
      <c r="R2954" s="16">
        <v>44329</v>
      </c>
      <c r="S2954" s="17" t="s">
        <v>70</v>
      </c>
      <c r="T2954" s="20">
        <f>HYPERLINK("https://vnm.spiral.com.vn//uploaded/20210513/1106CC0B-7516-43E0-AADB-7655E85FCA5E.jpg","07:28:04")</f>
      </c>
      <c r="U2954" s="18"/>
      <c r="V2954" s="18" t="s">
        <v>35</v>
      </c>
      <c r="W2954" s="15" t="s">
        <v>15091</v>
      </c>
      <c r="X2954" s="15" t="s">
        <v>35</v>
      </c>
      <c r="Y2954" s="15" t="s">
        <v>35</v>
      </c>
      <c r="Z2954" s="19">
        <v>0</v>
      </c>
      <c r="AA2954" s="15">
        <v>0</v>
      </c>
      <c r="AB2954" s="15" t="s">
        <v>35</v>
      </c>
    </row>
    <row r="2955">
      <c r="A2955" s="15">
        <v>2951</v>
      </c>
      <c r="B2955" s="15" t="s">
        <v>49</v>
      </c>
      <c r="C2955" s="15" t="s">
        <v>162</v>
      </c>
      <c r="D2955" s="15" t="s">
        <v>89</v>
      </c>
      <c r="E2955" s="15" t="s">
        <v>90</v>
      </c>
      <c r="F2955" s="15" t="s">
        <v>35</v>
      </c>
      <c r="G2955" s="15" t="s">
        <v>74</v>
      </c>
      <c r="H2955" s="15" t="s">
        <v>15092</v>
      </c>
      <c r="I2955" s="15" t="s">
        <v>15093</v>
      </c>
      <c r="J2955" s="15" t="s">
        <v>15094</v>
      </c>
      <c r="K2955" s="15" t="s">
        <v>166</v>
      </c>
      <c r="L2955" s="15" t="s">
        <v>167</v>
      </c>
      <c r="M2955" s="15" t="s">
        <v>168</v>
      </c>
      <c r="N2955" s="15" t="s">
        <v>169</v>
      </c>
      <c r="O2955" s="15" t="s">
        <v>156</v>
      </c>
      <c r="P2955" s="15" t="s">
        <v>15095</v>
      </c>
      <c r="Q2955" s="15" t="s">
        <v>15096</v>
      </c>
      <c r="R2955" s="16">
        <v>44329</v>
      </c>
      <c r="S2955" s="17" t="s">
        <v>243</v>
      </c>
      <c r="T2955" s="20">
        <f>HYPERLINK("https://vnm.spiral.com.vn//uploaded/20210513/AD7838C9-7F81-4290-AEF1-75B75E43DFF9.jpg","07:27:55")</f>
      </c>
      <c r="U2955" s="18"/>
      <c r="V2955" s="18" t="s">
        <v>35</v>
      </c>
      <c r="W2955" s="15" t="s">
        <v>15097</v>
      </c>
      <c r="X2955" s="15" t="s">
        <v>35</v>
      </c>
      <c r="Y2955" s="15" t="s">
        <v>35</v>
      </c>
      <c r="Z2955" s="19">
        <v>0</v>
      </c>
      <c r="AA2955" s="15">
        <v>0</v>
      </c>
      <c r="AB2955" s="15" t="s">
        <v>35</v>
      </c>
    </row>
    <row r="2956">
      <c r="A2956" s="15">
        <v>2952</v>
      </c>
      <c r="B2956" s="15" t="s">
        <v>49</v>
      </c>
      <c r="C2956" s="15" t="s">
        <v>369</v>
      </c>
      <c r="D2956" s="15" t="s">
        <v>35</v>
      </c>
      <c r="E2956" s="15" t="s">
        <v>35</v>
      </c>
      <c r="F2956" s="15" t="s">
        <v>5030</v>
      </c>
      <c r="G2956" s="15" t="s">
        <v>36</v>
      </c>
      <c r="H2956" s="15" t="s">
        <v>15098</v>
      </c>
      <c r="I2956" s="15" t="s">
        <v>15099</v>
      </c>
      <c r="J2956" s="15" t="s">
        <v>3461</v>
      </c>
      <c r="K2956" s="15" t="s">
        <v>40</v>
      </c>
      <c r="L2956" s="15" t="s">
        <v>41</v>
      </c>
      <c r="M2956" s="15" t="s">
        <v>55</v>
      </c>
      <c r="N2956" s="15" t="s">
        <v>56</v>
      </c>
      <c r="O2956" s="15" t="s">
        <v>44</v>
      </c>
      <c r="P2956" s="15" t="s">
        <v>15100</v>
      </c>
      <c r="Q2956" s="15" t="s">
        <v>15101</v>
      </c>
      <c r="R2956" s="16">
        <v>44329</v>
      </c>
      <c r="S2956" s="17" t="s">
        <v>70</v>
      </c>
      <c r="T2956" s="20">
        <f>HYPERLINK("https://vnm.spiral.com.vn//uploaded/20210513/061E6686-FA4E-4068-A7BC-0A9B28A548C9.jpg","07:27:54")</f>
      </c>
      <c r="U2956" s="18"/>
      <c r="V2956" s="18" t="s">
        <v>35</v>
      </c>
      <c r="W2956" s="15" t="s">
        <v>15102</v>
      </c>
      <c r="X2956" s="15" t="s">
        <v>35</v>
      </c>
      <c r="Y2956" s="15" t="s">
        <v>35</v>
      </c>
      <c r="Z2956" s="19">
        <v>0</v>
      </c>
      <c r="AA2956" s="15">
        <v>0</v>
      </c>
      <c r="AB2956" s="15" t="s">
        <v>35</v>
      </c>
    </row>
    <row r="2957">
      <c r="A2957" s="15">
        <v>2953</v>
      </c>
      <c r="B2957" s="15" t="s">
        <v>61</v>
      </c>
      <c r="C2957" s="15" t="s">
        <v>442</v>
      </c>
      <c r="D2957" s="15" t="s">
        <v>35</v>
      </c>
      <c r="E2957" s="15" t="s">
        <v>35</v>
      </c>
      <c r="F2957" s="15" t="s">
        <v>35</v>
      </c>
      <c r="G2957" s="15" t="s">
        <v>36</v>
      </c>
      <c r="H2957" s="15" t="s">
        <v>15103</v>
      </c>
      <c r="I2957" s="15" t="s">
        <v>15104</v>
      </c>
      <c r="J2957" s="15" t="s">
        <v>15105</v>
      </c>
      <c r="K2957" s="15" t="s">
        <v>40</v>
      </c>
      <c r="L2957" s="15" t="s">
        <v>41</v>
      </c>
      <c r="M2957" s="15" t="s">
        <v>205</v>
      </c>
      <c r="N2957" s="15" t="s">
        <v>206</v>
      </c>
      <c r="O2957" s="15" t="s">
        <v>44</v>
      </c>
      <c r="P2957" s="15" t="s">
        <v>15106</v>
      </c>
      <c r="Q2957" s="15" t="s">
        <v>15107</v>
      </c>
      <c r="R2957" s="16">
        <v>44329</v>
      </c>
      <c r="S2957" s="17" t="s">
        <v>256</v>
      </c>
      <c r="T2957" s="20">
        <f>HYPERLINK("https://vnm.spiral.com.vn//uploaded/20210513/311ab840-4a0e-4d5a-88d5-5327831546b1.JPEG","07:27:45")</f>
      </c>
      <c r="U2957" s="18"/>
      <c r="V2957" s="18" t="s">
        <v>35</v>
      </c>
      <c r="W2957" s="15" t="s">
        <v>15108</v>
      </c>
      <c r="X2957" s="15" t="s">
        <v>35</v>
      </c>
      <c r="Y2957" s="15" t="s">
        <v>35</v>
      </c>
      <c r="Z2957" s="19">
        <v>0</v>
      </c>
      <c r="AA2957" s="15">
        <v>0</v>
      </c>
      <c r="AB2957" s="15" t="s">
        <v>35</v>
      </c>
    </row>
    <row r="2958">
      <c r="A2958" s="15">
        <v>2954</v>
      </c>
      <c r="B2958" s="15" t="s">
        <v>246</v>
      </c>
      <c r="C2958" s="15" t="s">
        <v>259</v>
      </c>
      <c r="D2958" s="15" t="s">
        <v>304</v>
      </c>
      <c r="E2958" s="15" t="s">
        <v>305</v>
      </c>
      <c r="F2958" s="15" t="s">
        <v>35</v>
      </c>
      <c r="G2958" s="15" t="s">
        <v>74</v>
      </c>
      <c r="H2958" s="15" t="s">
        <v>10838</v>
      </c>
      <c r="I2958" s="15" t="s">
        <v>10839</v>
      </c>
      <c r="J2958" s="15" t="s">
        <v>10840</v>
      </c>
      <c r="K2958" s="15" t="s">
        <v>263</v>
      </c>
      <c r="L2958" s="15" t="s">
        <v>264</v>
      </c>
      <c r="M2958" s="15" t="s">
        <v>339</v>
      </c>
      <c r="N2958" s="15" t="s">
        <v>340</v>
      </c>
      <c r="O2958" s="15" t="s">
        <v>156</v>
      </c>
      <c r="P2958" s="15" t="s">
        <v>15109</v>
      </c>
      <c r="Q2958" s="15" t="s">
        <v>15110</v>
      </c>
      <c r="R2958" s="16">
        <v>44329</v>
      </c>
      <c r="S2958" s="17" t="s">
        <v>2779</v>
      </c>
      <c r="T2958" s="20">
        <f>HYPERLINK("https://vnm.spiral.com.vn//uploaded/20210513/3617470d-9dee-420e-b855-14437cbcadd3.JPEG","07:26:57")</f>
      </c>
      <c r="U2958" s="18"/>
      <c r="V2958" s="18" t="s">
        <v>35</v>
      </c>
      <c r="W2958" s="15" t="s">
        <v>15111</v>
      </c>
      <c r="X2958" s="15" t="s">
        <v>35</v>
      </c>
      <c r="Y2958" s="15" t="s">
        <v>35</v>
      </c>
      <c r="Z2958" s="19">
        <v>0</v>
      </c>
      <c r="AA2958" s="15">
        <v>0</v>
      </c>
      <c r="AB2958" s="15" t="s">
        <v>35</v>
      </c>
    </row>
    <row r="2959">
      <c r="A2959" s="15">
        <v>2955</v>
      </c>
      <c r="B2959" s="15" t="s">
        <v>33</v>
      </c>
      <c r="C2959" s="15" t="s">
        <v>492</v>
      </c>
      <c r="D2959" s="15" t="s">
        <v>35</v>
      </c>
      <c r="E2959" s="15" t="s">
        <v>35</v>
      </c>
      <c r="F2959" s="15" t="s">
        <v>15085</v>
      </c>
      <c r="G2959" s="15" t="s">
        <v>36</v>
      </c>
      <c r="H2959" s="15" t="s">
        <v>15112</v>
      </c>
      <c r="I2959" s="15" t="s">
        <v>15113</v>
      </c>
      <c r="J2959" s="15" t="s">
        <v>15114</v>
      </c>
      <c r="K2959" s="15" t="s">
        <v>40</v>
      </c>
      <c r="L2959" s="15" t="s">
        <v>41</v>
      </c>
      <c r="M2959" s="15" t="s">
        <v>42</v>
      </c>
      <c r="N2959" s="15" t="s">
        <v>43</v>
      </c>
      <c r="O2959" s="15" t="s">
        <v>44</v>
      </c>
      <c r="P2959" s="15" t="s">
        <v>15115</v>
      </c>
      <c r="Q2959" s="15" t="s">
        <v>830</v>
      </c>
      <c r="R2959" s="16">
        <v>44329</v>
      </c>
      <c r="S2959" s="17" t="s">
        <v>14324</v>
      </c>
      <c r="T2959" s="20">
        <f>HYPERLINK("https://vnm.spiral.com.vn//uploaded/20210513/48403453-f0a8-49dd-b72e-95ce48c0ec2f.JPEG","07:26:49")</f>
      </c>
      <c r="U2959" s="18"/>
      <c r="V2959" s="18" t="s">
        <v>35</v>
      </c>
      <c r="W2959" s="15" t="s">
        <v>15116</v>
      </c>
      <c r="X2959" s="15" t="s">
        <v>35</v>
      </c>
      <c r="Y2959" s="15" t="s">
        <v>35</v>
      </c>
      <c r="Z2959" s="19">
        <v>0</v>
      </c>
      <c r="AA2959" s="15">
        <v>0</v>
      </c>
      <c r="AB2959" s="15" t="s">
        <v>35</v>
      </c>
    </row>
    <row r="2960">
      <c r="A2960" s="15">
        <v>2956</v>
      </c>
      <c r="B2960" s="15" t="s">
        <v>33</v>
      </c>
      <c r="C2960" s="15" t="s">
        <v>2999</v>
      </c>
      <c r="D2960" s="15" t="s">
        <v>35</v>
      </c>
      <c r="E2960" s="15" t="s">
        <v>35</v>
      </c>
      <c r="F2960" s="15" t="s">
        <v>15117</v>
      </c>
      <c r="G2960" s="15" t="s">
        <v>36</v>
      </c>
      <c r="H2960" s="15" t="s">
        <v>15118</v>
      </c>
      <c r="I2960" s="15" t="s">
        <v>15119</v>
      </c>
      <c r="J2960" s="15" t="s">
        <v>15120</v>
      </c>
      <c r="K2960" s="15" t="s">
        <v>40</v>
      </c>
      <c r="L2960" s="15" t="s">
        <v>41</v>
      </c>
      <c r="M2960" s="15" t="s">
        <v>42</v>
      </c>
      <c r="N2960" s="15" t="s">
        <v>43</v>
      </c>
      <c r="O2960" s="15" t="s">
        <v>44</v>
      </c>
      <c r="P2960" s="15" t="s">
        <v>15121</v>
      </c>
      <c r="Q2960" s="15" t="s">
        <v>15122</v>
      </c>
      <c r="R2960" s="16">
        <v>44329</v>
      </c>
      <c r="S2960" s="17" t="s">
        <v>70</v>
      </c>
      <c r="T2960" s="20">
        <f>HYPERLINK("https://vnm.spiral.com.vn//uploaded/20210513/24237a45-c54f-4b23-91df-789d88ada15a.JPEG","07:25:52")</f>
      </c>
      <c r="U2960" s="18"/>
      <c r="V2960" s="18" t="s">
        <v>35</v>
      </c>
      <c r="W2960" s="15" t="s">
        <v>15123</v>
      </c>
      <c r="X2960" s="15" t="s">
        <v>35</v>
      </c>
      <c r="Y2960" s="15" t="s">
        <v>35</v>
      </c>
      <c r="Z2960" s="19">
        <v>0</v>
      </c>
      <c r="AA2960" s="15">
        <v>0</v>
      </c>
      <c r="AB2960" s="15" t="s">
        <v>35</v>
      </c>
    </row>
    <row r="2961">
      <c r="A2961" s="15">
        <v>2957</v>
      </c>
      <c r="B2961" s="15" t="s">
        <v>33</v>
      </c>
      <c r="C2961" s="15" t="s">
        <v>2883</v>
      </c>
      <c r="D2961" s="15" t="s">
        <v>35</v>
      </c>
      <c r="E2961" s="15" t="s">
        <v>35</v>
      </c>
      <c r="F2961" s="15" t="s">
        <v>35</v>
      </c>
      <c r="G2961" s="15" t="s">
        <v>36</v>
      </c>
      <c r="H2961" s="15" t="s">
        <v>15124</v>
      </c>
      <c r="I2961" s="15" t="s">
        <v>15125</v>
      </c>
      <c r="J2961" s="15" t="s">
        <v>15126</v>
      </c>
      <c r="K2961" s="15" t="s">
        <v>40</v>
      </c>
      <c r="L2961" s="15" t="s">
        <v>41</v>
      </c>
      <c r="M2961" s="15" t="s">
        <v>42</v>
      </c>
      <c r="N2961" s="15" t="s">
        <v>43</v>
      </c>
      <c r="O2961" s="15" t="s">
        <v>44</v>
      </c>
      <c r="P2961" s="15" t="s">
        <v>15127</v>
      </c>
      <c r="Q2961" s="15" t="s">
        <v>15128</v>
      </c>
      <c r="R2961" s="16">
        <v>44329</v>
      </c>
      <c r="S2961" s="17" t="s">
        <v>225</v>
      </c>
      <c r="T2961" s="20">
        <f>HYPERLINK("https://vnm.spiral.com.vn//uploaded/20210513/0b0f3d76-cba7-49ab-9db0-3fd7e61ac0c5.JPEG","07:25:46")</f>
      </c>
      <c r="U2961" s="18"/>
      <c r="V2961" s="18" t="s">
        <v>35</v>
      </c>
      <c r="W2961" s="15" t="s">
        <v>15129</v>
      </c>
      <c r="X2961" s="15" t="s">
        <v>35</v>
      </c>
      <c r="Y2961" s="15" t="s">
        <v>35</v>
      </c>
      <c r="Z2961" s="19">
        <v>0</v>
      </c>
      <c r="AA2961" s="15">
        <v>0</v>
      </c>
      <c r="AB2961" s="15" t="s">
        <v>35</v>
      </c>
    </row>
    <row r="2962">
      <c r="A2962" s="15">
        <v>2958</v>
      </c>
      <c r="B2962" s="15" t="s">
        <v>33</v>
      </c>
      <c r="C2962" s="15" t="s">
        <v>2999</v>
      </c>
      <c r="D2962" s="15" t="s">
        <v>35</v>
      </c>
      <c r="E2962" s="15" t="s">
        <v>35</v>
      </c>
      <c r="F2962" s="15" t="s">
        <v>35</v>
      </c>
      <c r="G2962" s="15" t="s">
        <v>36</v>
      </c>
      <c r="H2962" s="15" t="s">
        <v>15130</v>
      </c>
      <c r="I2962" s="15" t="s">
        <v>15131</v>
      </c>
      <c r="J2962" s="15" t="s">
        <v>15132</v>
      </c>
      <c r="K2962" s="15" t="s">
        <v>40</v>
      </c>
      <c r="L2962" s="15" t="s">
        <v>41</v>
      </c>
      <c r="M2962" s="15" t="s">
        <v>42</v>
      </c>
      <c r="N2962" s="15" t="s">
        <v>43</v>
      </c>
      <c r="O2962" s="15" t="s">
        <v>44</v>
      </c>
      <c r="P2962" s="15" t="s">
        <v>15133</v>
      </c>
      <c r="Q2962" s="15" t="s">
        <v>15134</v>
      </c>
      <c r="R2962" s="16">
        <v>44329</v>
      </c>
      <c r="S2962" s="17" t="s">
        <v>14933</v>
      </c>
      <c r="T2962" s="20">
        <f>HYPERLINK("https://vnm.spiral.com.vn//uploaded/20210513/62F2A21A-DC07-4942-AAB4-91F2CD17FDD6.jpg","07:25:27")</f>
      </c>
      <c r="U2962" s="18"/>
      <c r="V2962" s="18" t="s">
        <v>35</v>
      </c>
      <c r="W2962" s="15" t="s">
        <v>15135</v>
      </c>
      <c r="X2962" s="15" t="s">
        <v>35</v>
      </c>
      <c r="Y2962" s="15" t="s">
        <v>35</v>
      </c>
      <c r="Z2962" s="19">
        <v>0</v>
      </c>
      <c r="AA2962" s="15">
        <v>0</v>
      </c>
      <c r="AB2962" s="15" t="s">
        <v>35</v>
      </c>
    </row>
    <row r="2963">
      <c r="A2963" s="15">
        <v>2959</v>
      </c>
      <c r="B2963" s="15" t="s">
        <v>33</v>
      </c>
      <c r="C2963" s="15" t="s">
        <v>8154</v>
      </c>
      <c r="D2963" s="15" t="s">
        <v>35</v>
      </c>
      <c r="E2963" s="15" t="s">
        <v>35</v>
      </c>
      <c r="F2963" s="15" t="s">
        <v>35</v>
      </c>
      <c r="G2963" s="15" t="s">
        <v>36</v>
      </c>
      <c r="H2963" s="15" t="s">
        <v>15136</v>
      </c>
      <c r="I2963" s="15" t="s">
        <v>15137</v>
      </c>
      <c r="J2963" s="15" t="s">
        <v>15138</v>
      </c>
      <c r="K2963" s="15" t="s">
        <v>40</v>
      </c>
      <c r="L2963" s="15" t="s">
        <v>41</v>
      </c>
      <c r="M2963" s="15" t="s">
        <v>42</v>
      </c>
      <c r="N2963" s="15" t="s">
        <v>43</v>
      </c>
      <c r="O2963" s="15" t="s">
        <v>44</v>
      </c>
      <c r="P2963" s="15" t="s">
        <v>15139</v>
      </c>
      <c r="Q2963" s="15" t="s">
        <v>15140</v>
      </c>
      <c r="R2963" s="16">
        <v>44329</v>
      </c>
      <c r="S2963" s="17" t="s">
        <v>2779</v>
      </c>
      <c r="T2963" s="20">
        <f>HYPERLINK("https://vnm.spiral.com.vn//uploaded/20210513/b999f2b1-491f-481b-9b5a-e4277fa7d1ef.JPEG","07:25:12")</f>
      </c>
      <c r="U2963" s="18"/>
      <c r="V2963" s="18" t="s">
        <v>35</v>
      </c>
      <c r="W2963" s="15" t="s">
        <v>15141</v>
      </c>
      <c r="X2963" s="15" t="s">
        <v>35</v>
      </c>
      <c r="Y2963" s="15" t="s">
        <v>35</v>
      </c>
      <c r="Z2963" s="19">
        <v>0</v>
      </c>
      <c r="AA2963" s="15">
        <v>0</v>
      </c>
      <c r="AB2963" s="15" t="s">
        <v>35</v>
      </c>
    </row>
    <row r="2964">
      <c r="A2964" s="15">
        <v>2960</v>
      </c>
      <c r="B2964" s="15" t="s">
        <v>343</v>
      </c>
      <c r="C2964" s="15" t="s">
        <v>344</v>
      </c>
      <c r="D2964" s="15" t="s">
        <v>35</v>
      </c>
      <c r="E2964" s="15" t="s">
        <v>35</v>
      </c>
      <c r="F2964" s="15" t="s">
        <v>35</v>
      </c>
      <c r="G2964" s="15" t="s">
        <v>36</v>
      </c>
      <c r="H2964" s="15" t="s">
        <v>15142</v>
      </c>
      <c r="I2964" s="15" t="s">
        <v>15143</v>
      </c>
      <c r="J2964" s="15" t="s">
        <v>15144</v>
      </c>
      <c r="K2964" s="15" t="s">
        <v>40</v>
      </c>
      <c r="L2964" s="15" t="s">
        <v>41</v>
      </c>
      <c r="M2964" s="15" t="s">
        <v>409</v>
      </c>
      <c r="N2964" s="15" t="s">
        <v>410</v>
      </c>
      <c r="O2964" s="15" t="s">
        <v>44</v>
      </c>
      <c r="P2964" s="15" t="s">
        <v>15145</v>
      </c>
      <c r="Q2964" s="15" t="s">
        <v>15146</v>
      </c>
      <c r="R2964" s="16">
        <v>44329</v>
      </c>
      <c r="S2964" s="17" t="s">
        <v>70</v>
      </c>
      <c r="T2964" s="20">
        <f>HYPERLINK("https://vnm.spiral.com.vn//uploaded/20210513/63b11f57-c97b-4e00-978d-5408480b24eb.JPEG","07:24:59")</f>
      </c>
      <c r="U2964" s="18"/>
      <c r="V2964" s="18" t="s">
        <v>35</v>
      </c>
      <c r="W2964" s="15" t="s">
        <v>15147</v>
      </c>
      <c r="X2964" s="15" t="s">
        <v>35</v>
      </c>
      <c r="Y2964" s="15" t="s">
        <v>35</v>
      </c>
      <c r="Z2964" s="19">
        <v>0</v>
      </c>
      <c r="AA2964" s="15">
        <v>0</v>
      </c>
      <c r="AB2964" s="15" t="s">
        <v>35</v>
      </c>
    </row>
    <row r="2965">
      <c r="A2965" s="15">
        <v>2961</v>
      </c>
      <c r="B2965" s="15" t="s">
        <v>343</v>
      </c>
      <c r="C2965" s="15" t="s">
        <v>7476</v>
      </c>
      <c r="D2965" s="15" t="s">
        <v>35</v>
      </c>
      <c r="E2965" s="15" t="s">
        <v>35</v>
      </c>
      <c r="F2965" s="15" t="s">
        <v>35</v>
      </c>
      <c r="G2965" s="15" t="s">
        <v>36</v>
      </c>
      <c r="H2965" s="15" t="s">
        <v>15148</v>
      </c>
      <c r="I2965" s="15" t="s">
        <v>15149</v>
      </c>
      <c r="J2965" s="15" t="s">
        <v>15150</v>
      </c>
      <c r="K2965" s="15" t="s">
        <v>40</v>
      </c>
      <c r="L2965" s="15" t="s">
        <v>41</v>
      </c>
      <c r="M2965" s="15" t="s">
        <v>409</v>
      </c>
      <c r="N2965" s="15" t="s">
        <v>410</v>
      </c>
      <c r="O2965" s="15" t="s">
        <v>44</v>
      </c>
      <c r="P2965" s="15" t="s">
        <v>15151</v>
      </c>
      <c r="Q2965" s="15" t="s">
        <v>4022</v>
      </c>
      <c r="R2965" s="16">
        <v>44329</v>
      </c>
      <c r="S2965" s="17" t="s">
        <v>15152</v>
      </c>
      <c r="T2965" s="20">
        <f>HYPERLINK("https://vnm.spiral.com.vn//uploaded/20210513/c26607ee-c22c-43d6-84b2-6086c52851fe.JPEG","07:21:57")</f>
      </c>
      <c r="U2965" s="18"/>
      <c r="V2965" s="18" t="s">
        <v>35</v>
      </c>
      <c r="W2965" s="15" t="s">
        <v>15153</v>
      </c>
      <c r="X2965" s="15" t="s">
        <v>35</v>
      </c>
      <c r="Y2965" s="15" t="s">
        <v>35</v>
      </c>
      <c r="Z2965" s="19">
        <v>0</v>
      </c>
      <c r="AA2965" s="15">
        <v>0</v>
      </c>
      <c r="AB2965" s="15" t="s">
        <v>35</v>
      </c>
    </row>
    <row r="2966">
      <c r="A2966" s="15">
        <v>2962</v>
      </c>
      <c r="B2966" s="15" t="s">
        <v>343</v>
      </c>
      <c r="C2966" s="15" t="s">
        <v>7476</v>
      </c>
      <c r="D2966" s="15" t="s">
        <v>35</v>
      </c>
      <c r="E2966" s="15" t="s">
        <v>35</v>
      </c>
      <c r="F2966" s="15" t="s">
        <v>35</v>
      </c>
      <c r="G2966" s="15" t="s">
        <v>36</v>
      </c>
      <c r="H2966" s="15" t="s">
        <v>15154</v>
      </c>
      <c r="I2966" s="15" t="s">
        <v>15155</v>
      </c>
      <c r="J2966" s="15" t="s">
        <v>15156</v>
      </c>
      <c r="K2966" s="15" t="s">
        <v>40</v>
      </c>
      <c r="L2966" s="15" t="s">
        <v>41</v>
      </c>
      <c r="M2966" s="15" t="s">
        <v>409</v>
      </c>
      <c r="N2966" s="15" t="s">
        <v>410</v>
      </c>
      <c r="O2966" s="15" t="s">
        <v>44</v>
      </c>
      <c r="P2966" s="15" t="s">
        <v>15157</v>
      </c>
      <c r="Q2966" s="15" t="s">
        <v>15158</v>
      </c>
      <c r="R2966" s="16">
        <v>44329</v>
      </c>
      <c r="S2966" s="17" t="s">
        <v>2779</v>
      </c>
      <c r="T2966" s="20">
        <f>HYPERLINK("https://vnm.spiral.com.vn//uploaded/20210513/bc0b5339-d573-4fe8-af80-5d5835da4524.JPEG","07:21:34")</f>
      </c>
      <c r="U2966" s="18"/>
      <c r="V2966" s="18" t="s">
        <v>35</v>
      </c>
      <c r="W2966" s="15" t="s">
        <v>15159</v>
      </c>
      <c r="X2966" s="15" t="s">
        <v>35</v>
      </c>
      <c r="Y2966" s="15" t="s">
        <v>35</v>
      </c>
      <c r="Z2966" s="19">
        <v>0</v>
      </c>
      <c r="AA2966" s="15">
        <v>0</v>
      </c>
      <c r="AB2966" s="15" t="s">
        <v>35</v>
      </c>
    </row>
    <row r="2967">
      <c r="A2967" s="15">
        <v>2963</v>
      </c>
      <c r="B2967" s="15" t="s">
        <v>33</v>
      </c>
      <c r="C2967" s="15" t="s">
        <v>2883</v>
      </c>
      <c r="D2967" s="15" t="s">
        <v>35</v>
      </c>
      <c r="E2967" s="15" t="s">
        <v>35</v>
      </c>
      <c r="F2967" s="15" t="s">
        <v>35</v>
      </c>
      <c r="G2967" s="15" t="s">
        <v>36</v>
      </c>
      <c r="H2967" s="15" t="s">
        <v>15160</v>
      </c>
      <c r="I2967" s="15" t="s">
        <v>6519</v>
      </c>
      <c r="J2967" s="15" t="s">
        <v>15161</v>
      </c>
      <c r="K2967" s="15" t="s">
        <v>40</v>
      </c>
      <c r="L2967" s="15" t="s">
        <v>41</v>
      </c>
      <c r="M2967" s="15" t="s">
        <v>42</v>
      </c>
      <c r="N2967" s="15" t="s">
        <v>43</v>
      </c>
      <c r="O2967" s="15" t="s">
        <v>44</v>
      </c>
      <c r="P2967" s="15" t="s">
        <v>15162</v>
      </c>
      <c r="Q2967" s="15" t="s">
        <v>1386</v>
      </c>
      <c r="R2967" s="16">
        <v>44329</v>
      </c>
      <c r="S2967" s="17" t="s">
        <v>14933</v>
      </c>
      <c r="T2967" s="20">
        <f>HYPERLINK("https://vnm.spiral.com.vn//uploaded/20210513/428abf3e-ef57-4f5e-afad-0a33efd91c4f.JPEG","07:20:24")</f>
      </c>
      <c r="U2967" s="18"/>
      <c r="V2967" s="18" t="s">
        <v>35</v>
      </c>
      <c r="W2967" s="15" t="s">
        <v>15163</v>
      </c>
      <c r="X2967" s="15" t="s">
        <v>35</v>
      </c>
      <c r="Y2967" s="15" t="s">
        <v>35</v>
      </c>
      <c r="Z2967" s="19">
        <v>0</v>
      </c>
      <c r="AA2967" s="15">
        <v>0</v>
      </c>
      <c r="AB2967" s="15" t="s">
        <v>35</v>
      </c>
    </row>
    <row r="2968">
      <c r="A2968" s="15">
        <v>2964</v>
      </c>
      <c r="B2968" s="15" t="s">
        <v>61</v>
      </c>
      <c r="C2968" s="15" t="s">
        <v>442</v>
      </c>
      <c r="D2968" s="15" t="s">
        <v>89</v>
      </c>
      <c r="E2968" s="15" t="s">
        <v>90</v>
      </c>
      <c r="F2968" s="15" t="s">
        <v>35</v>
      </c>
      <c r="G2968" s="15" t="s">
        <v>74</v>
      </c>
      <c r="H2968" s="15" t="s">
        <v>11746</v>
      </c>
      <c r="I2968" s="15" t="s">
        <v>11747</v>
      </c>
      <c r="J2968" s="15" t="s">
        <v>11748</v>
      </c>
      <c r="K2968" s="15" t="s">
        <v>232</v>
      </c>
      <c r="L2968" s="15" t="s">
        <v>233</v>
      </c>
      <c r="M2968" s="15" t="s">
        <v>453</v>
      </c>
      <c r="N2968" s="15" t="s">
        <v>454</v>
      </c>
      <c r="O2968" s="15" t="s">
        <v>156</v>
      </c>
      <c r="P2968" s="15" t="s">
        <v>15164</v>
      </c>
      <c r="Q2968" s="15" t="s">
        <v>15165</v>
      </c>
      <c r="R2968" s="16">
        <v>44329</v>
      </c>
      <c r="S2968" s="17" t="s">
        <v>256</v>
      </c>
      <c r="T2968" s="20">
        <f>HYPERLINK("https://vnm.spiral.com.vn//uploaded/20210513/00D884E6-FEB8-4D9F-B2BA-0648D1E98046.jpg","07:20:04")</f>
      </c>
      <c r="U2968" s="18"/>
      <c r="V2968" s="18" t="s">
        <v>35</v>
      </c>
      <c r="W2968" s="15" t="s">
        <v>15166</v>
      </c>
      <c r="X2968" s="15" t="s">
        <v>35</v>
      </c>
      <c r="Y2968" s="15" t="s">
        <v>35</v>
      </c>
      <c r="Z2968" s="19">
        <v>0</v>
      </c>
      <c r="AA2968" s="15">
        <v>0</v>
      </c>
      <c r="AB2968" s="15" t="s">
        <v>35</v>
      </c>
    </row>
    <row r="2969">
      <c r="A2969" s="15">
        <v>2965</v>
      </c>
      <c r="B2969" s="15" t="s">
        <v>61</v>
      </c>
      <c r="C2969" s="15" t="s">
        <v>320</v>
      </c>
      <c r="D2969" s="15" t="s">
        <v>35</v>
      </c>
      <c r="E2969" s="15" t="s">
        <v>35</v>
      </c>
      <c r="F2969" s="15" t="s">
        <v>35</v>
      </c>
      <c r="G2969" s="15" t="s">
        <v>36</v>
      </c>
      <c r="H2969" s="15" t="s">
        <v>15167</v>
      </c>
      <c r="I2969" s="15" t="s">
        <v>15168</v>
      </c>
      <c r="J2969" s="15" t="s">
        <v>15169</v>
      </c>
      <c r="K2969" s="15" t="s">
        <v>40</v>
      </c>
      <c r="L2969" s="15" t="s">
        <v>41</v>
      </c>
      <c r="M2969" s="15" t="s">
        <v>205</v>
      </c>
      <c r="N2969" s="15" t="s">
        <v>206</v>
      </c>
      <c r="O2969" s="15" t="s">
        <v>44</v>
      </c>
      <c r="P2969" s="15" t="s">
        <v>15170</v>
      </c>
      <c r="Q2969" s="15" t="s">
        <v>15171</v>
      </c>
      <c r="R2969" s="16">
        <v>44329</v>
      </c>
      <c r="S2969" s="17" t="s">
        <v>70</v>
      </c>
      <c r="T2969" s="20">
        <f>HYPERLINK("https://vnm.spiral.com.vn//uploaded/20210513/7bb541fc-edb2-4edb-9340-a882403d682f.JPEG","07:19:26")</f>
      </c>
      <c r="U2969" s="18"/>
      <c r="V2969" s="18" t="s">
        <v>35</v>
      </c>
      <c r="W2969" s="15" t="s">
        <v>15172</v>
      </c>
      <c r="X2969" s="15" t="s">
        <v>35</v>
      </c>
      <c r="Y2969" s="15" t="s">
        <v>35</v>
      </c>
      <c r="Z2969" s="19">
        <v>0</v>
      </c>
      <c r="AA2969" s="15">
        <v>0</v>
      </c>
      <c r="AB2969" s="15" t="s">
        <v>35</v>
      </c>
    </row>
    <row r="2970">
      <c r="A2970" s="15">
        <v>2966</v>
      </c>
      <c r="B2970" s="15" t="s">
        <v>33</v>
      </c>
      <c r="C2970" s="15" t="s">
        <v>765</v>
      </c>
      <c r="D2970" s="15" t="s">
        <v>35</v>
      </c>
      <c r="E2970" s="15" t="s">
        <v>35</v>
      </c>
      <c r="F2970" s="15" t="s">
        <v>35</v>
      </c>
      <c r="G2970" s="15" t="s">
        <v>36</v>
      </c>
      <c r="H2970" s="15" t="s">
        <v>15173</v>
      </c>
      <c r="I2970" s="15" t="s">
        <v>15174</v>
      </c>
      <c r="J2970" s="15" t="s">
        <v>15175</v>
      </c>
      <c r="K2970" s="15" t="s">
        <v>40</v>
      </c>
      <c r="L2970" s="15" t="s">
        <v>41</v>
      </c>
      <c r="M2970" s="15" t="s">
        <v>42</v>
      </c>
      <c r="N2970" s="15" t="s">
        <v>43</v>
      </c>
      <c r="O2970" s="15" t="s">
        <v>44</v>
      </c>
      <c r="P2970" s="15" t="s">
        <v>15176</v>
      </c>
      <c r="Q2970" s="15" t="s">
        <v>15177</v>
      </c>
      <c r="R2970" s="16">
        <v>44329</v>
      </c>
      <c r="S2970" s="17" t="s">
        <v>70</v>
      </c>
      <c r="T2970" s="20">
        <f>HYPERLINK("https://vnm.spiral.com.vn//uploaded/20210513/86C0C4A1-B953-48C5-AA13-78DC7F045201.jpg","07:18:11")</f>
      </c>
      <c r="U2970" s="18"/>
      <c r="V2970" s="18" t="s">
        <v>35</v>
      </c>
      <c r="W2970" s="15" t="s">
        <v>15178</v>
      </c>
      <c r="X2970" s="15" t="s">
        <v>35</v>
      </c>
      <c r="Y2970" s="15" t="s">
        <v>35</v>
      </c>
      <c r="Z2970" s="19">
        <v>0</v>
      </c>
      <c r="AA2970" s="15">
        <v>0</v>
      </c>
      <c r="AB2970" s="15" t="s">
        <v>35</v>
      </c>
    </row>
    <row r="2971">
      <c r="A2971" s="15">
        <v>2967</v>
      </c>
      <c r="B2971" s="15" t="s">
        <v>33</v>
      </c>
      <c r="C2971" s="15" t="s">
        <v>979</v>
      </c>
      <c r="D2971" s="15" t="s">
        <v>35</v>
      </c>
      <c r="E2971" s="15" t="s">
        <v>35</v>
      </c>
      <c r="F2971" s="15" t="s">
        <v>35</v>
      </c>
      <c r="G2971" s="15" t="s">
        <v>74</v>
      </c>
      <c r="H2971" s="15" t="s">
        <v>15179</v>
      </c>
      <c r="I2971" s="15" t="s">
        <v>15180</v>
      </c>
      <c r="J2971" s="15" t="s">
        <v>15181</v>
      </c>
      <c r="K2971" s="15" t="s">
        <v>540</v>
      </c>
      <c r="L2971" s="15" t="s">
        <v>541</v>
      </c>
      <c r="M2971" s="15" t="s">
        <v>769</v>
      </c>
      <c r="N2971" s="15" t="s">
        <v>770</v>
      </c>
      <c r="O2971" s="15" t="s">
        <v>156</v>
      </c>
      <c r="P2971" s="15" t="s">
        <v>15182</v>
      </c>
      <c r="Q2971" s="15" t="s">
        <v>15183</v>
      </c>
      <c r="R2971" s="16">
        <v>44329</v>
      </c>
      <c r="S2971" s="17" t="s">
        <v>256</v>
      </c>
      <c r="T2971" s="20">
        <f>HYPERLINK("https://vnm.spiral.com.vn//uploaded/20210513/e23b5e4a-79cc-4f73-860f-625eb83dc213.JPEG","07:17:35")</f>
      </c>
      <c r="U2971" s="18"/>
      <c r="V2971" s="18" t="s">
        <v>35</v>
      </c>
      <c r="W2971" s="15" t="s">
        <v>15184</v>
      </c>
      <c r="X2971" s="15" t="s">
        <v>35</v>
      </c>
      <c r="Y2971" s="15" t="s">
        <v>35</v>
      </c>
      <c r="Z2971" s="19">
        <v>0</v>
      </c>
      <c r="AA2971" s="15">
        <v>0</v>
      </c>
      <c r="AB2971" s="15" t="s">
        <v>35</v>
      </c>
    </row>
    <row r="2972">
      <c r="A2972" s="15">
        <v>2968</v>
      </c>
      <c r="B2972" s="15" t="s">
        <v>246</v>
      </c>
      <c r="C2972" s="15" t="s">
        <v>247</v>
      </c>
      <c r="D2972" s="15" t="s">
        <v>35</v>
      </c>
      <c r="E2972" s="15" t="s">
        <v>35</v>
      </c>
      <c r="F2972" s="15" t="s">
        <v>7347</v>
      </c>
      <c r="G2972" s="15" t="s">
        <v>36</v>
      </c>
      <c r="H2972" s="15" t="s">
        <v>15185</v>
      </c>
      <c r="I2972" s="15" t="s">
        <v>15186</v>
      </c>
      <c r="J2972" s="15" t="s">
        <v>15187</v>
      </c>
      <c r="K2972" s="15" t="s">
        <v>40</v>
      </c>
      <c r="L2972" s="15" t="s">
        <v>41</v>
      </c>
      <c r="M2972" s="15" t="s">
        <v>252</v>
      </c>
      <c r="N2972" s="15" t="s">
        <v>253</v>
      </c>
      <c r="O2972" s="15" t="s">
        <v>44</v>
      </c>
      <c r="P2972" s="15" t="s">
        <v>15188</v>
      </c>
      <c r="Q2972" s="15" t="s">
        <v>15189</v>
      </c>
      <c r="R2972" s="16">
        <v>44329</v>
      </c>
      <c r="S2972" s="17" t="s">
        <v>1112</v>
      </c>
      <c r="T2972" s="20">
        <f>HYPERLINK("https://vnm.spiral.com.vn//uploaded/20210513/bc2e58f1-b292-4647-baf7-791510ab4ede.JPEG","07:17:27")</f>
      </c>
      <c r="U2972" s="18"/>
      <c r="V2972" s="18" t="s">
        <v>35</v>
      </c>
      <c r="W2972" s="15" t="s">
        <v>15190</v>
      </c>
      <c r="X2972" s="15" t="s">
        <v>35</v>
      </c>
      <c r="Y2972" s="15" t="s">
        <v>35</v>
      </c>
      <c r="Z2972" s="19">
        <v>0</v>
      </c>
      <c r="AA2972" s="15">
        <v>0</v>
      </c>
      <c r="AB2972" s="15" t="s">
        <v>35</v>
      </c>
    </row>
    <row r="2973">
      <c r="A2973" s="15">
        <v>2969</v>
      </c>
      <c r="B2973" s="15" t="s">
        <v>49</v>
      </c>
      <c r="C2973" s="15" t="s">
        <v>162</v>
      </c>
      <c r="D2973" s="15" t="s">
        <v>35</v>
      </c>
      <c r="E2973" s="15" t="s">
        <v>35</v>
      </c>
      <c r="F2973" s="15" t="s">
        <v>833</v>
      </c>
      <c r="G2973" s="15" t="s">
        <v>36</v>
      </c>
      <c r="H2973" s="15" t="s">
        <v>15191</v>
      </c>
      <c r="I2973" s="15" t="s">
        <v>15192</v>
      </c>
      <c r="J2973" s="15" t="s">
        <v>15193</v>
      </c>
      <c r="K2973" s="15" t="s">
        <v>40</v>
      </c>
      <c r="L2973" s="15" t="s">
        <v>41</v>
      </c>
      <c r="M2973" s="15" t="s">
        <v>55</v>
      </c>
      <c r="N2973" s="15" t="s">
        <v>56</v>
      </c>
      <c r="O2973" s="15" t="s">
        <v>44</v>
      </c>
      <c r="P2973" s="15" t="s">
        <v>15194</v>
      </c>
      <c r="Q2973" s="15" t="s">
        <v>15195</v>
      </c>
      <c r="R2973" s="16">
        <v>44329</v>
      </c>
      <c r="S2973" s="17" t="s">
        <v>243</v>
      </c>
      <c r="T2973" s="20">
        <f>HYPERLINK("https://vnm.spiral.com.vn//uploaded/20210513/7C8F515E-62BE-4D84-AC59-7F15618262E4.jpg","07:15:48")</f>
      </c>
      <c r="U2973" s="18"/>
      <c r="V2973" s="18" t="s">
        <v>35</v>
      </c>
      <c r="W2973" s="15" t="s">
        <v>15196</v>
      </c>
      <c r="X2973" s="15" t="s">
        <v>35</v>
      </c>
      <c r="Y2973" s="15" t="s">
        <v>35</v>
      </c>
      <c r="Z2973" s="19">
        <v>0</v>
      </c>
      <c r="AA2973" s="15">
        <v>0</v>
      </c>
      <c r="AB2973" s="15" t="s">
        <v>35</v>
      </c>
    </row>
    <row r="2974">
      <c r="A2974" s="15">
        <v>2970</v>
      </c>
      <c r="B2974" s="15" t="s">
        <v>343</v>
      </c>
      <c r="C2974" s="15" t="s">
        <v>1150</v>
      </c>
      <c r="D2974" s="15" t="s">
        <v>35</v>
      </c>
      <c r="E2974" s="15" t="s">
        <v>35</v>
      </c>
      <c r="F2974" s="15" t="s">
        <v>35</v>
      </c>
      <c r="G2974" s="15" t="s">
        <v>36</v>
      </c>
      <c r="H2974" s="15" t="s">
        <v>15197</v>
      </c>
      <c r="I2974" s="15" t="s">
        <v>15198</v>
      </c>
      <c r="J2974" s="15" t="s">
        <v>15199</v>
      </c>
      <c r="K2974" s="15" t="s">
        <v>40</v>
      </c>
      <c r="L2974" s="15" t="s">
        <v>41</v>
      </c>
      <c r="M2974" s="15" t="s">
        <v>409</v>
      </c>
      <c r="N2974" s="15" t="s">
        <v>410</v>
      </c>
      <c r="O2974" s="15" t="s">
        <v>44</v>
      </c>
      <c r="P2974" s="15" t="s">
        <v>15200</v>
      </c>
      <c r="Q2974" s="15" t="s">
        <v>15201</v>
      </c>
      <c r="R2974" s="16">
        <v>44329</v>
      </c>
      <c r="S2974" s="17" t="s">
        <v>15202</v>
      </c>
      <c r="T2974" s="20">
        <f>HYPERLINK("https://vnm.spiral.com.vn//uploaded/20210513/749B682A-F451-4E7C-B3B4-E69CC8972C73.jpg","07:15:16")</f>
      </c>
      <c r="U2974" s="18"/>
      <c r="V2974" s="18" t="s">
        <v>35</v>
      </c>
      <c r="W2974" s="15" t="s">
        <v>15203</v>
      </c>
      <c r="X2974" s="15" t="s">
        <v>35</v>
      </c>
      <c r="Y2974" s="15" t="s">
        <v>35</v>
      </c>
      <c r="Z2974" s="19">
        <v>0</v>
      </c>
      <c r="AA2974" s="15">
        <v>0</v>
      </c>
      <c r="AB2974" s="15" t="s">
        <v>35</v>
      </c>
    </row>
    <row r="2975">
      <c r="A2975" s="15">
        <v>2971</v>
      </c>
      <c r="B2975" s="15" t="s">
        <v>33</v>
      </c>
      <c r="C2975" s="15" t="s">
        <v>765</v>
      </c>
      <c r="D2975" s="15" t="s">
        <v>35</v>
      </c>
      <c r="E2975" s="15" t="s">
        <v>35</v>
      </c>
      <c r="F2975" s="15" t="s">
        <v>35</v>
      </c>
      <c r="G2975" s="15" t="s">
        <v>36</v>
      </c>
      <c r="H2975" s="15" t="s">
        <v>15204</v>
      </c>
      <c r="I2975" s="15" t="s">
        <v>15205</v>
      </c>
      <c r="J2975" s="15" t="s">
        <v>15206</v>
      </c>
      <c r="K2975" s="15" t="s">
        <v>40</v>
      </c>
      <c r="L2975" s="15" t="s">
        <v>41</v>
      </c>
      <c r="M2975" s="15" t="s">
        <v>42</v>
      </c>
      <c r="N2975" s="15" t="s">
        <v>43</v>
      </c>
      <c r="O2975" s="15" t="s">
        <v>44</v>
      </c>
      <c r="P2975" s="15" t="s">
        <v>15207</v>
      </c>
      <c r="Q2975" s="15" t="s">
        <v>1372</v>
      </c>
      <c r="R2975" s="16">
        <v>44329</v>
      </c>
      <c r="S2975" s="17" t="s">
        <v>15020</v>
      </c>
      <c r="T2975" s="20">
        <f>HYPERLINK("https://vnm.spiral.com.vn//uploaded/20210513/6369a0af-77e6-4b2c-9425-823eb32f75da.JPEG","07:15:07")</f>
      </c>
      <c r="U2975" s="18"/>
      <c r="V2975" s="18" t="s">
        <v>35</v>
      </c>
      <c r="W2975" s="15" t="s">
        <v>15208</v>
      </c>
      <c r="X2975" s="15" t="s">
        <v>35</v>
      </c>
      <c r="Y2975" s="15" t="s">
        <v>35</v>
      </c>
      <c r="Z2975" s="19">
        <v>0</v>
      </c>
      <c r="AA2975" s="15">
        <v>0</v>
      </c>
      <c r="AB2975" s="15" t="s">
        <v>35</v>
      </c>
    </row>
    <row r="2976">
      <c r="A2976" s="15">
        <v>2972</v>
      </c>
      <c r="B2976" s="15" t="s">
        <v>87</v>
      </c>
      <c r="C2976" s="15" t="s">
        <v>88</v>
      </c>
      <c r="D2976" s="15" t="s">
        <v>379</v>
      </c>
      <c r="E2976" s="15" t="s">
        <v>35</v>
      </c>
      <c r="F2976" s="15" t="s">
        <v>35</v>
      </c>
      <c r="G2976" s="15" t="s">
        <v>35</v>
      </c>
      <c r="H2976" s="15" t="s">
        <v>13899</v>
      </c>
      <c r="I2976" s="15" t="s">
        <v>13900</v>
      </c>
      <c r="J2976" s="15" t="s">
        <v>13901</v>
      </c>
      <c r="K2976" s="15" t="s">
        <v>748</v>
      </c>
      <c r="L2976" s="15" t="s">
        <v>749</v>
      </c>
      <c r="M2976" s="15" t="s">
        <v>750</v>
      </c>
      <c r="N2976" s="15" t="s">
        <v>751</v>
      </c>
      <c r="O2976" s="15" t="s">
        <v>156</v>
      </c>
      <c r="P2976" s="15" t="s">
        <v>15209</v>
      </c>
      <c r="Q2976" s="15" t="s">
        <v>15210</v>
      </c>
      <c r="R2976" s="16">
        <v>44329</v>
      </c>
      <c r="S2976" s="17" t="s">
        <v>256</v>
      </c>
      <c r="T2976" s="20">
        <f>HYPERLINK("https://vnm.spiral.com.vn//uploaded/20210513/2d3a8842-9f2e-4a15-a04d-3fecddf3889b.JPEG","07:14:26")</f>
      </c>
      <c r="U2976" s="18"/>
      <c r="V2976" s="18" t="s">
        <v>35</v>
      </c>
      <c r="W2976" s="15" t="s">
        <v>15211</v>
      </c>
      <c r="X2976" s="15" t="s">
        <v>35</v>
      </c>
      <c r="Y2976" s="15" t="s">
        <v>35</v>
      </c>
      <c r="Z2976" s="19">
        <v>0</v>
      </c>
      <c r="AA2976" s="15">
        <v>0</v>
      </c>
      <c r="AB2976" s="15" t="s">
        <v>35</v>
      </c>
    </row>
    <row r="2977">
      <c r="A2977" s="15">
        <v>2973</v>
      </c>
      <c r="B2977" s="15" t="s">
        <v>343</v>
      </c>
      <c r="C2977" s="15" t="s">
        <v>344</v>
      </c>
      <c r="D2977" s="15" t="s">
        <v>35</v>
      </c>
      <c r="E2977" s="15" t="s">
        <v>35</v>
      </c>
      <c r="F2977" s="15" t="s">
        <v>35</v>
      </c>
      <c r="G2977" s="15" t="s">
        <v>36</v>
      </c>
      <c r="H2977" s="15" t="s">
        <v>15212</v>
      </c>
      <c r="I2977" s="15" t="s">
        <v>15213</v>
      </c>
      <c r="J2977" s="15" t="s">
        <v>15214</v>
      </c>
      <c r="K2977" s="15" t="s">
        <v>40</v>
      </c>
      <c r="L2977" s="15" t="s">
        <v>41</v>
      </c>
      <c r="M2977" s="15" t="s">
        <v>409</v>
      </c>
      <c r="N2977" s="15" t="s">
        <v>410</v>
      </c>
      <c r="O2977" s="15" t="s">
        <v>44</v>
      </c>
      <c r="P2977" s="15" t="s">
        <v>15215</v>
      </c>
      <c r="Q2977" s="15" t="s">
        <v>15216</v>
      </c>
      <c r="R2977" s="16">
        <v>44329</v>
      </c>
      <c r="S2977" s="17" t="s">
        <v>70</v>
      </c>
      <c r="T2977" s="20">
        <f>HYPERLINK("https://vnm.spiral.com.vn//uploaded/20210513/1d573ecc-cb64-4d53-9063-551c27e37456.JPEG","07:13:08")</f>
      </c>
      <c r="U2977" s="18"/>
      <c r="V2977" s="18" t="s">
        <v>35</v>
      </c>
      <c r="W2977" s="15" t="s">
        <v>15217</v>
      </c>
      <c r="X2977" s="15" t="s">
        <v>35</v>
      </c>
      <c r="Y2977" s="15" t="s">
        <v>35</v>
      </c>
      <c r="Z2977" s="19">
        <v>0</v>
      </c>
      <c r="AA2977" s="15">
        <v>0</v>
      </c>
      <c r="AB2977" s="15" t="s">
        <v>35</v>
      </c>
    </row>
    <row r="2978">
      <c r="A2978" s="15">
        <v>2974</v>
      </c>
      <c r="B2978" s="15" t="s">
        <v>61</v>
      </c>
      <c r="C2978" s="15" t="s">
        <v>320</v>
      </c>
      <c r="D2978" s="15" t="s">
        <v>35</v>
      </c>
      <c r="E2978" s="15" t="s">
        <v>35</v>
      </c>
      <c r="F2978" s="15" t="s">
        <v>35</v>
      </c>
      <c r="G2978" s="15" t="s">
        <v>36</v>
      </c>
      <c r="H2978" s="15" t="s">
        <v>15218</v>
      </c>
      <c r="I2978" s="15" t="s">
        <v>15219</v>
      </c>
      <c r="J2978" s="15" t="s">
        <v>15220</v>
      </c>
      <c r="K2978" s="15" t="s">
        <v>40</v>
      </c>
      <c r="L2978" s="15" t="s">
        <v>41</v>
      </c>
      <c r="M2978" s="15" t="s">
        <v>205</v>
      </c>
      <c r="N2978" s="15" t="s">
        <v>206</v>
      </c>
      <c r="O2978" s="15" t="s">
        <v>44</v>
      </c>
      <c r="P2978" s="15" t="s">
        <v>15221</v>
      </c>
      <c r="Q2978" s="15" t="s">
        <v>15222</v>
      </c>
      <c r="R2978" s="16">
        <v>44329</v>
      </c>
      <c r="S2978" s="17" t="s">
        <v>273</v>
      </c>
      <c r="T2978" s="20">
        <f>HYPERLINK("https://vnm.spiral.com.vn//uploaded/20210513/0d5ae5b5-8b43-4d4c-979a-2d93fc033758.JPEG","07:11:56")</f>
      </c>
      <c r="U2978" s="18"/>
      <c r="V2978" s="18" t="s">
        <v>35</v>
      </c>
      <c r="W2978" s="15" t="s">
        <v>15223</v>
      </c>
      <c r="X2978" s="15" t="s">
        <v>35</v>
      </c>
      <c r="Y2978" s="15" t="s">
        <v>35</v>
      </c>
      <c r="Z2978" s="19">
        <v>0</v>
      </c>
      <c r="AA2978" s="15">
        <v>0</v>
      </c>
      <c r="AB2978" s="15" t="s">
        <v>35</v>
      </c>
    </row>
    <row r="2979">
      <c r="A2979" s="15">
        <v>2975</v>
      </c>
      <c r="B2979" s="15" t="s">
        <v>49</v>
      </c>
      <c r="C2979" s="15" t="s">
        <v>162</v>
      </c>
      <c r="D2979" s="15" t="s">
        <v>35</v>
      </c>
      <c r="E2979" s="15" t="s">
        <v>35</v>
      </c>
      <c r="F2979" s="15" t="s">
        <v>1969</v>
      </c>
      <c r="G2979" s="15" t="s">
        <v>36</v>
      </c>
      <c r="H2979" s="15" t="s">
        <v>15224</v>
      </c>
      <c r="I2979" s="15" t="s">
        <v>15225</v>
      </c>
      <c r="J2979" s="15" t="s">
        <v>15226</v>
      </c>
      <c r="K2979" s="15" t="s">
        <v>40</v>
      </c>
      <c r="L2979" s="15" t="s">
        <v>41</v>
      </c>
      <c r="M2979" s="15" t="s">
        <v>55</v>
      </c>
      <c r="N2979" s="15" t="s">
        <v>56</v>
      </c>
      <c r="O2979" s="15" t="s">
        <v>44</v>
      </c>
      <c r="P2979" s="15" t="s">
        <v>15227</v>
      </c>
      <c r="Q2979" s="15" t="s">
        <v>15228</v>
      </c>
      <c r="R2979" s="16">
        <v>44329</v>
      </c>
      <c r="S2979" s="17" t="s">
        <v>2779</v>
      </c>
      <c r="T2979" s="20">
        <f>HYPERLINK("https://vnm.spiral.com.vn//uploaded/20210513/59C16427-7474-4117-98E2-58D84EDB83BA.jpg","07:11:04")</f>
      </c>
      <c r="U2979" s="18"/>
      <c r="V2979" s="18" t="s">
        <v>35</v>
      </c>
      <c r="W2979" s="15" t="s">
        <v>15229</v>
      </c>
      <c r="X2979" s="15" t="s">
        <v>35</v>
      </c>
      <c r="Y2979" s="15" t="s">
        <v>35</v>
      </c>
      <c r="Z2979" s="19">
        <v>0</v>
      </c>
      <c r="AA2979" s="15">
        <v>0</v>
      </c>
      <c r="AB2979" s="15" t="s">
        <v>35</v>
      </c>
    </row>
    <row r="2980">
      <c r="A2980" s="15">
        <v>2976</v>
      </c>
      <c r="B2980" s="15" t="s">
        <v>343</v>
      </c>
      <c r="C2980" s="15" t="s">
        <v>7476</v>
      </c>
      <c r="D2980" s="15" t="s">
        <v>35</v>
      </c>
      <c r="E2980" s="15" t="s">
        <v>35</v>
      </c>
      <c r="F2980" s="15" t="s">
        <v>35</v>
      </c>
      <c r="G2980" s="15" t="s">
        <v>36</v>
      </c>
      <c r="H2980" s="15" t="s">
        <v>15230</v>
      </c>
      <c r="I2980" s="15" t="s">
        <v>15231</v>
      </c>
      <c r="J2980" s="15" t="s">
        <v>15156</v>
      </c>
      <c r="K2980" s="15" t="s">
        <v>40</v>
      </c>
      <c r="L2980" s="15" t="s">
        <v>41</v>
      </c>
      <c r="M2980" s="15" t="s">
        <v>409</v>
      </c>
      <c r="N2980" s="15" t="s">
        <v>410</v>
      </c>
      <c r="O2980" s="15" t="s">
        <v>44</v>
      </c>
      <c r="P2980" s="15" t="s">
        <v>15232</v>
      </c>
      <c r="Q2980" s="15" t="s">
        <v>15233</v>
      </c>
      <c r="R2980" s="16">
        <v>44329</v>
      </c>
      <c r="S2980" s="17" t="s">
        <v>225</v>
      </c>
      <c r="T2980" s="20">
        <f>HYPERLINK("https://vnm.spiral.com.vn//uploaded/20210513/D05E8A21-E657-453E-A810-C6C91DE5C2F9.jpg","07:08:47")</f>
      </c>
      <c r="U2980" s="18"/>
      <c r="V2980" s="18" t="s">
        <v>35</v>
      </c>
      <c r="W2980" s="15" t="s">
        <v>15234</v>
      </c>
      <c r="X2980" s="15" t="s">
        <v>35</v>
      </c>
      <c r="Y2980" s="15" t="s">
        <v>35</v>
      </c>
      <c r="Z2980" s="19">
        <v>0</v>
      </c>
      <c r="AA2980" s="15">
        <v>0</v>
      </c>
      <c r="AB2980" s="15" t="s">
        <v>35</v>
      </c>
    </row>
    <row r="2981">
      <c r="A2981" s="15">
        <v>2977</v>
      </c>
      <c r="B2981" s="15" t="s">
        <v>343</v>
      </c>
      <c r="C2981" s="15" t="s">
        <v>645</v>
      </c>
      <c r="D2981" s="15" t="s">
        <v>35</v>
      </c>
      <c r="E2981" s="15" t="s">
        <v>35</v>
      </c>
      <c r="F2981" s="15" t="s">
        <v>7894</v>
      </c>
      <c r="G2981" s="15" t="s">
        <v>36</v>
      </c>
      <c r="H2981" s="15" t="s">
        <v>15235</v>
      </c>
      <c r="I2981" s="15" t="s">
        <v>1641</v>
      </c>
      <c r="J2981" s="15" t="s">
        <v>15236</v>
      </c>
      <c r="K2981" s="15" t="s">
        <v>40</v>
      </c>
      <c r="L2981" s="15" t="s">
        <v>41</v>
      </c>
      <c r="M2981" s="15" t="s">
        <v>42</v>
      </c>
      <c r="N2981" s="15" t="s">
        <v>43</v>
      </c>
      <c r="O2981" s="15" t="s">
        <v>44</v>
      </c>
      <c r="P2981" s="15" t="s">
        <v>15237</v>
      </c>
      <c r="Q2981" s="15" t="s">
        <v>15042</v>
      </c>
      <c r="R2981" s="16">
        <v>44329</v>
      </c>
      <c r="S2981" s="17" t="s">
        <v>225</v>
      </c>
      <c r="T2981" s="20">
        <f>HYPERLINK("https://vnm.spiral.com.vn//uploaded/20210513/1f1a817c-23e2-4785-9e33-e11ad99db798.JPEG","07:07:13")</f>
      </c>
      <c r="U2981" s="18"/>
      <c r="V2981" s="18" t="s">
        <v>35</v>
      </c>
      <c r="W2981" s="15" t="s">
        <v>15238</v>
      </c>
      <c r="X2981" s="15" t="s">
        <v>35</v>
      </c>
      <c r="Y2981" s="15" t="s">
        <v>35</v>
      </c>
      <c r="Z2981" s="19">
        <v>0</v>
      </c>
      <c r="AA2981" s="15">
        <v>0</v>
      </c>
      <c r="AB2981" s="15" t="s">
        <v>35</v>
      </c>
    </row>
    <row r="2982">
      <c r="A2982" s="15">
        <v>2978</v>
      </c>
      <c r="B2982" s="15" t="s">
        <v>61</v>
      </c>
      <c r="C2982" s="15" t="s">
        <v>201</v>
      </c>
      <c r="D2982" s="15" t="s">
        <v>35</v>
      </c>
      <c r="E2982" s="15" t="s">
        <v>35</v>
      </c>
      <c r="F2982" s="15" t="s">
        <v>35</v>
      </c>
      <c r="G2982" s="15" t="s">
        <v>36</v>
      </c>
      <c r="H2982" s="15" t="s">
        <v>15239</v>
      </c>
      <c r="I2982" s="15" t="s">
        <v>15240</v>
      </c>
      <c r="J2982" s="15" t="s">
        <v>15241</v>
      </c>
      <c r="K2982" s="15" t="s">
        <v>40</v>
      </c>
      <c r="L2982" s="15" t="s">
        <v>41</v>
      </c>
      <c r="M2982" s="15" t="s">
        <v>205</v>
      </c>
      <c r="N2982" s="15" t="s">
        <v>206</v>
      </c>
      <c r="O2982" s="15" t="s">
        <v>44</v>
      </c>
      <c r="P2982" s="15" t="s">
        <v>15242</v>
      </c>
      <c r="Q2982" s="15" t="s">
        <v>15243</v>
      </c>
      <c r="R2982" s="16">
        <v>44329</v>
      </c>
      <c r="S2982" s="17" t="s">
        <v>70</v>
      </c>
      <c r="T2982" s="20">
        <f>HYPERLINK("https://vnm.spiral.com.vn//uploaded/20210513/46060d3d-5f19-4571-afaa-6b2050c2aa38.JPEG","07:06:12")</f>
      </c>
      <c r="U2982" s="18"/>
      <c r="V2982" s="18" t="s">
        <v>35</v>
      </c>
      <c r="W2982" s="15" t="s">
        <v>15244</v>
      </c>
      <c r="X2982" s="15" t="s">
        <v>35</v>
      </c>
      <c r="Y2982" s="15" t="s">
        <v>35</v>
      </c>
      <c r="Z2982" s="19">
        <v>0</v>
      </c>
      <c r="AA2982" s="15">
        <v>0</v>
      </c>
      <c r="AB2982" s="15" t="s">
        <v>35</v>
      </c>
    </row>
    <row r="2983">
      <c r="A2983" s="15">
        <v>2979</v>
      </c>
      <c r="B2983" s="15" t="s">
        <v>103</v>
      </c>
      <c r="C2983" s="15" t="s">
        <v>2116</v>
      </c>
      <c r="D2983" s="15" t="s">
        <v>35</v>
      </c>
      <c r="E2983" s="15" t="s">
        <v>35</v>
      </c>
      <c r="F2983" s="15" t="s">
        <v>35</v>
      </c>
      <c r="G2983" s="15" t="s">
        <v>35</v>
      </c>
      <c r="H2983" s="15" t="s">
        <v>15245</v>
      </c>
      <c r="I2983" s="15" t="s">
        <v>15246</v>
      </c>
      <c r="J2983" s="15" t="s">
        <v>15247</v>
      </c>
      <c r="K2983" s="15" t="s">
        <v>40</v>
      </c>
      <c r="L2983" s="15" t="s">
        <v>41</v>
      </c>
      <c r="M2983" s="15" t="s">
        <v>108</v>
      </c>
      <c r="N2983" s="15" t="s">
        <v>109</v>
      </c>
      <c r="O2983" s="15" t="s">
        <v>44</v>
      </c>
      <c r="P2983" s="15" t="s">
        <v>15248</v>
      </c>
      <c r="Q2983" s="15" t="s">
        <v>15249</v>
      </c>
      <c r="R2983" s="16">
        <v>44329</v>
      </c>
      <c r="S2983" s="17" t="s">
        <v>70</v>
      </c>
      <c r="T2983" s="20">
        <f>HYPERLINK("https://vnm.spiral.com.vn//uploaded/20210513/98c51508-e5dd-4c96-a189-e14f40f83c0c.JPEG","07:04:53")</f>
      </c>
      <c r="U2983" s="18"/>
      <c r="V2983" s="18" t="s">
        <v>35</v>
      </c>
      <c r="W2983" s="15" t="s">
        <v>15250</v>
      </c>
      <c r="X2983" s="15" t="s">
        <v>35</v>
      </c>
      <c r="Y2983" s="15" t="s">
        <v>35</v>
      </c>
      <c r="Z2983" s="19">
        <v>0</v>
      </c>
      <c r="AA2983" s="15">
        <v>0</v>
      </c>
      <c r="AB2983" s="15" t="s">
        <v>35</v>
      </c>
    </row>
    <row r="2984">
      <c r="A2984" s="15">
        <v>2980</v>
      </c>
      <c r="B2984" s="15" t="s">
        <v>103</v>
      </c>
      <c r="C2984" s="15" t="s">
        <v>186</v>
      </c>
      <c r="D2984" s="15" t="s">
        <v>148</v>
      </c>
      <c r="E2984" s="15" t="s">
        <v>90</v>
      </c>
      <c r="F2984" s="15" t="s">
        <v>35</v>
      </c>
      <c r="G2984" s="15" t="s">
        <v>74</v>
      </c>
      <c r="H2984" s="15" t="s">
        <v>8865</v>
      </c>
      <c r="I2984" s="15" t="s">
        <v>8866</v>
      </c>
      <c r="J2984" s="15" t="s">
        <v>8867</v>
      </c>
      <c r="K2984" s="15" t="s">
        <v>178</v>
      </c>
      <c r="L2984" s="15" t="s">
        <v>179</v>
      </c>
      <c r="M2984" s="15" t="s">
        <v>3247</v>
      </c>
      <c r="N2984" s="15" t="s">
        <v>3248</v>
      </c>
      <c r="O2984" s="15" t="s">
        <v>156</v>
      </c>
      <c r="P2984" s="15" t="s">
        <v>15251</v>
      </c>
      <c r="Q2984" s="15" t="s">
        <v>15252</v>
      </c>
      <c r="R2984" s="16">
        <v>44329</v>
      </c>
      <c r="S2984" s="17" t="s">
        <v>1696</v>
      </c>
      <c r="T2984" s="20">
        <f>HYPERLINK("https://vnm.spiral.com.vn//uploaded/20210513/a773d8a2-8250-4736-a9f3-98ee4ee05ec5.JPEG","07:03:57")</f>
      </c>
      <c r="U2984" s="18"/>
      <c r="V2984" s="18" t="s">
        <v>35</v>
      </c>
      <c r="W2984" s="15" t="s">
        <v>15253</v>
      </c>
      <c r="X2984" s="15" t="s">
        <v>35</v>
      </c>
      <c r="Y2984" s="15" t="s">
        <v>35</v>
      </c>
      <c r="Z2984" s="19">
        <v>0</v>
      </c>
      <c r="AA2984" s="15">
        <v>0</v>
      </c>
      <c r="AB2984" s="15" t="s">
        <v>35</v>
      </c>
    </row>
    <row r="2985">
      <c r="A2985" s="15">
        <v>2981</v>
      </c>
      <c r="B2985" s="15" t="s">
        <v>61</v>
      </c>
      <c r="C2985" s="15" t="s">
        <v>737</v>
      </c>
      <c r="D2985" s="15" t="s">
        <v>35</v>
      </c>
      <c r="E2985" s="15" t="s">
        <v>35</v>
      </c>
      <c r="F2985" s="15" t="s">
        <v>35</v>
      </c>
      <c r="G2985" s="15" t="s">
        <v>36</v>
      </c>
      <c r="H2985" s="15" t="s">
        <v>15254</v>
      </c>
      <c r="I2985" s="15" t="s">
        <v>15255</v>
      </c>
      <c r="J2985" s="15" t="s">
        <v>15256</v>
      </c>
      <c r="K2985" s="15" t="s">
        <v>40</v>
      </c>
      <c r="L2985" s="15" t="s">
        <v>41</v>
      </c>
      <c r="M2985" s="15" t="s">
        <v>205</v>
      </c>
      <c r="N2985" s="15" t="s">
        <v>206</v>
      </c>
      <c r="O2985" s="15" t="s">
        <v>44</v>
      </c>
      <c r="P2985" s="15" t="s">
        <v>15257</v>
      </c>
      <c r="Q2985" s="15" t="s">
        <v>15258</v>
      </c>
      <c r="R2985" s="16">
        <v>44329</v>
      </c>
      <c r="S2985" s="17" t="s">
        <v>70</v>
      </c>
      <c r="T2985" s="20">
        <f>HYPERLINK("https://vnm.spiral.com.vn//uploaded/20210513/62323C80-8300-414F-85A0-F146425CA38F.jpg","07:03:46")</f>
      </c>
      <c r="U2985" s="18"/>
      <c r="V2985" s="18" t="s">
        <v>35</v>
      </c>
      <c r="W2985" s="15" t="s">
        <v>15259</v>
      </c>
      <c r="X2985" s="15" t="s">
        <v>35</v>
      </c>
      <c r="Y2985" s="15" t="s">
        <v>35</v>
      </c>
      <c r="Z2985" s="19">
        <v>0</v>
      </c>
      <c r="AA2985" s="15">
        <v>0</v>
      </c>
      <c r="AB2985" s="15" t="s">
        <v>35</v>
      </c>
    </row>
    <row r="2986">
      <c r="A2986" s="15">
        <v>2982</v>
      </c>
      <c r="B2986" s="15" t="s">
        <v>246</v>
      </c>
      <c r="C2986" s="15" t="s">
        <v>276</v>
      </c>
      <c r="D2986" s="15" t="s">
        <v>89</v>
      </c>
      <c r="E2986" s="15" t="s">
        <v>90</v>
      </c>
      <c r="F2986" s="15" t="s">
        <v>35</v>
      </c>
      <c r="G2986" s="15" t="s">
        <v>74</v>
      </c>
      <c r="H2986" s="15" t="s">
        <v>277</v>
      </c>
      <c r="I2986" s="15" t="s">
        <v>278</v>
      </c>
      <c r="J2986" s="15" t="s">
        <v>279</v>
      </c>
      <c r="K2986" s="15" t="s">
        <v>263</v>
      </c>
      <c r="L2986" s="15" t="s">
        <v>264</v>
      </c>
      <c r="M2986" s="15" t="s">
        <v>280</v>
      </c>
      <c r="N2986" s="15" t="s">
        <v>281</v>
      </c>
      <c r="O2986" s="15" t="s">
        <v>156</v>
      </c>
      <c r="P2986" s="15" t="s">
        <v>15260</v>
      </c>
      <c r="Q2986" s="15" t="s">
        <v>283</v>
      </c>
      <c r="R2986" s="16">
        <v>44329</v>
      </c>
      <c r="S2986" s="17" t="s">
        <v>159</v>
      </c>
      <c r="T2986" s="20">
        <f>HYPERLINK("https://vnm.spiral.com.vn//uploaded/20210513/6DBDF3C9-F9F0-417B-8CF2-FC0712D2EB9C.jpg","07:02:33")</f>
      </c>
      <c r="U2986" s="18"/>
      <c r="V2986" s="18" t="s">
        <v>35</v>
      </c>
      <c r="W2986" s="15" t="s">
        <v>15261</v>
      </c>
      <c r="X2986" s="15" t="s">
        <v>35</v>
      </c>
      <c r="Y2986" s="15" t="s">
        <v>35</v>
      </c>
      <c r="Z2986" s="19">
        <v>0</v>
      </c>
      <c r="AA2986" s="15">
        <v>0</v>
      </c>
      <c r="AB2986" s="15" t="s">
        <v>35</v>
      </c>
    </row>
    <row r="2987">
      <c r="A2987" s="15">
        <v>2983</v>
      </c>
      <c r="B2987" s="15" t="s">
        <v>343</v>
      </c>
      <c r="C2987" s="15" t="s">
        <v>1150</v>
      </c>
      <c r="D2987" s="15" t="s">
        <v>35</v>
      </c>
      <c r="E2987" s="15" t="s">
        <v>35</v>
      </c>
      <c r="F2987" s="15" t="s">
        <v>35</v>
      </c>
      <c r="G2987" s="15" t="s">
        <v>36</v>
      </c>
      <c r="H2987" s="15" t="s">
        <v>15262</v>
      </c>
      <c r="I2987" s="15" t="s">
        <v>15263</v>
      </c>
      <c r="J2987" s="15" t="s">
        <v>15264</v>
      </c>
      <c r="K2987" s="15" t="s">
        <v>40</v>
      </c>
      <c r="L2987" s="15" t="s">
        <v>41</v>
      </c>
      <c r="M2987" s="15" t="s">
        <v>409</v>
      </c>
      <c r="N2987" s="15" t="s">
        <v>410</v>
      </c>
      <c r="O2987" s="15" t="s">
        <v>44</v>
      </c>
      <c r="P2987" s="15" t="s">
        <v>15265</v>
      </c>
      <c r="Q2987" s="15" t="s">
        <v>15266</v>
      </c>
      <c r="R2987" s="16">
        <v>44329</v>
      </c>
      <c r="S2987" s="17" t="s">
        <v>15152</v>
      </c>
      <c r="T2987" s="20">
        <f>HYPERLINK("https://vnm.spiral.com.vn//uploaded/20210513/441F9CD5-9149-43AA-8ED6-076B10970A18.jpg","07:00:52")</f>
      </c>
      <c r="U2987" s="18"/>
      <c r="V2987" s="18" t="s">
        <v>35</v>
      </c>
      <c r="W2987" s="15" t="s">
        <v>15267</v>
      </c>
      <c r="X2987" s="15" t="s">
        <v>35</v>
      </c>
      <c r="Y2987" s="15" t="s">
        <v>35</v>
      </c>
      <c r="Z2987" s="19">
        <v>0</v>
      </c>
      <c r="AA2987" s="15">
        <v>0</v>
      </c>
      <c r="AB2987" s="15" t="s">
        <v>35</v>
      </c>
    </row>
    <row r="2988">
      <c r="A2988" s="15">
        <v>2984</v>
      </c>
      <c r="B2988" s="15" t="s">
        <v>343</v>
      </c>
      <c r="C2988" s="15" t="s">
        <v>1150</v>
      </c>
      <c r="D2988" s="15" t="s">
        <v>148</v>
      </c>
      <c r="E2988" s="15" t="s">
        <v>90</v>
      </c>
      <c r="F2988" s="15" t="s">
        <v>35</v>
      </c>
      <c r="G2988" s="15" t="s">
        <v>74</v>
      </c>
      <c r="H2988" s="15" t="s">
        <v>8932</v>
      </c>
      <c r="I2988" s="15" t="s">
        <v>8933</v>
      </c>
      <c r="J2988" s="15" t="s">
        <v>8934</v>
      </c>
      <c r="K2988" s="15" t="s">
        <v>512</v>
      </c>
      <c r="L2988" s="15" t="s">
        <v>513</v>
      </c>
      <c r="M2988" s="15" t="s">
        <v>1154</v>
      </c>
      <c r="N2988" s="15" t="s">
        <v>1155</v>
      </c>
      <c r="O2988" s="15" t="s">
        <v>156</v>
      </c>
      <c r="P2988" s="15" t="s">
        <v>15268</v>
      </c>
      <c r="Q2988" s="15" t="s">
        <v>2166</v>
      </c>
      <c r="R2988" s="16">
        <v>44329</v>
      </c>
      <c r="S2988" s="17" t="s">
        <v>159</v>
      </c>
      <c r="T2988" s="20">
        <f>HYPERLINK("https://vnm.spiral.com.vn//uploaded/20210513/D9B40A62-9C97-47A9-A0A5-44304B796775.jpg","07:00:37")</f>
      </c>
      <c r="U2988" s="18"/>
      <c r="V2988" s="18" t="s">
        <v>35</v>
      </c>
      <c r="W2988" s="15" t="s">
        <v>15269</v>
      </c>
      <c r="X2988" s="15" t="s">
        <v>35</v>
      </c>
      <c r="Y2988" s="15" t="s">
        <v>35</v>
      </c>
      <c r="Z2988" s="19">
        <v>0</v>
      </c>
      <c r="AA2988" s="15">
        <v>0</v>
      </c>
      <c r="AB2988" s="15" t="s">
        <v>35</v>
      </c>
    </row>
    <row r="2989">
      <c r="A2989" s="15">
        <v>2985</v>
      </c>
      <c r="B2989" s="15" t="s">
        <v>61</v>
      </c>
      <c r="C2989" s="15" t="s">
        <v>442</v>
      </c>
      <c r="D2989" s="15" t="s">
        <v>35</v>
      </c>
      <c r="E2989" s="15" t="s">
        <v>35</v>
      </c>
      <c r="F2989" s="15" t="s">
        <v>35</v>
      </c>
      <c r="G2989" s="15" t="s">
        <v>36</v>
      </c>
      <c r="H2989" s="15" t="s">
        <v>15270</v>
      </c>
      <c r="I2989" s="15" t="s">
        <v>15271</v>
      </c>
      <c r="J2989" s="15" t="s">
        <v>15272</v>
      </c>
      <c r="K2989" s="15" t="s">
        <v>40</v>
      </c>
      <c r="L2989" s="15" t="s">
        <v>41</v>
      </c>
      <c r="M2989" s="15" t="s">
        <v>205</v>
      </c>
      <c r="N2989" s="15" t="s">
        <v>206</v>
      </c>
      <c r="O2989" s="15" t="s">
        <v>44</v>
      </c>
      <c r="P2989" s="15" t="s">
        <v>15273</v>
      </c>
      <c r="Q2989" s="15" t="s">
        <v>15274</v>
      </c>
      <c r="R2989" s="16">
        <v>44329</v>
      </c>
      <c r="S2989" s="17" t="s">
        <v>1696</v>
      </c>
      <c r="T2989" s="20">
        <f>HYPERLINK("https://vnm.spiral.com.vn//uploaded/20210513/595D58FB-7C80-4C0A-B91A-94310152D5A4.jpg","06:59:39")</f>
      </c>
      <c r="U2989" s="18"/>
      <c r="V2989" s="18" t="s">
        <v>35</v>
      </c>
      <c r="W2989" s="15" t="s">
        <v>15275</v>
      </c>
      <c r="X2989" s="15" t="s">
        <v>35</v>
      </c>
      <c r="Y2989" s="15" t="s">
        <v>35</v>
      </c>
      <c r="Z2989" s="19">
        <v>0</v>
      </c>
      <c r="AA2989" s="15">
        <v>0</v>
      </c>
      <c r="AB2989" s="15" t="s">
        <v>35</v>
      </c>
    </row>
    <row r="2990">
      <c r="A2990" s="15">
        <v>2986</v>
      </c>
      <c r="B2990" s="15" t="s">
        <v>246</v>
      </c>
      <c r="C2990" s="15" t="s">
        <v>782</v>
      </c>
      <c r="D2990" s="15" t="s">
        <v>89</v>
      </c>
      <c r="E2990" s="15" t="s">
        <v>90</v>
      </c>
      <c r="F2990" s="15" t="s">
        <v>35</v>
      </c>
      <c r="G2990" s="15" t="s">
        <v>74</v>
      </c>
      <c r="H2990" s="15" t="s">
        <v>3405</v>
      </c>
      <c r="I2990" s="15" t="s">
        <v>3406</v>
      </c>
      <c r="J2990" s="15" t="s">
        <v>3407</v>
      </c>
      <c r="K2990" s="15" t="s">
        <v>263</v>
      </c>
      <c r="L2990" s="15" t="s">
        <v>264</v>
      </c>
      <c r="M2990" s="15" t="s">
        <v>280</v>
      </c>
      <c r="N2990" s="15" t="s">
        <v>281</v>
      </c>
      <c r="O2990" s="15" t="s">
        <v>156</v>
      </c>
      <c r="P2990" s="15" t="s">
        <v>11185</v>
      </c>
      <c r="Q2990" s="15" t="s">
        <v>283</v>
      </c>
      <c r="R2990" s="16">
        <v>44329</v>
      </c>
      <c r="S2990" s="17" t="s">
        <v>7905</v>
      </c>
      <c r="T2990" s="20">
        <f>HYPERLINK("https://vnm.spiral.com.vn//uploaded/20210513/88afb9eb-501a-4314-8875-93d268b7a0af.JPEG","14:00:28")</f>
      </c>
      <c r="U2990" s="20">
        <f>HYPERLINK("https://vnm.spiral.com.vn//uploaded/20210512/e51dd694-24d2-4e4f-b7b0-834206bc67d7.JPEG","06:58:22")</f>
      </c>
      <c r="V2990" s="18">
        <v>0</v>
      </c>
      <c r="W2990" s="15" t="s">
        <v>15276</v>
      </c>
      <c r="X2990" s="15" t="s">
        <v>15277</v>
      </c>
      <c r="Y2990" s="15" t="s">
        <v>35</v>
      </c>
      <c r="Z2990" s="19">
        <v>0</v>
      </c>
      <c r="AA2990" s="15">
        <v>0</v>
      </c>
      <c r="AB2990" s="15" t="s">
        <v>35</v>
      </c>
    </row>
    <row r="2991">
      <c r="A2991" s="15">
        <v>2987</v>
      </c>
      <c r="B2991" s="15" t="s">
        <v>87</v>
      </c>
      <c r="C2991" s="15" t="s">
        <v>88</v>
      </c>
      <c r="D2991" s="15" t="s">
        <v>4189</v>
      </c>
      <c r="E2991" s="15" t="s">
        <v>90</v>
      </c>
      <c r="F2991" s="15" t="s">
        <v>35</v>
      </c>
      <c r="G2991" s="15" t="s">
        <v>74</v>
      </c>
      <c r="H2991" s="15" t="s">
        <v>4190</v>
      </c>
      <c r="I2991" s="15" t="s">
        <v>4191</v>
      </c>
      <c r="J2991" s="15" t="s">
        <v>4192</v>
      </c>
      <c r="K2991" s="15" t="s">
        <v>748</v>
      </c>
      <c r="L2991" s="15" t="s">
        <v>749</v>
      </c>
      <c r="M2991" s="15" t="s">
        <v>750</v>
      </c>
      <c r="N2991" s="15" t="s">
        <v>751</v>
      </c>
      <c r="O2991" s="15" t="s">
        <v>156</v>
      </c>
      <c r="P2991" s="15" t="s">
        <v>15278</v>
      </c>
      <c r="Q2991" s="15" t="s">
        <v>15279</v>
      </c>
      <c r="R2991" s="16">
        <v>44329</v>
      </c>
      <c r="S2991" s="17" t="s">
        <v>159</v>
      </c>
      <c r="T2991" s="20">
        <f>HYPERLINK("https://vnm.spiral.com.vn//uploaded/20210513/46261963-0da3-48a6-9b55-d0903106e0b9.jpg","06:58:08")</f>
      </c>
      <c r="U2991" s="18"/>
      <c r="V2991" s="18" t="s">
        <v>35</v>
      </c>
      <c r="W2991" s="15" t="s">
        <v>15280</v>
      </c>
      <c r="X2991" s="15" t="s">
        <v>35</v>
      </c>
      <c r="Y2991" s="15" t="s">
        <v>35</v>
      </c>
      <c r="Z2991" s="19">
        <v>0</v>
      </c>
      <c r="AA2991" s="15">
        <v>0</v>
      </c>
      <c r="AB2991" s="15" t="s">
        <v>35</v>
      </c>
    </row>
    <row r="2992">
      <c r="A2992" s="15">
        <v>2988</v>
      </c>
      <c r="B2992" s="15" t="s">
        <v>246</v>
      </c>
      <c r="C2992" s="15" t="s">
        <v>2005</v>
      </c>
      <c r="D2992" s="15" t="s">
        <v>35</v>
      </c>
      <c r="E2992" s="15" t="s">
        <v>35</v>
      </c>
      <c r="F2992" s="15" t="s">
        <v>15281</v>
      </c>
      <c r="G2992" s="15" t="s">
        <v>36</v>
      </c>
      <c r="H2992" s="15" t="s">
        <v>15282</v>
      </c>
      <c r="I2992" s="15" t="s">
        <v>15283</v>
      </c>
      <c r="J2992" s="15" t="s">
        <v>15284</v>
      </c>
      <c r="K2992" s="15" t="s">
        <v>40</v>
      </c>
      <c r="L2992" s="15" t="s">
        <v>41</v>
      </c>
      <c r="M2992" s="15" t="s">
        <v>252</v>
      </c>
      <c r="N2992" s="15" t="s">
        <v>253</v>
      </c>
      <c r="O2992" s="15" t="s">
        <v>44</v>
      </c>
      <c r="P2992" s="15" t="s">
        <v>15285</v>
      </c>
      <c r="Q2992" s="15" t="s">
        <v>15286</v>
      </c>
      <c r="R2992" s="16">
        <v>44329</v>
      </c>
      <c r="S2992" s="17" t="s">
        <v>15202</v>
      </c>
      <c r="T2992" s="20">
        <f>HYPERLINK("https://vnm.spiral.com.vn//uploaded/20210513/7B714709-A759-4740-A1FF-64401983E0AE.jpg","06:57:10")</f>
      </c>
      <c r="U2992" s="18"/>
      <c r="V2992" s="18" t="s">
        <v>35</v>
      </c>
      <c r="W2992" s="15" t="s">
        <v>15287</v>
      </c>
      <c r="X2992" s="15" t="s">
        <v>35</v>
      </c>
      <c r="Y2992" s="15" t="s">
        <v>35</v>
      </c>
      <c r="Z2992" s="19">
        <v>0</v>
      </c>
      <c r="AA2992" s="15">
        <v>0</v>
      </c>
      <c r="AB2992" s="15" t="s">
        <v>35</v>
      </c>
    </row>
    <row r="2993">
      <c r="A2993" s="15">
        <v>2989</v>
      </c>
      <c r="B2993" s="15" t="s">
        <v>33</v>
      </c>
      <c r="C2993" s="15" t="s">
        <v>34</v>
      </c>
      <c r="D2993" s="15" t="s">
        <v>35</v>
      </c>
      <c r="E2993" s="15" t="s">
        <v>35</v>
      </c>
      <c r="F2993" s="15" t="s">
        <v>35</v>
      </c>
      <c r="G2993" s="15" t="s">
        <v>36</v>
      </c>
      <c r="H2993" s="15" t="s">
        <v>15288</v>
      </c>
      <c r="I2993" s="15" t="s">
        <v>15289</v>
      </c>
      <c r="J2993" s="15" t="s">
        <v>15290</v>
      </c>
      <c r="K2993" s="15" t="s">
        <v>40</v>
      </c>
      <c r="L2993" s="15" t="s">
        <v>41</v>
      </c>
      <c r="M2993" s="15" t="s">
        <v>42</v>
      </c>
      <c r="N2993" s="15" t="s">
        <v>43</v>
      </c>
      <c r="O2993" s="15" t="s">
        <v>44</v>
      </c>
      <c r="P2993" s="15" t="s">
        <v>15291</v>
      </c>
      <c r="Q2993" s="15" t="s">
        <v>15292</v>
      </c>
      <c r="R2993" s="16">
        <v>44329</v>
      </c>
      <c r="S2993" s="17" t="s">
        <v>225</v>
      </c>
      <c r="T2993" s="20">
        <f>HYPERLINK("https://vnm.spiral.com.vn//uploaded/20210513/37ad0d57-6705-45a1-8f69-a5b6a846482c.JPEG","06:55:37")</f>
      </c>
      <c r="U2993" s="18"/>
      <c r="V2993" s="18" t="s">
        <v>35</v>
      </c>
      <c r="W2993" s="15" t="s">
        <v>15293</v>
      </c>
      <c r="X2993" s="15" t="s">
        <v>35</v>
      </c>
      <c r="Y2993" s="15" t="s">
        <v>35</v>
      </c>
      <c r="Z2993" s="19">
        <v>0</v>
      </c>
      <c r="AA2993" s="15">
        <v>0</v>
      </c>
      <c r="AB2993" s="15" t="s">
        <v>35</v>
      </c>
    </row>
    <row r="2994">
      <c r="A2994" s="15">
        <v>2990</v>
      </c>
      <c r="B2994" s="15" t="s">
        <v>33</v>
      </c>
      <c r="C2994" s="15" t="s">
        <v>34</v>
      </c>
      <c r="D2994" s="15" t="s">
        <v>148</v>
      </c>
      <c r="E2994" s="15" t="s">
        <v>35</v>
      </c>
      <c r="F2994" s="15" t="s">
        <v>35</v>
      </c>
      <c r="G2994" s="15" t="s">
        <v>74</v>
      </c>
      <c r="H2994" s="15" t="s">
        <v>11059</v>
      </c>
      <c r="I2994" s="15" t="s">
        <v>11060</v>
      </c>
      <c r="J2994" s="15" t="s">
        <v>11061</v>
      </c>
      <c r="K2994" s="15" t="s">
        <v>78</v>
      </c>
      <c r="L2994" s="15" t="s">
        <v>79</v>
      </c>
      <c r="M2994" s="15" t="s">
        <v>426</v>
      </c>
      <c r="N2994" s="15" t="s">
        <v>427</v>
      </c>
      <c r="O2994" s="15" t="s">
        <v>156</v>
      </c>
      <c r="P2994" s="15" t="s">
        <v>15294</v>
      </c>
      <c r="Q2994" s="15" t="s">
        <v>15295</v>
      </c>
      <c r="R2994" s="16">
        <v>44329</v>
      </c>
      <c r="S2994" s="17" t="s">
        <v>159</v>
      </c>
      <c r="T2994" s="20">
        <f>HYPERLINK("https://vnm.spiral.com.vn//uploaded/20210513/E13031A6-528B-4C43-A5F6-60FF51EA2B1A.jpg","06:55:31")</f>
      </c>
      <c r="U2994" s="18"/>
      <c r="V2994" s="18" t="s">
        <v>35</v>
      </c>
      <c r="W2994" s="15" t="s">
        <v>15296</v>
      </c>
      <c r="X2994" s="15" t="s">
        <v>35</v>
      </c>
      <c r="Y2994" s="15" t="s">
        <v>35</v>
      </c>
      <c r="Z2994" s="19">
        <v>0</v>
      </c>
      <c r="AA2994" s="15">
        <v>0</v>
      </c>
      <c r="AB2994" s="15" t="s">
        <v>35</v>
      </c>
    </row>
    <row r="2995">
      <c r="A2995" s="15">
        <v>2991</v>
      </c>
      <c r="B2995" s="15" t="s">
        <v>61</v>
      </c>
      <c r="C2995" s="15" t="s">
        <v>442</v>
      </c>
      <c r="D2995" s="15" t="s">
        <v>35</v>
      </c>
      <c r="E2995" s="15" t="s">
        <v>35</v>
      </c>
      <c r="F2995" s="15" t="s">
        <v>35</v>
      </c>
      <c r="G2995" s="15" t="s">
        <v>36</v>
      </c>
      <c r="H2995" s="15" t="s">
        <v>15297</v>
      </c>
      <c r="I2995" s="15" t="s">
        <v>15298</v>
      </c>
      <c r="J2995" s="15" t="s">
        <v>15299</v>
      </c>
      <c r="K2995" s="15" t="s">
        <v>40</v>
      </c>
      <c r="L2995" s="15" t="s">
        <v>41</v>
      </c>
      <c r="M2995" s="15" t="s">
        <v>205</v>
      </c>
      <c r="N2995" s="15" t="s">
        <v>206</v>
      </c>
      <c r="O2995" s="15" t="s">
        <v>44</v>
      </c>
      <c r="P2995" s="15" t="s">
        <v>15300</v>
      </c>
      <c r="Q2995" s="15" t="s">
        <v>15301</v>
      </c>
      <c r="R2995" s="16">
        <v>44329</v>
      </c>
      <c r="S2995" s="17" t="s">
        <v>70</v>
      </c>
      <c r="T2995" s="20">
        <f>HYPERLINK("https://vnm.spiral.com.vn//uploaded/20210513/4bfccf8f-a959-4c13-b066-5537766f060b.JPEG","06:51:34")</f>
      </c>
      <c r="U2995" s="18"/>
      <c r="V2995" s="18" t="s">
        <v>35</v>
      </c>
      <c r="W2995" s="15" t="s">
        <v>15302</v>
      </c>
      <c r="X2995" s="15" t="s">
        <v>35</v>
      </c>
      <c r="Y2995" s="15" t="s">
        <v>35</v>
      </c>
      <c r="Z2995" s="19">
        <v>0</v>
      </c>
      <c r="AA2995" s="15">
        <v>0</v>
      </c>
      <c r="AB2995" s="15" t="s">
        <v>35</v>
      </c>
    </row>
    <row r="2996">
      <c r="A2996" s="15">
        <v>2992</v>
      </c>
      <c r="B2996" s="15" t="s">
        <v>61</v>
      </c>
      <c r="C2996" s="15" t="s">
        <v>1730</v>
      </c>
      <c r="D2996" s="15" t="s">
        <v>35</v>
      </c>
      <c r="E2996" s="15" t="s">
        <v>35</v>
      </c>
      <c r="F2996" s="15" t="s">
        <v>4621</v>
      </c>
      <c r="G2996" s="15" t="s">
        <v>36</v>
      </c>
      <c r="H2996" s="15" t="s">
        <v>15303</v>
      </c>
      <c r="I2996" s="15" t="s">
        <v>15304</v>
      </c>
      <c r="J2996" s="15" t="s">
        <v>15305</v>
      </c>
      <c r="K2996" s="15" t="s">
        <v>40</v>
      </c>
      <c r="L2996" s="15" t="s">
        <v>41</v>
      </c>
      <c r="M2996" s="15" t="s">
        <v>205</v>
      </c>
      <c r="N2996" s="15" t="s">
        <v>206</v>
      </c>
      <c r="O2996" s="15" t="s">
        <v>44</v>
      </c>
      <c r="P2996" s="15" t="s">
        <v>15306</v>
      </c>
      <c r="Q2996" s="15" t="s">
        <v>15307</v>
      </c>
      <c r="R2996" s="16">
        <v>44329</v>
      </c>
      <c r="S2996" s="17" t="s">
        <v>159</v>
      </c>
      <c r="T2996" s="20">
        <f>HYPERLINK("https://vnm.spiral.com.vn//uploaded/20210513/a577cb18-ffc4-4e94-8c5d-c78f2a4bc8df.JPEG","06:33:10")</f>
      </c>
      <c r="U2996" s="18"/>
      <c r="V2996" s="18" t="s">
        <v>35</v>
      </c>
      <c r="W2996" s="15" t="s">
        <v>15308</v>
      </c>
      <c r="X2996" s="15" t="s">
        <v>35</v>
      </c>
      <c r="Y2996" s="15" t="s">
        <v>35</v>
      </c>
      <c r="Z2996" s="19">
        <v>0</v>
      </c>
      <c r="AA2996" s="15">
        <v>0</v>
      </c>
      <c r="AB2996" s="15" t="s">
        <v>35</v>
      </c>
    </row>
    <row r="2997">
      <c r="A2997" s="15">
        <v>2993</v>
      </c>
      <c r="B2997" s="15" t="s">
        <v>246</v>
      </c>
      <c r="C2997" s="15" t="s">
        <v>864</v>
      </c>
      <c r="D2997" s="15" t="s">
        <v>148</v>
      </c>
      <c r="E2997" s="15" t="s">
        <v>90</v>
      </c>
      <c r="F2997" s="15" t="s">
        <v>35</v>
      </c>
      <c r="G2997" s="15" t="s">
        <v>74</v>
      </c>
      <c r="H2997" s="15" t="s">
        <v>865</v>
      </c>
      <c r="I2997" s="15" t="s">
        <v>866</v>
      </c>
      <c r="J2997" s="15" t="s">
        <v>867</v>
      </c>
      <c r="K2997" s="15" t="s">
        <v>263</v>
      </c>
      <c r="L2997" s="15" t="s">
        <v>264</v>
      </c>
      <c r="M2997" s="15" t="s">
        <v>868</v>
      </c>
      <c r="N2997" s="15" t="s">
        <v>869</v>
      </c>
      <c r="O2997" s="15" t="s">
        <v>156</v>
      </c>
      <c r="P2997" s="15" t="s">
        <v>15309</v>
      </c>
      <c r="Q2997" s="15" t="s">
        <v>15310</v>
      </c>
      <c r="R2997" s="16">
        <v>44329</v>
      </c>
      <c r="S2997" s="17" t="s">
        <v>159</v>
      </c>
      <c r="T2997" s="20">
        <f>HYPERLINK("https://vnm.spiral.com.vn//uploaded/20210513/E3D6C566-2C57-4E5C-A7FC-5661448034C2.jpg","06:29:57")</f>
      </c>
      <c r="U2997" s="18"/>
      <c r="V2997" s="18" t="s">
        <v>35</v>
      </c>
      <c r="W2997" s="15" t="s">
        <v>15311</v>
      </c>
      <c r="X2997" s="15" t="s">
        <v>35</v>
      </c>
      <c r="Y2997" s="15" t="s">
        <v>35</v>
      </c>
      <c r="Z2997" s="19">
        <v>0</v>
      </c>
      <c r="AA2997" s="15">
        <v>0</v>
      </c>
      <c r="AB2997" s="15" t="s">
        <v>35</v>
      </c>
    </row>
    <row r="2998">
      <c r="A2998" s="15">
        <v>2994</v>
      </c>
      <c r="B2998" s="15" t="s">
        <v>103</v>
      </c>
      <c r="C2998" s="15" t="s">
        <v>186</v>
      </c>
      <c r="D2998" s="15" t="s">
        <v>304</v>
      </c>
      <c r="E2998" s="15" t="s">
        <v>305</v>
      </c>
      <c r="F2998" s="15" t="s">
        <v>35</v>
      </c>
      <c r="G2998" s="15" t="s">
        <v>74</v>
      </c>
      <c r="H2998" s="15" t="s">
        <v>14484</v>
      </c>
      <c r="I2998" s="15" t="s">
        <v>14485</v>
      </c>
      <c r="J2998" s="15" t="s">
        <v>14486</v>
      </c>
      <c r="K2998" s="15" t="s">
        <v>178</v>
      </c>
      <c r="L2998" s="15" t="s">
        <v>179</v>
      </c>
      <c r="M2998" s="15" t="s">
        <v>3247</v>
      </c>
      <c r="N2998" s="15" t="s">
        <v>3248</v>
      </c>
      <c r="O2998" s="15" t="s">
        <v>156</v>
      </c>
      <c r="P2998" s="15" t="s">
        <v>15312</v>
      </c>
      <c r="Q2998" s="15" t="s">
        <v>15313</v>
      </c>
      <c r="R2998" s="16">
        <v>44329</v>
      </c>
      <c r="S2998" s="17" t="s">
        <v>159</v>
      </c>
      <c r="T2998" s="20">
        <f>HYPERLINK("https://vnm.spiral.com.vn//uploaded/20210513/7f609224-3835-4e03-9145-01235fc75151.JPEG","06:21:50")</f>
      </c>
      <c r="U2998" s="18"/>
      <c r="V2998" s="18" t="s">
        <v>35</v>
      </c>
      <c r="W2998" s="15" t="s">
        <v>15314</v>
      </c>
      <c r="X2998" s="15" t="s">
        <v>35</v>
      </c>
      <c r="Y2998" s="15" t="s">
        <v>35</v>
      </c>
      <c r="Z2998" s="19">
        <v>0</v>
      </c>
      <c r="AA2998" s="15">
        <v>0</v>
      </c>
      <c r="AB2998" s="15" t="s">
        <v>35</v>
      </c>
    </row>
    <row r="2999">
      <c r="A2999" s="15">
        <v>2995</v>
      </c>
      <c r="B2999" s="15" t="s">
        <v>103</v>
      </c>
      <c r="C2999" s="15" t="s">
        <v>186</v>
      </c>
      <c r="D2999" s="15" t="s">
        <v>304</v>
      </c>
      <c r="E2999" s="15" t="s">
        <v>305</v>
      </c>
      <c r="F2999" s="15" t="s">
        <v>35</v>
      </c>
      <c r="G2999" s="15" t="s">
        <v>74</v>
      </c>
      <c r="H2999" s="15" t="s">
        <v>14484</v>
      </c>
      <c r="I2999" s="15" t="s">
        <v>14485</v>
      </c>
      <c r="J2999" s="15" t="s">
        <v>14486</v>
      </c>
      <c r="K2999" s="15" t="s">
        <v>178</v>
      </c>
      <c r="L2999" s="15" t="s">
        <v>179</v>
      </c>
      <c r="M2999" s="15" t="s">
        <v>3247</v>
      </c>
      <c r="N2999" s="15" t="s">
        <v>3248</v>
      </c>
      <c r="O2999" s="15" t="s">
        <v>156</v>
      </c>
      <c r="P2999" s="15" t="s">
        <v>15315</v>
      </c>
      <c r="Q2999" s="15" t="s">
        <v>15316</v>
      </c>
      <c r="R2999" s="16">
        <v>44329</v>
      </c>
      <c r="S2999" s="17" t="s">
        <v>8687</v>
      </c>
      <c r="T2999" s="20">
        <f>HYPERLINK("https://vnm.spiral.com.vn//uploaded/20210513/3c3ff899-d15c-4f31-8a69-8a0b907ada0f.JPEG","06:18:44")</f>
      </c>
      <c r="U2999" s="18"/>
      <c r="V2999" s="18" t="s">
        <v>35</v>
      </c>
      <c r="W2999" s="15" t="s">
        <v>15317</v>
      </c>
      <c r="X2999" s="15" t="s">
        <v>35</v>
      </c>
      <c r="Y2999" s="15" t="s">
        <v>35</v>
      </c>
      <c r="Z2999" s="19">
        <v>0</v>
      </c>
      <c r="AA2999" s="15">
        <v>0</v>
      </c>
      <c r="AB2999" s="15" t="s">
        <v>35</v>
      </c>
    </row>
    <row r="3000">
      <c r="A3000" s="15">
        <v>2996</v>
      </c>
      <c r="B3000" s="15" t="s">
        <v>343</v>
      </c>
      <c r="C3000" s="15" t="s">
        <v>344</v>
      </c>
      <c r="D3000" s="15" t="s">
        <v>536</v>
      </c>
      <c r="E3000" s="15" t="s">
        <v>116</v>
      </c>
      <c r="F3000" s="15" t="s">
        <v>35</v>
      </c>
      <c r="G3000" s="15" t="s">
        <v>74</v>
      </c>
      <c r="H3000" s="15" t="s">
        <v>2573</v>
      </c>
      <c r="I3000" s="15" t="s">
        <v>2574</v>
      </c>
      <c r="J3000" s="15" t="s">
        <v>2575</v>
      </c>
      <c r="K3000" s="15" t="s">
        <v>540</v>
      </c>
      <c r="L3000" s="15" t="s">
        <v>541</v>
      </c>
      <c r="M3000" s="15" t="s">
        <v>997</v>
      </c>
      <c r="N3000" s="15" t="s">
        <v>998</v>
      </c>
      <c r="O3000" s="15" t="s">
        <v>98</v>
      </c>
      <c r="P3000" s="15" t="s">
        <v>1325</v>
      </c>
      <c r="Q3000" s="15" t="s">
        <v>1326</v>
      </c>
      <c r="R3000" s="16">
        <v>44329</v>
      </c>
      <c r="S3000" s="17" t="s">
        <v>70</v>
      </c>
      <c r="T3000" s="20">
        <f>HYPERLINK("https://vnm.spiral.com.vn//uploaded/20210513/81a89f9c-3fff-4076-b723-d536491305d7.JPEG","16:33:14")</f>
      </c>
      <c r="U3000" s="20">
        <f>HYPERLINK("https://vnm.spiral.com.vn//uploaded/20210513/44e434fe-2670-4865-b56d-5fd4c49741fd.JPEG","05:00:27")</f>
      </c>
      <c r="V3000" s="18">
        <v>0</v>
      </c>
      <c r="W3000" s="15" t="s">
        <v>15318</v>
      </c>
      <c r="X3000" s="15" t="s">
        <v>15319</v>
      </c>
      <c r="Y3000" s="15" t="s">
        <v>35</v>
      </c>
      <c r="Z3000" s="19">
        <v>0</v>
      </c>
      <c r="AA3000" s="15">
        <v>0</v>
      </c>
      <c r="AB3000" s="15" t="s">
        <v>35</v>
      </c>
    </row>
    <row r="3001">
      <c r="A3001" s="15">
        <v>2997</v>
      </c>
      <c r="B3001" s="15" t="s">
        <v>343</v>
      </c>
      <c r="C3001" s="15" t="s">
        <v>344</v>
      </c>
      <c r="D3001" s="15" t="s">
        <v>35</v>
      </c>
      <c r="E3001" s="15" t="s">
        <v>35</v>
      </c>
      <c r="F3001" s="15" t="s">
        <v>35</v>
      </c>
      <c r="G3001" s="15" t="s">
        <v>36</v>
      </c>
      <c r="H3001" s="15" t="s">
        <v>5067</v>
      </c>
      <c r="I3001" s="15" t="s">
        <v>5068</v>
      </c>
      <c r="J3001" s="15" t="s">
        <v>5069</v>
      </c>
      <c r="K3001" s="15" t="s">
        <v>40</v>
      </c>
      <c r="L3001" s="15" t="s">
        <v>41</v>
      </c>
      <c r="M3001" s="15" t="s">
        <v>595</v>
      </c>
      <c r="N3001" s="15" t="s">
        <v>596</v>
      </c>
      <c r="O3001" s="15" t="s">
        <v>44</v>
      </c>
      <c r="P3001" s="15" t="s">
        <v>5070</v>
      </c>
      <c r="Q3001" s="15" t="s">
        <v>5071</v>
      </c>
      <c r="R3001" s="16">
        <v>44329</v>
      </c>
      <c r="S3001" s="17" t="s">
        <v>317</v>
      </c>
      <c r="T3001" s="20">
        <f>HYPERLINK("https://vnm.spiral.com.vn//images/upload/1/20210513/1_copy_284942D7-0AFB-4863-B54E-8F6B0F235C05.jpg","08:00:00")</f>
      </c>
      <c r="U3001" s="20">
        <f>HYPERLINK("https://vnm.spiral.com.vn//images/upload/1/20210513/1_copy_936EFDA6-7B1D-48FD-901A-815AFA737A08.jpg","00:00:00")</f>
      </c>
      <c r="V3001" s="18">
        <v>0</v>
      </c>
      <c r="W3001" s="15" t="s">
        <v>5072</v>
      </c>
      <c r="X3001" s="15" t="s">
        <v>5072</v>
      </c>
      <c r="Y3001" s="15" t="s">
        <v>35</v>
      </c>
      <c r="Z3001" s="19">
        <v>0</v>
      </c>
      <c r="AA3001" s="15">
        <v>0</v>
      </c>
      <c r="AB3001" s="15" t="s">
        <v>35</v>
      </c>
    </row>
  </sheetData>
  <mergeCells>
    <mergeCell ref="A3:J3"/>
    <mergeCell ref="K3:Q3"/>
    <mergeCell ref="R3:AB3"/>
    <mergeCell ref="C1:K1"/>
    <mergeCell ref="C2:G2"/>
  </mergeCells>
  <pageMargins left="0.7" right="0.7" top="0.75" bottom="0.75" header="0.3" footer="0.3"/>
  <pageSetup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Dữ liệu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2021-03-21T08:18:32Z</dcterms:created>
  <dcterms:modified xsi:type="dcterms:W3CDTF">2021-05-13T06:30:16Z</dcterms:modified>
</cp:coreProperties>
</file>