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IDs" sheetId="1" r:id="rId4"/>
    <sheet state="hidden" name="FAMAT Scanner School List" sheetId="2" r:id="rId5"/>
    <sheet state="hidden" name="Elementary School Template" sheetId="3" r:id="rId6"/>
    <sheet state="visible" name="Brooker Creek Elementary" sheetId="4" r:id="rId7"/>
    <sheet state="visible" name="Curtis Fundamental Elementary" sheetId="5" r:id="rId8"/>
    <sheet state="visible" name="Cypress Woods Elementary" sheetId="6" r:id="rId9"/>
    <sheet state="visible" name="Elisa Nelson Elementary" sheetId="7" r:id="rId10"/>
    <sheet state="visible" name="Garrison-Jones Elementary" sheetId="8" r:id="rId11"/>
    <sheet state="visible" name="High Point Elementary" sheetId="9" r:id="rId12"/>
    <sheet state="visible" name="Leila Davis Elementary" sheetId="10" r:id="rId13"/>
    <sheet state="visible" name="Mildred Helms Elementary" sheetId="11" r:id="rId14"/>
    <sheet state="visible" name="Oakhurst Elementary" sheetId="12" r:id="rId15"/>
    <sheet state="visible" name="Oldsmar Elementary" sheetId="13" r:id="rId16"/>
    <sheet state="visible" name="Ozona Elementary" sheetId="14" r:id="rId17"/>
    <sheet state="visible" name="Ridgecrest Elementary" sheetId="15" r:id="rId18"/>
    <sheet state="visible" name="Seventy-Fourth Street Elementar" sheetId="16" r:id="rId19"/>
    <sheet state="visible" name="Shore Acres Elementary" sheetId="17" r:id="rId20"/>
    <sheet state="visible" name="Skyview Elementary" sheetId="18" r:id="rId21"/>
    <sheet state="visible" name="Sutherland Elementary" sheetId="19" r:id="rId22"/>
    <sheet state="visible" name="Tarpon Springs Fundamental Elem" sheetId="20" r:id="rId23"/>
    <sheet state="hidden" name="Middle School Template" sheetId="21" r:id="rId24"/>
    <sheet state="visible" name="Carwise Middle" sheetId="22" r:id="rId25"/>
    <sheet state="visible" name="Clearwater Fundamental Middle" sheetId="23" r:id="rId26"/>
    <sheet state="visible" name="Dunedin Highland Middle" sheetId="24" r:id="rId27"/>
    <sheet state="visible" name="East Lake Middle" sheetId="25" r:id="rId28"/>
    <sheet state="visible" name="Morgan Fitzgerald Middle" sheetId="26" r:id="rId29"/>
    <sheet state="visible" name="Palm Harbor Middle" sheetId="27" r:id="rId30"/>
    <sheet state="hidden" name="Charter School Template" sheetId="28" r:id="rId31"/>
    <sheet state="visible" name="Discovery Academy of Science" sheetId="29" r:id="rId32"/>
    <sheet state="visible" name="Gulf Coast Classical Academy" sheetId="30" r:id="rId33"/>
    <sheet state="visible" name="Plato Academy Palm Harbor" sheetId="31" r:id="rId34"/>
  </sheets>
  <definedNames/>
  <calcPr/>
</workbook>
</file>

<file path=xl/sharedStrings.xml><?xml version="1.0" encoding="utf-8"?>
<sst xmlns="http://schemas.openxmlformats.org/spreadsheetml/2006/main" count="1413" uniqueCount="442">
  <si>
    <t>School Name</t>
  </si>
  <si>
    <t>School ID</t>
  </si>
  <si>
    <t>Elementary Schools</t>
  </si>
  <si>
    <t>Middle Schools</t>
  </si>
  <si>
    <t>Charter Schools</t>
  </si>
  <si>
    <t>Brooker Creek Elementary</t>
  </si>
  <si>
    <t>Carwise Middle</t>
  </si>
  <si>
    <t>Discovery Academy of Science</t>
  </si>
  <si>
    <t>Curtis Fundamental Elementary</t>
  </si>
  <si>
    <t>Clearwater Fundamental Middle</t>
  </si>
  <si>
    <t>Gulf Coast Classical Academy</t>
  </si>
  <si>
    <t>Cypress Woods Elementary</t>
  </si>
  <si>
    <t>Dunedin Highland Middle</t>
  </si>
  <si>
    <t>Plato Academy Palm Harbor</t>
  </si>
  <si>
    <t>Elisa Nelson Elementary</t>
  </si>
  <si>
    <t>East Lake Middle</t>
  </si>
  <si>
    <t>Garrison-Jones Elementary</t>
  </si>
  <si>
    <t>Morgan Fitzgerald Middle</t>
  </si>
  <si>
    <t>High Point Elementary</t>
  </si>
  <si>
    <t>Palm Harbor Middle</t>
  </si>
  <si>
    <t>Leila Davis Elementary</t>
  </si>
  <si>
    <t>Mildred Helms Elementary</t>
  </si>
  <si>
    <t>Oakhurst Elementary</t>
  </si>
  <si>
    <t>Oldsmar Elementary</t>
  </si>
  <si>
    <t>Ozona Elementary</t>
  </si>
  <si>
    <t>Ridgecrest Elementary</t>
  </si>
  <si>
    <t>Seventy-Fourth Street Elementary</t>
  </si>
  <si>
    <t>Shore Acres Elementary</t>
  </si>
  <si>
    <t>Skyview Elementary</t>
  </si>
  <si>
    <t>Sutherland Elementary</t>
  </si>
  <si>
    <t>Tarpon Springs Fundamental Elementary</t>
  </si>
  <si>
    <t>School Name:</t>
  </si>
  <si>
    <t>School ID:</t>
  </si>
  <si>
    <t>PI Competition Student:</t>
  </si>
  <si>
    <t>Student Name</t>
  </si>
  <si>
    <t>Rubik's Cube Competiton Student:</t>
  </si>
  <si>
    <t>Mental Math Student:</t>
  </si>
  <si>
    <t>Division</t>
  </si>
  <si>
    <t>Team</t>
  </si>
  <si>
    <t>Student #</t>
  </si>
  <si>
    <t>Level</t>
  </si>
  <si>
    <t>Student ID</t>
  </si>
  <si>
    <t>4th Grade</t>
  </si>
  <si>
    <t>Team 1</t>
  </si>
  <si>
    <t>Team 2</t>
  </si>
  <si>
    <t>5th Grade</t>
  </si>
  <si>
    <t>Gwen Gardner</t>
  </si>
  <si>
    <t>Leo Azulai</t>
  </si>
  <si>
    <t>Cooper Davis</t>
  </si>
  <si>
    <t>Reid Falkenbach</t>
  </si>
  <si>
    <t>Olivia Dean</t>
  </si>
  <si>
    <t>Charlotte Smith</t>
  </si>
  <si>
    <t>Logan Ranahan Roberts</t>
  </si>
  <si>
    <t>Stella Spencer</t>
  </si>
  <si>
    <t>Liam Eisele</t>
  </si>
  <si>
    <t>Makenzie Matchette</t>
  </si>
  <si>
    <t>Sophie Manning</t>
  </si>
  <si>
    <t>Sophia Nguyen</t>
  </si>
  <si>
    <t>Vibhu Mantripragada</t>
  </si>
  <si>
    <t>Evan Prillhart</t>
  </si>
  <si>
    <t>Luuly Tran</t>
  </si>
  <si>
    <t>Addy Whitcher</t>
  </si>
  <si>
    <t>Alek Aboul- hosn</t>
  </si>
  <si>
    <t>Lily Kerley</t>
  </si>
  <si>
    <t>Mark Borkowski</t>
  </si>
  <si>
    <t>Michael Lindsey</t>
  </si>
  <si>
    <t>Charles Chambless</t>
  </si>
  <si>
    <t>Nathan Makau</t>
  </si>
  <si>
    <t>Heather Cavill</t>
  </si>
  <si>
    <t>Chandler Trier</t>
  </si>
  <si>
    <t>Dean Digrande</t>
  </si>
  <si>
    <t>Penelope Shaw</t>
  </si>
  <si>
    <t>Lukas Tait</t>
  </si>
  <si>
    <t>Zayd Hossain</t>
  </si>
  <si>
    <t xml:space="preserve">Thomas Hildick </t>
  </si>
  <si>
    <t>Joleigh Stevens</t>
  </si>
  <si>
    <t>Charles Kiehn</t>
  </si>
  <si>
    <t>Thai Masters</t>
  </si>
  <si>
    <t>Pete Speerschneider</t>
  </si>
  <si>
    <t>Skye Garcia-Webb</t>
  </si>
  <si>
    <t>Penelope Bensaid</t>
  </si>
  <si>
    <t>Riya Nerella</t>
  </si>
  <si>
    <t>Adam Soliman</t>
  </si>
  <si>
    <t>Danial Pavlu</t>
  </si>
  <si>
    <t>Ryan Acosta</t>
  </si>
  <si>
    <t>Elor Kreshpanji</t>
  </si>
  <si>
    <t>Blake White</t>
  </si>
  <si>
    <t>Samantha Polo Barrera</t>
  </si>
  <si>
    <t>Angelina Kugal</t>
  </si>
  <si>
    <t>Essam Shamsideen</t>
  </si>
  <si>
    <t>Mila Wiseman</t>
  </si>
  <si>
    <t>Gavin Grasley</t>
  </si>
  <si>
    <t>Kseniia Senina</t>
  </si>
  <si>
    <t>Brooks Herrington</t>
  </si>
  <si>
    <t>Leon Waldman</t>
  </si>
  <si>
    <t>Keston Carrier</t>
  </si>
  <si>
    <t>Gabriel Kerkinni</t>
  </si>
  <si>
    <t>Benjamin Cartwright</t>
  </si>
  <si>
    <t>Elena Wiszowaty</t>
  </si>
  <si>
    <t>Jacob Ciupka</t>
  </si>
  <si>
    <t>Nicholas Burke</t>
  </si>
  <si>
    <t>Gabriel Bowles</t>
  </si>
  <si>
    <t>Alexander Main</t>
  </si>
  <si>
    <t>Garrett Stahl</t>
  </si>
  <si>
    <t>Madelyn Ziegler</t>
  </si>
  <si>
    <t>Luke Gorman</t>
  </si>
  <si>
    <t>Oliver Eaton</t>
  </si>
  <si>
    <t>Leo Allison</t>
  </si>
  <si>
    <t>Antoni Jelinski</t>
  </si>
  <si>
    <t>Josiana Joseph</t>
  </si>
  <si>
    <t>Jonathan Semach</t>
  </si>
  <si>
    <t>Victor De Leon</t>
  </si>
  <si>
    <t>Hriaan Patel</t>
  </si>
  <si>
    <t>Jackson Ficca</t>
  </si>
  <si>
    <t>Kaius Horchak</t>
  </si>
  <si>
    <t>Noah Weiler</t>
  </si>
  <si>
    <t>Benjamin Deshazo</t>
  </si>
  <si>
    <t>Chase Wilder</t>
  </si>
  <si>
    <t>Rylan Franklin</t>
  </si>
  <si>
    <t>Thomas Wilbanks</t>
  </si>
  <si>
    <t>Chase Battaglia</t>
  </si>
  <si>
    <t>Zainab Alaziz</t>
  </si>
  <si>
    <t>Dylan Intravaia</t>
  </si>
  <si>
    <t>Natalie Zamora</t>
  </si>
  <si>
    <t>Angel Medina</t>
  </si>
  <si>
    <t>Neveah Seralde</t>
  </si>
  <si>
    <t>Jonathon Ramos</t>
  </si>
  <si>
    <t>Sarahi</t>
  </si>
  <si>
    <t>Zianna Williams</t>
  </si>
  <si>
    <t>Lucy Ward</t>
  </si>
  <si>
    <t>Luis Morales</t>
  </si>
  <si>
    <t>Nayeli Elias Zamora</t>
  </si>
  <si>
    <t>Jariana Bartolo</t>
  </si>
  <si>
    <t>Robert Goulet</t>
  </si>
  <si>
    <t>Luke Quintero</t>
  </si>
  <si>
    <t>Penelope Biarnes</t>
  </si>
  <si>
    <t>Drew Bell</t>
  </si>
  <si>
    <t>Xavier Combs</t>
  </si>
  <si>
    <t>Ayan Malik</t>
  </si>
  <si>
    <t>Alva Comollari</t>
  </si>
  <si>
    <t>Helen Prifti</t>
  </si>
  <si>
    <t>Owen Freeman</t>
  </si>
  <si>
    <t>Harrison Telsan</t>
  </si>
  <si>
    <t>Jovan Thorn</t>
  </si>
  <si>
    <t>Damian Nieves</t>
  </si>
  <si>
    <t>Jeremiah McNally</t>
  </si>
  <si>
    <t>Miles Anderson</t>
  </si>
  <si>
    <t>Wesley Lieb</t>
  </si>
  <si>
    <t>Chloe Sturgill</t>
  </si>
  <si>
    <t>Charlotte Harrigan</t>
  </si>
  <si>
    <t>Josue Guevara</t>
  </si>
  <si>
    <t>Savannah Samon</t>
  </si>
  <si>
    <t>Silas Powell</t>
  </si>
  <si>
    <t>JJ Kelly</t>
  </si>
  <si>
    <t>Arthur</t>
  </si>
  <si>
    <t>Johnathan</t>
  </si>
  <si>
    <t>Liam</t>
  </si>
  <si>
    <t>Dean</t>
  </si>
  <si>
    <t>Luke</t>
  </si>
  <si>
    <t xml:space="preserve">Koltyn </t>
  </si>
  <si>
    <t>Emiral</t>
  </si>
  <si>
    <t>Brad</t>
  </si>
  <si>
    <t xml:space="preserve">Aurora </t>
  </si>
  <si>
    <t>Tristen</t>
  </si>
  <si>
    <t>Brady</t>
  </si>
  <si>
    <t>Lorenzo</t>
  </si>
  <si>
    <t>Victor</t>
  </si>
  <si>
    <t>Xavier</t>
  </si>
  <si>
    <t>Michael</t>
  </si>
  <si>
    <t>Grayer Oconnel</t>
  </si>
  <si>
    <t>Danny Ruscetta</t>
  </si>
  <si>
    <t>Aria Herman</t>
  </si>
  <si>
    <t>Carter Nickse</t>
  </si>
  <si>
    <t>Waylon Cain</t>
  </si>
  <si>
    <t>Lydia Smith</t>
  </si>
  <si>
    <t>Aaron Mason</t>
  </si>
  <si>
    <t>Arianna Xhuti</t>
  </si>
  <si>
    <t>Vladislav Burov</t>
  </si>
  <si>
    <t>Dwyane Sanchez</t>
  </si>
  <si>
    <t>Di Yi Wang</t>
  </si>
  <si>
    <t>Ryan Dresch</t>
  </si>
  <si>
    <t>Zachary Hopkins</t>
  </si>
  <si>
    <t>Donovan Cuevas</t>
  </si>
  <si>
    <t>Veronika Berezovskaya</t>
  </si>
  <si>
    <t>Lawrence Dong</t>
  </si>
  <si>
    <t>Constance Merritt</t>
  </si>
  <si>
    <t>Vivienne Homsi</t>
  </si>
  <si>
    <t>Emma Tighe</t>
  </si>
  <si>
    <t>Nathan McLaughlin</t>
  </si>
  <si>
    <t>Carter Weidenfeller</t>
  </si>
  <si>
    <t>Sebastian Willis</t>
  </si>
  <si>
    <t>Konner Donahue</t>
  </si>
  <si>
    <t>Henley Stigleman</t>
  </si>
  <si>
    <t>Aliyah Kern</t>
  </si>
  <si>
    <t>Zeke Zeigler</t>
  </si>
  <si>
    <t>Zack Alli</t>
  </si>
  <si>
    <t>Jackson Bupp</t>
  </si>
  <si>
    <t>Eli Garcia</t>
  </si>
  <si>
    <t>Matthew Zheng</t>
  </si>
  <si>
    <t>Hazim Mohammed</t>
  </si>
  <si>
    <t>Jacob Happynook</t>
  </si>
  <si>
    <t>Ryker Gaurin</t>
  </si>
  <si>
    <t>Divya Malon</t>
  </si>
  <si>
    <t>Sophie Joseph</t>
  </si>
  <si>
    <t>Kayaan Malkan</t>
  </si>
  <si>
    <t>Owen Amon Pena</t>
  </si>
  <si>
    <t>Reed Smith</t>
  </si>
  <si>
    <t>Artem Poroshin</t>
  </si>
  <si>
    <t>Ryan Tom</t>
  </si>
  <si>
    <t>Grace Zheng</t>
  </si>
  <si>
    <t>Theresa Newman</t>
  </si>
  <si>
    <t>Dante Coleman</t>
  </si>
  <si>
    <t>Oliver Glunt</t>
  </si>
  <si>
    <t>Roxanne Tas</t>
  </si>
  <si>
    <t>Karoon Taherinia</t>
  </si>
  <si>
    <t>Lauri Lie</t>
  </si>
  <si>
    <t>Abdalrahman Jasim</t>
  </si>
  <si>
    <t>Alhan Montes</t>
  </si>
  <si>
    <t>Liam Le</t>
  </si>
  <si>
    <t>Jordan Powell</t>
  </si>
  <si>
    <t>Emma Long</t>
  </si>
  <si>
    <t>Gerrit Van Bruggen</t>
  </si>
  <si>
    <t>Simon Philips</t>
  </si>
  <si>
    <t>Serafina Kelly</t>
  </si>
  <si>
    <t>Fin Orlowski</t>
  </si>
  <si>
    <t>Liam McFadden Stewart</t>
  </si>
  <si>
    <t>Raylan Brakefield</t>
  </si>
  <si>
    <t>Niels Neubauer</t>
  </si>
  <si>
    <t>Bryan Tran</t>
  </si>
  <si>
    <t>Aiden Xoi</t>
  </si>
  <si>
    <t>Alvin Nguyen</t>
  </si>
  <si>
    <t>Brittany Wang</t>
  </si>
  <si>
    <t>Lejla Karic</t>
  </si>
  <si>
    <t>Zaira Penney</t>
  </si>
  <si>
    <t>Kevin Tu</t>
  </si>
  <si>
    <t>Ava Turner</t>
  </si>
  <si>
    <t>Oliver Gresham</t>
  </si>
  <si>
    <t>Landon Fletcher</t>
  </si>
  <si>
    <t>Nicolas Klohr</t>
  </si>
  <si>
    <t>Alissa Zhu</t>
  </si>
  <si>
    <t>Sofiya Mizharevich</t>
  </si>
  <si>
    <t xml:space="preserve">Graham Prindle </t>
  </si>
  <si>
    <t>Lucas Mcabee</t>
  </si>
  <si>
    <t>Karas Girgis</t>
  </si>
  <si>
    <t>Thanasi Makris</t>
  </si>
  <si>
    <t>Luca Monda</t>
  </si>
  <si>
    <t>Ryan Richard</t>
  </si>
  <si>
    <t>Mason Sasak</t>
  </si>
  <si>
    <t>Julianna Brown</t>
  </si>
  <si>
    <t>Katherine Cormier</t>
  </si>
  <si>
    <t>Pace Vanderlee</t>
  </si>
  <si>
    <t>Lexza Simms</t>
  </si>
  <si>
    <t>Grant Picard</t>
  </si>
  <si>
    <t>Madison Spencer</t>
  </si>
  <si>
    <t>Emma Church</t>
  </si>
  <si>
    <t>Tarpon Springs Fundamental Elementary School</t>
  </si>
  <si>
    <t>Kara Jones</t>
  </si>
  <si>
    <t>Ben Smith</t>
  </si>
  <si>
    <t>Hunter Bui</t>
  </si>
  <si>
    <t>Austin Herring</t>
  </si>
  <si>
    <t>Landon Maglio</t>
  </si>
  <si>
    <t>Colm Scally</t>
  </si>
  <si>
    <t>Samuel Aubel</t>
  </si>
  <si>
    <t>Elynne Short</t>
  </si>
  <si>
    <t>6th Grade</t>
  </si>
  <si>
    <t>7th Grade</t>
  </si>
  <si>
    <t>Algebra</t>
  </si>
  <si>
    <t>Geometry</t>
  </si>
  <si>
    <t>Zara Omeragic</t>
  </si>
  <si>
    <t>Edison Chen</t>
  </si>
  <si>
    <t>Carter Cayavec</t>
  </si>
  <si>
    <t>Anthony Ragan</t>
  </si>
  <si>
    <t>Liza Valko</t>
  </si>
  <si>
    <t>Jose Hernandez</t>
  </si>
  <si>
    <t>Austin Floyd</t>
  </si>
  <si>
    <t>Bryce Estep</t>
  </si>
  <si>
    <t>Bulat Miftakhov</t>
  </si>
  <si>
    <t>Norah Eaton</t>
  </si>
  <si>
    <t>Samuel Isaacson</t>
  </si>
  <si>
    <t>Emilia Lisowska</t>
  </si>
  <si>
    <t>Keira Pyshkina</t>
  </si>
  <si>
    <t>Lindsey, Kylie</t>
  </si>
  <si>
    <t>Lam, Jonathan</t>
  </si>
  <si>
    <t>Krivdic, Din</t>
  </si>
  <si>
    <t>Luna, Viveca</t>
  </si>
  <si>
    <t>Rubin, Emily</t>
  </si>
  <si>
    <t>Taylor, Addison</t>
  </si>
  <si>
    <t>Torres, Ryzen</t>
  </si>
  <si>
    <t>Gardner, Jacob</t>
  </si>
  <si>
    <t>Lopez-Martinez, Emmanuel</t>
  </si>
  <si>
    <t>Mattheus, Calvin</t>
  </si>
  <si>
    <t>Santos-Angeles, Melanie</t>
  </si>
  <si>
    <t>Backus, Alina</t>
  </si>
  <si>
    <t>Cajic, Adrijan</t>
  </si>
  <si>
    <t>Gilbert, Corbin</t>
  </si>
  <si>
    <t>Stevens, Nolen</t>
  </si>
  <si>
    <t>Thrasher, Brice</t>
  </si>
  <si>
    <t>Arena, Grayson</t>
  </si>
  <si>
    <t>Jelenka, Adam</t>
  </si>
  <si>
    <t>Crum, Mackenzie</t>
  </si>
  <si>
    <t>Ferrell, Hattie</t>
  </si>
  <si>
    <t>Marsh, Logan</t>
  </si>
  <si>
    <t>McGowan, Adara</t>
  </si>
  <si>
    <t>Nandho-Cruz, Axel Eduardo</t>
  </si>
  <si>
    <t>Lindsey, Hailey</t>
  </si>
  <si>
    <t>Scribner, Rachel</t>
  </si>
  <si>
    <t>Brown, Anna Grace</t>
  </si>
  <si>
    <t>Sprehe, Jackson</t>
  </si>
  <si>
    <t>Willetts, Hannah Jane</t>
  </si>
  <si>
    <t>Blankenship, Zarek Elijah</t>
  </si>
  <si>
    <t>Gipson, Maxwell</t>
  </si>
  <si>
    <t>Gutierrez, Yasir Hauberto</t>
  </si>
  <si>
    <t>Sweeney, Jacob Connor</t>
  </si>
  <si>
    <t>Jalenka, Tamas</t>
  </si>
  <si>
    <t>Ebrahim, Evan</t>
  </si>
  <si>
    <t>Patel, Gia</t>
  </si>
  <si>
    <t>Mendez, Matthew</t>
  </si>
  <si>
    <t>Reitsma, Julia</t>
  </si>
  <si>
    <t>Erin Rushkowski</t>
  </si>
  <si>
    <t>Aidan Burke</t>
  </si>
  <si>
    <t>Yug Patel</t>
  </si>
  <si>
    <t>Rayna Jordan</t>
  </si>
  <si>
    <t>Tanya Patel</t>
  </si>
  <si>
    <t>Amalia Velaquez</t>
  </si>
  <si>
    <t>Claire Wilson</t>
  </si>
  <si>
    <t>John (Jack) Alexander</t>
  </si>
  <si>
    <t>VIshwa Saran</t>
  </si>
  <si>
    <t>Aiden Williams</t>
  </si>
  <si>
    <t>Noah Nguyen</t>
  </si>
  <si>
    <t>Ryan Schollard</t>
  </si>
  <si>
    <t>Paul Zamojski</t>
  </si>
  <si>
    <t>Bianca Charrel</t>
  </si>
  <si>
    <t>Holden Hruby</t>
  </si>
  <si>
    <t>Ryan Jacobs</t>
  </si>
  <si>
    <t>Andrew Kellman</t>
  </si>
  <si>
    <t>Kyleigh Gower</t>
  </si>
  <si>
    <t>Nicasio Horton</t>
  </si>
  <si>
    <t>Bryson Portillo</t>
  </si>
  <si>
    <t>Sebastian Records</t>
  </si>
  <si>
    <t>Sahasra Manda</t>
  </si>
  <si>
    <t>Max Mitzlaf</t>
  </si>
  <si>
    <t>Daniel Sandusky</t>
  </si>
  <si>
    <t>Zackary Smith</t>
  </si>
  <si>
    <t>Lucille Kerr</t>
  </si>
  <si>
    <t>Victoria Koski</t>
  </si>
  <si>
    <t>Maxwell Hruby</t>
  </si>
  <si>
    <t>Julian Kline</t>
  </si>
  <si>
    <t>Shamaiz Kotadya</t>
  </si>
  <si>
    <t>Jacob Massingill</t>
  </si>
  <si>
    <t>Rory Tieg</t>
  </si>
  <si>
    <t>Christina Nuszer</t>
  </si>
  <si>
    <t>Addison Sequeira</t>
  </si>
  <si>
    <t>Sami Dedels</t>
  </si>
  <si>
    <t>Kalyee Hodges</t>
  </si>
  <si>
    <t>Michelle Gonikman</t>
  </si>
  <si>
    <t>Peyton Smith</t>
  </si>
  <si>
    <t>Park Allen</t>
  </si>
  <si>
    <t>Carter Bruce</t>
  </si>
  <si>
    <t>Mark Yegonyants</t>
  </si>
  <si>
    <t>Jaxon Wilmas</t>
  </si>
  <si>
    <t>Karina McSoley</t>
  </si>
  <si>
    <t xml:space="preserve">Charlie Lwellyn </t>
  </si>
  <si>
    <t xml:space="preserve">Aiden Russell </t>
  </si>
  <si>
    <t>Keros Kades</t>
  </si>
  <si>
    <t>Albion Slturolha</t>
  </si>
  <si>
    <t>David Fisher</t>
  </si>
  <si>
    <t>Kian Taherinia</t>
  </si>
  <si>
    <t>Ignacio Bernardino Solis</t>
  </si>
  <si>
    <t>Ares Ma</t>
  </si>
  <si>
    <t>Anastasiia Rashchupkyna</t>
  </si>
  <si>
    <t>Penelope Hecker</t>
  </si>
  <si>
    <t>Sheylla Benito Felipe</t>
  </si>
  <si>
    <t>Naomi Putera</t>
  </si>
  <si>
    <t>Tess Meyer</t>
  </si>
  <si>
    <t>Gabriella Annese</t>
  </si>
  <si>
    <t>Christian Cooper</t>
  </si>
  <si>
    <t>Maceo Brown</t>
  </si>
  <si>
    <t>Sebastian Young</t>
  </si>
  <si>
    <t>Lincoln Razawich-Colby</t>
  </si>
  <si>
    <t>Malek Abdelaziz</t>
  </si>
  <si>
    <t>Camila Ponce</t>
  </si>
  <si>
    <t>Martin Price</t>
  </si>
  <si>
    <t>Anna Velasquez</t>
  </si>
  <si>
    <t>Kaitlyn Casanas</t>
  </si>
  <si>
    <t>Aaralyn Schuhert</t>
  </si>
  <si>
    <t xml:space="preserve">School Name:	</t>
  </si>
  <si>
    <t>Denis Polishchuk</t>
  </si>
  <si>
    <t xml:space="preserve">Dennis Pestka </t>
  </si>
  <si>
    <t>Jayden Pestka</t>
  </si>
  <si>
    <t>Kate Choi</t>
  </si>
  <si>
    <t>Henry Folk</t>
  </si>
  <si>
    <t>Alexandra Weinberg</t>
  </si>
  <si>
    <t>Aiden Sexton</t>
  </si>
  <si>
    <t>Kerim Sen</t>
  </si>
  <si>
    <t>Nicholas Lohmeyer</t>
  </si>
  <si>
    <t>Mustafa Abbasher</t>
  </si>
  <si>
    <t>Mathias Gutierrez</t>
  </si>
  <si>
    <t>Morgan Tsimmerman</t>
  </si>
  <si>
    <t>Grace allen</t>
  </si>
  <si>
    <t>Samar Abbassher</t>
  </si>
  <si>
    <t>Brooke Bradbury</t>
  </si>
  <si>
    <t>Omar Duman</t>
  </si>
  <si>
    <t>Angus Chen</t>
  </si>
  <si>
    <t>Oni Bodammer</t>
  </si>
  <si>
    <t>Cole Hablutzel</t>
  </si>
  <si>
    <t>Kuauan Figueiredo Pullman</t>
  </si>
  <si>
    <t>Alex Milani</t>
  </si>
  <si>
    <t>Savannah Coss</t>
  </si>
  <si>
    <t>Connor Hutchison</t>
  </si>
  <si>
    <t>Hugo Suy</t>
  </si>
  <si>
    <t>Rylan Zurkan</t>
  </si>
  <si>
    <t>Han Zheng</t>
  </si>
  <si>
    <t>Sofie Kovalenko</t>
  </si>
  <si>
    <t>Charlotte Weinberg</t>
  </si>
  <si>
    <t>Juliana Cobo</t>
  </si>
  <si>
    <t>Mahir Eren</t>
  </si>
  <si>
    <t>Jazzlyn Corey</t>
  </si>
  <si>
    <t>Alex Djurovic</t>
  </si>
  <si>
    <t>Sebastian Moody</t>
  </si>
  <si>
    <t>Jason Chung</t>
  </si>
  <si>
    <t>Mironenko, David</t>
  </si>
  <si>
    <t>Gavi, Gabriel</t>
  </si>
  <si>
    <t>Hooton, Gage Robert</t>
  </si>
  <si>
    <t>Hostetler, Marley</t>
  </si>
  <si>
    <t>Kane, Kyle Christopher</t>
  </si>
  <si>
    <t>Miteloudis, Zoe Elise</t>
  </si>
  <si>
    <t>Dobrokhotov, Andrei</t>
  </si>
  <si>
    <t>Nefedov, Sophia</t>
  </si>
  <si>
    <t>Nurka, Gabriel</t>
  </si>
  <si>
    <t>Nielsen, William</t>
  </si>
  <si>
    <t>Brown, Hannah Rose Ledford</t>
  </si>
  <si>
    <t>Krynski, Max</t>
  </si>
  <si>
    <t>Tram, Steven</t>
  </si>
  <si>
    <t>Brown, Mae Cynthia Ledford</t>
  </si>
  <si>
    <t>Messiah, Samuel Alexander</t>
  </si>
  <si>
    <t>Tram, Stewie</t>
  </si>
  <si>
    <t>Darkina, Julia</t>
  </si>
  <si>
    <t>Patel, Ansh</t>
  </si>
  <si>
    <t>Rosenberg, Faith</t>
  </si>
  <si>
    <t>Smedes-Klimek, Emma</t>
  </si>
  <si>
    <t>Dauti, Viola S</t>
  </si>
  <si>
    <t>Pettay, Elena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</si>
</sst>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2.0"/>
      <color theme="1"/>
      <name val="Arial"/>
      <scheme val="minor"/>
    </font>
    <font>
      <b/>
      <color theme="1"/>
      <name val="Arial"/>
      <scheme val="minor"/>
    </font>
    <font/>
    <font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ptos"/>
    </font>
    <font>
      <color theme="1"/>
      <name val="Arial"/>
    </font>
    <font>
      <sz val="11.0"/>
      <color rgb="FF000000"/>
      <name val="Cavolini"/>
    </font>
    <font>
      <sz val="11.0"/>
      <color rgb="FF000000"/>
      <name val="Arial"/>
    </font>
    <font>
      <sz val="11.0"/>
      <color rgb="FF0000FF"/>
      <name val="&quot;Comic Sans MS&quot;"/>
    </font>
  </fonts>
  <fills count="16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5B95F9"/>
        <bgColor rgb="FF5B95F9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8F0FE"/>
        <bgColor rgb="FFE8F0FE"/>
      </patternFill>
    </fill>
    <fill>
      <patternFill patternType="solid">
        <fgColor rgb="FFFFE6DD"/>
        <bgColor rgb="FFFFE6D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0F7FA"/>
        <bgColor rgb="FFE0F7FA"/>
      </patternFill>
    </fill>
    <fill>
      <patternFill patternType="solid">
        <fgColor rgb="FFE8E7FC"/>
        <bgColor rgb="FFE8E7FC"/>
      </patternFill>
    </fill>
  </fills>
  <borders count="36">
    <border/>
    <border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3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1" fillId="4" fontId="3" numFmtId="0" xfId="0" applyBorder="1" applyFont="1"/>
    <xf borderId="0" fillId="5" fontId="4" numFmtId="0" xfId="0" applyAlignment="1" applyFill="1" applyFont="1">
      <alignment readingOrder="0"/>
    </xf>
    <xf borderId="2" fillId="5" fontId="5" numFmtId="0" xfId="0" applyAlignment="1" applyBorder="1" applyFont="1">
      <alignment horizontal="center" readingOrder="0"/>
    </xf>
    <xf borderId="0" fillId="6" fontId="4" numFmtId="0" xfId="0" applyAlignment="1" applyFill="1" applyFont="1">
      <alignment readingOrder="0"/>
    </xf>
    <xf borderId="2" fillId="6" fontId="5" numFmtId="0" xfId="0" applyAlignment="1" applyBorder="1" applyFont="1">
      <alignment horizontal="center" readingOrder="0"/>
    </xf>
    <xf borderId="0" fillId="7" fontId="4" numFmtId="0" xfId="0" applyAlignment="1" applyFill="1" applyFont="1">
      <alignment readingOrder="0"/>
    </xf>
    <xf borderId="2" fillId="7" fontId="5" numFmtId="0" xfId="0" applyAlignment="1" applyBorder="1" applyFont="1">
      <alignment horizontal="center" readingOrder="0"/>
    </xf>
    <xf borderId="0" fillId="8" fontId="6" numFmtId="0" xfId="0" applyAlignment="1" applyFill="1" applyFont="1">
      <alignment readingOrder="0"/>
    </xf>
    <xf borderId="2" fillId="8" fontId="5" numFmtId="0" xfId="0" applyAlignment="1" applyBorder="1" applyFont="1">
      <alignment horizontal="center" readingOrder="0"/>
    </xf>
    <xf borderId="0" fillId="8" fontId="5" numFmtId="0" xfId="0" applyFont="1"/>
    <xf borderId="0" fillId="5" fontId="5" numFmtId="0" xfId="0" applyFont="1"/>
    <xf borderId="0" fillId="5" fontId="7" numFmtId="0" xfId="0" applyAlignment="1" applyFont="1">
      <alignment readingOrder="0"/>
    </xf>
    <xf borderId="0" fillId="7" fontId="7" numFmtId="0" xfId="0" applyAlignment="1" applyFont="1">
      <alignment readingOrder="0"/>
    </xf>
    <xf borderId="0" fillId="5" fontId="7" numFmtId="0" xfId="0" applyFont="1"/>
    <xf borderId="0" fillId="5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3" fillId="9" fontId="5" numFmtId="0" xfId="0" applyAlignment="1" applyBorder="1" applyFill="1" applyFont="1">
      <alignment readingOrder="0"/>
    </xf>
    <xf borderId="4" fillId="0" fontId="3" numFmtId="0" xfId="0" applyBorder="1" applyFont="1"/>
    <xf borderId="5" fillId="0" fontId="3" numFmtId="0" xfId="0" applyBorder="1" applyFont="1"/>
    <xf borderId="3" fillId="0" fontId="5" numFmtId="0" xfId="0" applyAlignment="1" applyBorder="1" applyFont="1">
      <alignment horizontal="center" readingOrder="0"/>
    </xf>
    <xf borderId="3" fillId="5" fontId="0" numFmtId="0" xfId="0" applyAlignment="1" applyBorder="1" applyFont="1">
      <alignment horizontal="center"/>
    </xf>
    <xf borderId="3" fillId="10" fontId="5" numFmtId="0" xfId="0" applyAlignment="1" applyBorder="1" applyFill="1" applyFont="1">
      <alignment readingOrder="0"/>
    </xf>
    <xf borderId="3" fillId="11" fontId="5" numFmtId="0" xfId="0" applyAlignment="1" applyBorder="1" applyFill="1" applyFont="1">
      <alignment readingOrder="0"/>
    </xf>
    <xf borderId="6" fillId="12" fontId="2" numFmtId="49" xfId="0" applyAlignment="1" applyBorder="1" applyFill="1" applyFont="1" applyNumberFormat="1">
      <alignment readingOrder="0"/>
    </xf>
    <xf borderId="6" fillId="12" fontId="2" numFmtId="0" xfId="0" applyAlignment="1" applyBorder="1" applyFont="1">
      <alignment readingOrder="0"/>
    </xf>
    <xf borderId="7" fillId="13" fontId="2" numFmtId="49" xfId="0" applyAlignment="1" applyBorder="1" applyFill="1" applyFont="1" applyNumberFormat="1">
      <alignment horizontal="center" readingOrder="0" textRotation="90" vertical="center"/>
    </xf>
    <xf borderId="2" fillId="0" fontId="5" numFmtId="0" xfId="0" applyAlignment="1" applyBorder="1" applyFont="1">
      <alignment horizontal="center" readingOrder="0" textRotation="90" vertical="center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3" numFmtId="0" xfId="0" applyBorder="1" applyFont="1"/>
    <xf borderId="2" fillId="0" fontId="3" numFmtId="0" xfId="0" applyBorder="1" applyFont="1"/>
    <xf borderId="11" fillId="0" fontId="5" numFmtId="0" xfId="0" applyAlignment="1" applyBorder="1" applyFont="1">
      <alignment readingOrder="0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3" numFmtId="0" xfId="0" applyBorder="1" applyFont="1"/>
    <xf borderId="14" fillId="0" fontId="5" numFmtId="0" xfId="0" applyAlignment="1" applyBorder="1" applyFont="1">
      <alignment readingOrder="0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 readingOrder="0" textRotation="90" vertical="center"/>
    </xf>
    <xf borderId="17" fillId="0" fontId="5" numFmtId="0" xfId="0" applyAlignment="1" applyBorder="1" applyFont="1">
      <alignment readingOrder="0"/>
    </xf>
    <xf borderId="17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 readingOrder="0" textRotation="90" vertical="center"/>
    </xf>
    <xf borderId="24" fillId="0" fontId="5" numFmtId="0" xfId="0" applyAlignment="1" applyBorder="1" applyFont="1">
      <alignment readingOrder="0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5" fontId="2" numFmtId="0" xfId="0" applyAlignment="1" applyBorder="1" applyFont="1">
      <alignment readingOrder="0"/>
    </xf>
    <xf borderId="27" fillId="5" fontId="3" numFmtId="0" xfId="0" applyBorder="1" applyFont="1"/>
    <xf borderId="24" fillId="5" fontId="5" numFmtId="0" xfId="0" applyBorder="1" applyFont="1"/>
    <xf borderId="24" fillId="5" fontId="5" numFmtId="0" xfId="0" applyAlignment="1" applyBorder="1" applyFont="1">
      <alignment horizontal="center"/>
    </xf>
    <xf borderId="28" fillId="5" fontId="5" numFmtId="0" xfId="0" applyAlignment="1" applyBorder="1" applyFont="1">
      <alignment horizontal="center"/>
    </xf>
    <xf borderId="25" fillId="5" fontId="5" numFmtId="0" xfId="0" applyAlignment="1" applyBorder="1" applyFont="1">
      <alignment horizontal="center"/>
    </xf>
    <xf borderId="29" fillId="6" fontId="2" numFmtId="0" xfId="0" applyAlignment="1" applyBorder="1" applyFont="1">
      <alignment readingOrder="0"/>
    </xf>
    <xf borderId="30" fillId="6" fontId="3" numFmtId="0" xfId="0" applyBorder="1" applyFont="1"/>
    <xf borderId="11" fillId="6" fontId="5" numFmtId="0" xfId="0" applyBorder="1" applyFont="1"/>
    <xf borderId="11" fillId="6" fontId="5" numFmtId="0" xfId="0" applyAlignment="1" applyBorder="1" applyFont="1">
      <alignment horizontal="center"/>
    </xf>
    <xf borderId="31" fillId="6" fontId="5" numFmtId="0" xfId="0" applyAlignment="1" applyBorder="1" applyFont="1">
      <alignment horizontal="center"/>
    </xf>
    <xf borderId="12" fillId="6" fontId="5" numFmtId="0" xfId="0" applyAlignment="1" applyBorder="1" applyFont="1">
      <alignment horizontal="center"/>
    </xf>
    <xf borderId="29" fillId="5" fontId="2" numFmtId="0" xfId="0" applyAlignment="1" applyBorder="1" applyFont="1">
      <alignment readingOrder="0"/>
    </xf>
    <xf borderId="30" fillId="5" fontId="3" numFmtId="0" xfId="0" applyBorder="1" applyFont="1"/>
    <xf borderId="11" fillId="5" fontId="5" numFmtId="0" xfId="0" applyBorder="1" applyFont="1"/>
    <xf borderId="11" fillId="5" fontId="5" numFmtId="0" xfId="0" applyAlignment="1" applyBorder="1" applyFont="1">
      <alignment horizontal="center"/>
    </xf>
    <xf borderId="31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center"/>
    </xf>
    <xf borderId="11" fillId="6" fontId="5" numFmtId="0" xfId="0" applyAlignment="1" applyBorder="1" applyFont="1">
      <alignment readingOrder="0"/>
    </xf>
    <xf borderId="32" fillId="6" fontId="2" numFmtId="0" xfId="0" applyAlignment="1" applyBorder="1" applyFont="1">
      <alignment readingOrder="0"/>
    </xf>
    <xf borderId="20" fillId="6" fontId="3" numFmtId="0" xfId="0" applyBorder="1" applyFont="1"/>
    <xf borderId="21" fillId="6" fontId="5" numFmtId="0" xfId="0" applyBorder="1" applyFont="1"/>
    <xf borderId="21" fillId="6" fontId="5" numFmtId="0" xfId="0" applyAlignment="1" applyBorder="1" applyFont="1">
      <alignment horizontal="center"/>
    </xf>
    <xf borderId="33" fillId="6" fontId="5" numFmtId="0" xfId="0" applyAlignment="1" applyBorder="1" applyFont="1">
      <alignment horizontal="center"/>
    </xf>
    <xf borderId="22" fillId="6" fontId="5" numFmtId="0" xfId="0" applyAlignment="1" applyBorder="1" applyFont="1">
      <alignment horizontal="center"/>
    </xf>
    <xf borderId="0" fillId="0" fontId="5" numFmtId="0" xfId="0" applyFont="1"/>
    <xf borderId="24" fillId="5" fontId="5" numFmtId="0" xfId="0" applyAlignment="1" applyBorder="1" applyFont="1">
      <alignment readingOrder="0"/>
    </xf>
    <xf borderId="11" fillId="5" fontId="5" numFmtId="0" xfId="0" applyAlignment="1" applyBorder="1" applyFont="1">
      <alignment readingOrder="0"/>
    </xf>
    <xf borderId="17" fillId="5" fontId="8" numFmtId="0" xfId="0" applyAlignment="1" applyBorder="1" applyFont="1">
      <alignment vertical="bottom"/>
    </xf>
    <xf borderId="11" fillId="6" fontId="8" numFmtId="0" xfId="0" applyAlignment="1" applyBorder="1" applyFont="1">
      <alignment vertical="bottom"/>
    </xf>
    <xf borderId="11" fillId="5" fontId="8" numFmtId="0" xfId="0" applyAlignment="1" applyBorder="1" applyFont="1">
      <alignment vertical="bottom"/>
    </xf>
    <xf borderId="21" fillId="6" fontId="8" numFmtId="0" xfId="0" applyAlignment="1" applyBorder="1" applyFont="1">
      <alignment vertical="bottom"/>
    </xf>
    <xf borderId="34" fillId="0" fontId="5" numFmtId="0" xfId="0" applyAlignment="1" applyBorder="1" applyFont="1">
      <alignment horizontal="center"/>
    </xf>
    <xf borderId="29" fillId="14" fontId="2" numFmtId="0" xfId="0" applyAlignment="1" applyBorder="1" applyFill="1" applyFont="1">
      <alignment readingOrder="0"/>
    </xf>
    <xf borderId="30" fillId="14" fontId="3" numFmtId="0" xfId="0" applyBorder="1" applyFont="1"/>
    <xf borderId="11" fillId="14" fontId="5" numFmtId="0" xfId="0" applyBorder="1" applyFont="1"/>
    <xf borderId="11" fillId="14" fontId="5" numFmtId="0" xfId="0" applyAlignment="1" applyBorder="1" applyFont="1">
      <alignment horizontal="center"/>
    </xf>
    <xf borderId="31" fillId="14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center"/>
    </xf>
    <xf borderId="11" fillId="14" fontId="5" numFmtId="0" xfId="0" applyAlignment="1" applyBorder="1" applyFont="1">
      <alignment readingOrder="0"/>
    </xf>
    <xf borderId="32" fillId="14" fontId="2" numFmtId="0" xfId="0" applyAlignment="1" applyBorder="1" applyFont="1">
      <alignment readingOrder="0"/>
    </xf>
    <xf borderId="20" fillId="14" fontId="3" numFmtId="0" xfId="0" applyBorder="1" applyFont="1"/>
    <xf borderId="21" fillId="14" fontId="5" numFmtId="0" xfId="0" applyBorder="1" applyFont="1"/>
    <xf borderId="21" fillId="14" fontId="5" numFmtId="0" xfId="0" applyAlignment="1" applyBorder="1" applyFont="1">
      <alignment horizontal="center"/>
    </xf>
    <xf borderId="33" fillId="14" fontId="5" numFmtId="0" xfId="0" applyAlignment="1" applyBorder="1" applyFont="1">
      <alignment horizontal="center"/>
    </xf>
    <xf borderId="22" fillId="14" fontId="5" numFmtId="0" xfId="0" applyAlignment="1" applyBorder="1" applyFont="1">
      <alignment horizontal="center"/>
    </xf>
    <xf borderId="11" fillId="0" fontId="9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11" fillId="0" fontId="9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left" readingOrder="0" shrinkToFit="0" vertical="bottom" wrapText="0"/>
    </xf>
    <xf borderId="11" fillId="5" fontId="9" numFmtId="0" xfId="0" applyAlignment="1" applyBorder="1" applyFont="1">
      <alignment readingOrder="0" shrinkToFit="0" vertical="bottom" wrapText="0"/>
    </xf>
    <xf borderId="8" fillId="5" fontId="9" numFmtId="0" xfId="0" applyAlignment="1" applyBorder="1" applyFont="1">
      <alignment readingOrder="0" shrinkToFit="0" vertical="bottom" wrapText="0"/>
    </xf>
    <xf borderId="8" fillId="5" fontId="10" numFmtId="0" xfId="0" applyAlignment="1" applyBorder="1" applyFont="1">
      <alignment readingOrder="0" shrinkToFit="0" vertical="bottom" wrapText="0"/>
    </xf>
    <xf borderId="0" fillId="5" fontId="11" numFmtId="0" xfId="0" applyAlignment="1" applyFont="1">
      <alignment readingOrder="0"/>
    </xf>
    <xf borderId="35" fillId="0" fontId="5" numFmtId="0" xfId="0" applyAlignment="1" applyBorder="1" applyFont="1">
      <alignment readingOrder="0"/>
    </xf>
    <xf borderId="11" fillId="0" fontId="0" numFmtId="0" xfId="0" applyAlignment="1" applyBorder="1" applyFont="1">
      <alignment readingOrder="0"/>
    </xf>
    <xf borderId="11" fillId="5" fontId="0" numFmtId="0" xfId="0" applyAlignment="1" applyBorder="1" applyFont="1">
      <alignment readingOrder="0"/>
    </xf>
    <xf borderId="0" fillId="14" fontId="0" numFmtId="0" xfId="0" applyAlignment="1" applyFont="1">
      <alignment readingOrder="0"/>
    </xf>
    <xf borderId="21" fillId="14" fontId="5" numFmtId="0" xfId="0" applyAlignment="1" applyBorder="1" applyFont="1">
      <alignment readingOrder="0"/>
    </xf>
    <xf borderId="8" fillId="5" fontId="5" numFmtId="0" xfId="0" applyAlignment="1" applyBorder="1" applyFont="1">
      <alignment readingOrder="0"/>
    </xf>
    <xf borderId="29" fillId="15" fontId="2" numFmtId="0" xfId="0" applyAlignment="1" applyBorder="1" applyFill="1" applyFont="1">
      <alignment readingOrder="0"/>
    </xf>
    <xf borderId="30" fillId="15" fontId="3" numFmtId="0" xfId="0" applyBorder="1" applyFont="1"/>
    <xf borderId="11" fillId="15" fontId="5" numFmtId="0" xfId="0" applyBorder="1" applyFont="1"/>
    <xf borderId="11" fillId="15" fontId="5" numFmtId="0" xfId="0" applyAlignment="1" applyBorder="1" applyFont="1">
      <alignment horizontal="center"/>
    </xf>
    <xf borderId="31" fillId="15" fontId="5" numFmtId="0" xfId="0" applyAlignment="1" applyBorder="1" applyFont="1">
      <alignment horizontal="center"/>
    </xf>
    <xf borderId="12" fillId="15" fontId="5" numFmtId="0" xfId="0" applyAlignment="1" applyBorder="1" applyFont="1">
      <alignment horizontal="center"/>
    </xf>
    <xf borderId="11" fillId="15" fontId="5" numFmtId="0" xfId="0" applyAlignment="1" applyBorder="1" applyFont="1">
      <alignment readingOrder="0"/>
    </xf>
    <xf borderId="32" fillId="15" fontId="2" numFmtId="0" xfId="0" applyAlignment="1" applyBorder="1" applyFont="1">
      <alignment readingOrder="0"/>
    </xf>
    <xf borderId="20" fillId="15" fontId="3" numFmtId="0" xfId="0" applyBorder="1" applyFont="1"/>
    <xf borderId="21" fillId="15" fontId="5" numFmtId="0" xfId="0" applyAlignment="1" applyBorder="1" applyFont="1">
      <alignment readingOrder="0"/>
    </xf>
    <xf borderId="21" fillId="15" fontId="5" numFmtId="0" xfId="0" applyAlignment="1" applyBorder="1" applyFont="1">
      <alignment horizontal="center"/>
    </xf>
    <xf borderId="33" fillId="15" fontId="5" numFmtId="0" xfId="0" applyAlignment="1" applyBorder="1" applyFont="1">
      <alignment horizontal="center"/>
    </xf>
    <xf borderId="22" fillId="15" fontId="5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2">
    <tableStyle count="2" pivot="0" name="FAMAT Scanner School List-style">
      <tableStyleElement dxfId="1" type="firstRowStripe"/>
      <tableStyleElement dxfId="2" type="secondRowStripe"/>
    </tableStyle>
    <tableStyle count="2" pivot="0" name="FAMAT Scanner School List-style 2">
      <tableStyleElement dxfId="1" type="firstRowStripe"/>
      <tableStyleElement dxfId="3" type="secondRowStripe"/>
    </tableStyle>
    <tableStyle count="2" pivot="0" name="FAMAT Scanner School List-style 3">
      <tableStyleElement dxfId="1" type="firstRowStripe"/>
      <tableStyleElement dxfId="2" type="secondRowStripe"/>
    </tableStyle>
    <tableStyle count="2" pivot="0" name="Elementary School Template-style">
      <tableStyleElement dxfId="1" type="firstRowStripe"/>
      <tableStyleElement dxfId="2" type="secondRowStripe"/>
    </tableStyle>
    <tableStyle count="2" pivot="0" name="Brooker Creek Elementary-style">
      <tableStyleElement dxfId="1" type="firstRowStripe"/>
      <tableStyleElement dxfId="2" type="secondRowStripe"/>
    </tableStyle>
    <tableStyle count="2" pivot="0" name="Curtis Fundamental Elementary-style">
      <tableStyleElement dxfId="1" type="firstRowStripe"/>
      <tableStyleElement dxfId="2" type="secondRowStripe"/>
    </tableStyle>
    <tableStyle count="2" pivot="0" name="Cypress Woods Elementary-style">
      <tableStyleElement dxfId="1" type="firstRowStripe"/>
      <tableStyleElement dxfId="2" type="secondRowStripe"/>
    </tableStyle>
    <tableStyle count="2" pivot="0" name="Elisa Nelson Elementary-style">
      <tableStyleElement dxfId="1" type="firstRowStripe"/>
      <tableStyleElement dxfId="2" type="secondRowStripe"/>
    </tableStyle>
    <tableStyle count="2" pivot="0" name="Garrison-Jones Elementary-style">
      <tableStyleElement dxfId="1" type="firstRowStripe"/>
      <tableStyleElement dxfId="2" type="secondRowStripe"/>
    </tableStyle>
    <tableStyle count="2" pivot="0" name="High Point Elementary-style">
      <tableStyleElement dxfId="1" type="firstRowStripe"/>
      <tableStyleElement dxfId="2" type="secondRowStripe"/>
    </tableStyle>
    <tableStyle count="2" pivot="0" name="Leila Davis Elementary-style">
      <tableStyleElement dxfId="1" type="firstRowStripe"/>
      <tableStyleElement dxfId="2" type="secondRowStripe"/>
    </tableStyle>
    <tableStyle count="2" pivot="0" name="Mildred Helms Elementary-style">
      <tableStyleElement dxfId="1" type="firstRowStripe"/>
      <tableStyleElement dxfId="2" type="secondRowStripe"/>
    </tableStyle>
    <tableStyle count="2" pivot="0" name="Oakhurst Elementary-style">
      <tableStyleElement dxfId="1" type="firstRowStripe"/>
      <tableStyleElement dxfId="2" type="secondRowStripe"/>
    </tableStyle>
    <tableStyle count="2" pivot="0" name="Oldsmar Elementary-style">
      <tableStyleElement dxfId="1" type="firstRowStripe"/>
      <tableStyleElement dxfId="2" type="secondRowStripe"/>
    </tableStyle>
    <tableStyle count="2" pivot="0" name="Ozona Elementary-style">
      <tableStyleElement dxfId="1" type="firstRowStripe"/>
      <tableStyleElement dxfId="2" type="secondRowStripe"/>
    </tableStyle>
    <tableStyle count="2" pivot="0" name="Ridgecrest Elementary-style">
      <tableStyleElement dxfId="1" type="firstRowStripe"/>
      <tableStyleElement dxfId="2" type="secondRowStripe"/>
    </tableStyle>
    <tableStyle count="2" pivot="0" name="Seventy-Fourth Street Elementar-style">
      <tableStyleElement dxfId="1" type="firstRowStripe"/>
      <tableStyleElement dxfId="2" type="secondRowStripe"/>
    </tableStyle>
    <tableStyle count="2" pivot="0" name="Shore Acres Elementary-style">
      <tableStyleElement dxfId="1" type="firstRowStripe"/>
      <tableStyleElement dxfId="2" type="secondRowStripe"/>
    </tableStyle>
    <tableStyle count="2" pivot="0" name="Skyview Elementary-style">
      <tableStyleElement dxfId="1" type="firstRowStripe"/>
      <tableStyleElement dxfId="2" type="secondRowStripe"/>
    </tableStyle>
    <tableStyle count="2" pivot="0" name="Sutherland Elementary-style">
      <tableStyleElement dxfId="1" type="firstRowStripe"/>
      <tableStyleElement dxfId="2" type="secondRowStripe"/>
    </tableStyle>
    <tableStyle count="2" pivot="0" name="Tarpon Springs Fundamental Elem-style">
      <tableStyleElement dxfId="1" type="firstRowStripe"/>
      <tableStyleElement dxfId="2" type="secondRowStripe"/>
    </tableStyle>
    <tableStyle count="2" pivot="0" name="Middle School Template-style">
      <tableStyleElement dxfId="1" type="firstRowStripe"/>
      <tableStyleElement dxfId="7" type="secondRowStripe"/>
    </tableStyle>
    <tableStyle count="2" pivot="0" name="Carwise Middle-style">
      <tableStyleElement dxfId="1" type="firstRowStripe"/>
      <tableStyleElement dxfId="7" type="secondRowStripe"/>
    </tableStyle>
    <tableStyle count="2" pivot="0" name="Clearwater Fundamental Middle-style">
      <tableStyleElement dxfId="1" type="firstRowStripe"/>
      <tableStyleElement dxfId="7" type="secondRowStripe"/>
    </tableStyle>
    <tableStyle count="2" pivot="0" name="Dunedin Highland Middle-style">
      <tableStyleElement dxfId="1" type="firstRowStripe"/>
      <tableStyleElement dxfId="7" type="secondRowStripe"/>
    </tableStyle>
    <tableStyle count="2" pivot="0" name="East Lake Middle-style">
      <tableStyleElement dxfId="1" type="firstRowStripe"/>
      <tableStyleElement dxfId="7" type="secondRowStripe"/>
    </tableStyle>
    <tableStyle count="2" pivot="0" name="Morgan Fitzgerald Middle-style">
      <tableStyleElement dxfId="1" type="firstRowStripe"/>
      <tableStyleElement dxfId="7" type="secondRowStripe"/>
    </tableStyle>
    <tableStyle count="2" pivot="0" name="Palm Harbor Middle-style">
      <tableStyleElement dxfId="1" type="firstRowStripe"/>
      <tableStyleElement dxfId="7" type="secondRowStripe"/>
    </tableStyle>
    <tableStyle count="2" pivot="0" name="Charter School Template-style">
      <tableStyleElement dxfId="1" type="firstRowStripe"/>
      <tableStyleElement dxfId="8" type="secondRowStripe"/>
    </tableStyle>
    <tableStyle count="2" pivot="0" name="Discovery Academy of Science-style">
      <tableStyleElement dxfId="1" type="firstRowStripe"/>
      <tableStyleElement dxfId="8" type="secondRowStripe"/>
    </tableStyle>
    <tableStyle count="2" pivot="0" name="Gulf Coast Classical Academy-style">
      <tableStyleElement dxfId="1" type="firstRowStripe"/>
      <tableStyleElement dxfId="8" type="secondRowStripe"/>
    </tableStyle>
    <tableStyle count="2" pivot="0" name="Plato Academy Palm Harbor-style">
      <tableStyleElement dxfId="1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C26" displayName="Table_1" name="Table_1" id="1">
  <tableColumns count="2">
    <tableColumn name="Column1" id="1"/>
    <tableColumn name="Column2" id="2"/>
  </tableColumns>
  <tableStyleInfo name="FAMAT Scanner School List-style" showColumnStripes="0" showFirstColumn="1" showLastColumn="1" showRowStripes="1"/>
</table>
</file>

<file path=xl/tables/table10.xml><?xml version="1.0" encoding="utf-8"?>
<table xmlns="http://schemas.openxmlformats.org/spreadsheetml/2006/main" headerRowCount="0" ref="C9:G24" displayName="Table_10" 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High Point Elementary-style" showColumnStripes="0" showFirstColumn="1" showLastColumn="1" showRowStripes="1"/>
</table>
</file>

<file path=xl/tables/table11.xml><?xml version="1.0" encoding="utf-8"?>
<table xmlns="http://schemas.openxmlformats.org/spreadsheetml/2006/main" headerRowCount="0" ref="C9:G24" displayName="Table_11" 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Leila Davis Elementary-style" showColumnStripes="0" showFirstColumn="1" showLastColumn="1" showRowStripes="1"/>
</table>
</file>

<file path=xl/tables/table12.xml><?xml version="1.0" encoding="utf-8"?>
<table xmlns="http://schemas.openxmlformats.org/spreadsheetml/2006/main" headerRowCount="0" ref="C9:G24" displayName="Table_12" 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Mildred Helms Elementary-style" showColumnStripes="0" showFirstColumn="1" showLastColumn="1" showRowStripes="1"/>
</table>
</file>

<file path=xl/tables/table13.xml><?xml version="1.0" encoding="utf-8"?>
<table xmlns="http://schemas.openxmlformats.org/spreadsheetml/2006/main" headerRowCount="0" ref="C9:G24" displayName="Table_13" 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Oakhurst Elementary-style" showColumnStripes="0" showFirstColumn="1" showLastColumn="1" showRowStripes="1"/>
</table>
</file>

<file path=xl/tables/table14.xml><?xml version="1.0" encoding="utf-8"?>
<table xmlns="http://schemas.openxmlformats.org/spreadsheetml/2006/main" headerRowCount="0" ref="C9:G24" displayName="Table_14" name="Table_14" id="14">
  <tableColumns count="5">
    <tableColumn name="Column1" id="1"/>
    <tableColumn name="Column2" id="2"/>
    <tableColumn name="Column3" id="3"/>
    <tableColumn name="Column4" id="4"/>
    <tableColumn name="Column5" id="5"/>
  </tableColumns>
  <tableStyleInfo name="Oldsmar Elementary-style" showColumnStripes="0" showFirstColumn="1" showLastColumn="1" showRowStripes="1"/>
</table>
</file>

<file path=xl/tables/table15.xml><?xml version="1.0" encoding="utf-8"?>
<table xmlns="http://schemas.openxmlformats.org/spreadsheetml/2006/main" headerRowCount="0" ref="C9:G24" displayName="Table_15" name="Table_15" id="15">
  <tableColumns count="5">
    <tableColumn name="Column1" id="1"/>
    <tableColumn name="Column2" id="2"/>
    <tableColumn name="Column3" id="3"/>
    <tableColumn name="Column4" id="4"/>
    <tableColumn name="Column5" id="5"/>
  </tableColumns>
  <tableStyleInfo name="Ozona Elementary-style" showColumnStripes="0" showFirstColumn="1" showLastColumn="1" showRowStripes="1"/>
</table>
</file>

<file path=xl/tables/table16.xml><?xml version="1.0" encoding="utf-8"?>
<table xmlns="http://schemas.openxmlformats.org/spreadsheetml/2006/main" headerRowCount="0" ref="C9:G24" displayName="Table_16" name="Table_16" id="16">
  <tableColumns count="5">
    <tableColumn name="Column1" id="1"/>
    <tableColumn name="Column2" id="2"/>
    <tableColumn name="Column3" id="3"/>
    <tableColumn name="Column4" id="4"/>
    <tableColumn name="Column5" id="5"/>
  </tableColumns>
  <tableStyleInfo name="Ridgecrest Elementary-style" showColumnStripes="0" showFirstColumn="1" showLastColumn="1" showRowStripes="1"/>
</table>
</file>

<file path=xl/tables/table17.xml><?xml version="1.0" encoding="utf-8"?>
<table xmlns="http://schemas.openxmlformats.org/spreadsheetml/2006/main" headerRowCount="0" ref="C9:G24" displayName="Table_17" name="Table_17" id="17">
  <tableColumns count="5">
    <tableColumn name="Column1" id="1"/>
    <tableColumn name="Column2" id="2"/>
    <tableColumn name="Column3" id="3"/>
    <tableColumn name="Column4" id="4"/>
    <tableColumn name="Column5" id="5"/>
  </tableColumns>
  <tableStyleInfo name="Seventy-Fourth Street Elementar-style" showColumnStripes="0" showFirstColumn="1" showLastColumn="1" showRowStripes="1"/>
</table>
</file>

<file path=xl/tables/table18.xml><?xml version="1.0" encoding="utf-8"?>
<table xmlns="http://schemas.openxmlformats.org/spreadsheetml/2006/main" headerRowCount="0" ref="C9:G24" displayName="Table_18" name="Table_18" id="18">
  <tableColumns count="5">
    <tableColumn name="Column1" id="1"/>
    <tableColumn name="Column2" id="2"/>
    <tableColumn name="Column3" id="3"/>
    <tableColumn name="Column4" id="4"/>
    <tableColumn name="Column5" id="5"/>
  </tableColumns>
  <tableStyleInfo name="Shore Acres Elementary-style" showColumnStripes="0" showFirstColumn="1" showLastColumn="1" showRowStripes="1"/>
</table>
</file>

<file path=xl/tables/table19.xml><?xml version="1.0" encoding="utf-8"?>
<table xmlns="http://schemas.openxmlformats.org/spreadsheetml/2006/main" headerRowCount="0" ref="C9:G24" displayName="Table_19" name="Table_19" id="19">
  <tableColumns count="5">
    <tableColumn name="Column1" id="1"/>
    <tableColumn name="Column2" id="2"/>
    <tableColumn name="Column3" id="3"/>
    <tableColumn name="Column4" id="4"/>
    <tableColumn name="Column5" id="5"/>
  </tableColumns>
  <tableStyleInfo name="Skyview Elementary-style" showColumnStripes="0" showFirstColumn="1" showLastColumn="1" showRowStripes="1"/>
</table>
</file>

<file path=xl/tables/table2.xml><?xml version="1.0" encoding="utf-8"?>
<table xmlns="http://schemas.openxmlformats.org/spreadsheetml/2006/main" headerRowCount="0" ref="F1:F9" displayName="Table_2" name="Table_2" id="2">
  <tableColumns count="1">
    <tableColumn name="Column1" id="1"/>
  </tableColumns>
  <tableStyleInfo name="FAMAT Scanner School List-style 2" showColumnStripes="0" showFirstColumn="1" showLastColumn="1" showRowStripes="1"/>
</table>
</file>

<file path=xl/tables/table20.xml><?xml version="1.0" encoding="utf-8"?>
<table xmlns="http://schemas.openxmlformats.org/spreadsheetml/2006/main" headerRowCount="0" ref="C9:G24" displayName="Table_20" name="Table_20" id="20">
  <tableColumns count="5">
    <tableColumn name="Column1" id="1"/>
    <tableColumn name="Column2" id="2"/>
    <tableColumn name="Column3" id="3"/>
    <tableColumn name="Column4" id="4"/>
    <tableColumn name="Column5" id="5"/>
  </tableColumns>
  <tableStyleInfo name="Sutherland Elementary-style" showColumnStripes="0" showFirstColumn="1" showLastColumn="1" showRowStripes="1"/>
</table>
</file>

<file path=xl/tables/table21.xml><?xml version="1.0" encoding="utf-8"?>
<table xmlns="http://schemas.openxmlformats.org/spreadsheetml/2006/main" headerRowCount="0" ref="C9:G24" displayName="Table_21" name="Table_21" id="21">
  <tableColumns count="5">
    <tableColumn name="Column1" id="1"/>
    <tableColumn name="Column2" id="2"/>
    <tableColumn name="Column3" id="3"/>
    <tableColumn name="Column4" id="4"/>
    <tableColumn name="Column5" id="5"/>
  </tableColumns>
  <tableStyleInfo name="Tarpon Springs Fundamental Elem-style" showColumnStripes="0" showFirstColumn="1" showLastColumn="1" showRowStripes="1"/>
</table>
</file>

<file path=xl/tables/table22.xml><?xml version="1.0" encoding="utf-8"?>
<table xmlns="http://schemas.openxmlformats.org/spreadsheetml/2006/main" headerRowCount="0" ref="C9:G40" displayName="Table_22" name="Table_22" id="22">
  <tableColumns count="5">
    <tableColumn name="Column1" id="1"/>
    <tableColumn name="Column2" id="2"/>
    <tableColumn name="Column3" id="3"/>
    <tableColumn name="Column4" id="4"/>
    <tableColumn name="Column5" id="5"/>
  </tableColumns>
  <tableStyleInfo name="Middle School Template-style" showColumnStripes="0" showFirstColumn="1" showLastColumn="1" showRowStripes="1"/>
</table>
</file>

<file path=xl/tables/table23.xml><?xml version="1.0" encoding="utf-8"?>
<table xmlns="http://schemas.openxmlformats.org/spreadsheetml/2006/main" headerRowCount="0" ref="C9:G40" displayName="Table_23" name="Table_23" id="23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wise Middle-style" showColumnStripes="0" showFirstColumn="1" showLastColumn="1" showRowStripes="1"/>
</table>
</file>

<file path=xl/tables/table24.xml><?xml version="1.0" encoding="utf-8"?>
<table xmlns="http://schemas.openxmlformats.org/spreadsheetml/2006/main" headerRowCount="0" ref="C9:G40" displayName="Table_24" name="Table_24" id="24">
  <tableColumns count="5">
    <tableColumn name="Column1" id="1"/>
    <tableColumn name="Column2" id="2"/>
    <tableColumn name="Column3" id="3"/>
    <tableColumn name="Column4" id="4"/>
    <tableColumn name="Column5" id="5"/>
  </tableColumns>
  <tableStyleInfo name="Clearwater Fundamental Middle-style" showColumnStripes="0" showFirstColumn="1" showLastColumn="1" showRowStripes="1"/>
</table>
</file>

<file path=xl/tables/table25.xml><?xml version="1.0" encoding="utf-8"?>
<table xmlns="http://schemas.openxmlformats.org/spreadsheetml/2006/main" headerRowCount="0" ref="C9:G40" displayName="Table_25" name="Table_25" id="25">
  <tableColumns count="5">
    <tableColumn name="Column1" id="1"/>
    <tableColumn name="Column2" id="2"/>
    <tableColumn name="Column3" id="3"/>
    <tableColumn name="Column4" id="4"/>
    <tableColumn name="Column5" id="5"/>
  </tableColumns>
  <tableStyleInfo name="Dunedin Highland Middle-style" showColumnStripes="0" showFirstColumn="1" showLastColumn="1" showRowStripes="1"/>
</table>
</file>

<file path=xl/tables/table26.xml><?xml version="1.0" encoding="utf-8"?>
<table xmlns="http://schemas.openxmlformats.org/spreadsheetml/2006/main" headerRowCount="0" ref="C9:G40" displayName="Table_26" name="Table_26" id="26">
  <tableColumns count="5">
    <tableColumn name="Column1" id="1"/>
    <tableColumn name="Column2" id="2"/>
    <tableColumn name="Column3" id="3"/>
    <tableColumn name="Column4" id="4"/>
    <tableColumn name="Column5" id="5"/>
  </tableColumns>
  <tableStyleInfo name="East Lake Middle-style" showColumnStripes="0" showFirstColumn="1" showLastColumn="1" showRowStripes="1"/>
</table>
</file>

<file path=xl/tables/table27.xml><?xml version="1.0" encoding="utf-8"?>
<table xmlns="http://schemas.openxmlformats.org/spreadsheetml/2006/main" headerRowCount="0" ref="C9:G40" displayName="Table_27" name="Table_27" id="27">
  <tableColumns count="5">
    <tableColumn name="Column1" id="1"/>
    <tableColumn name="Column2" id="2"/>
    <tableColumn name="Column3" id="3"/>
    <tableColumn name="Column4" id="4"/>
    <tableColumn name="Column5" id="5"/>
  </tableColumns>
  <tableStyleInfo name="Morgan Fitzgerald Middle-style" showColumnStripes="0" showFirstColumn="1" showLastColumn="1" showRowStripes="1"/>
</table>
</file>

<file path=xl/tables/table28.xml><?xml version="1.0" encoding="utf-8"?>
<table xmlns="http://schemas.openxmlformats.org/spreadsheetml/2006/main" headerRowCount="0" ref="C9:G40" displayName="Table_28" name="Table_28" id="28">
  <tableColumns count="5">
    <tableColumn name="Column1" id="1"/>
    <tableColumn name="Column2" id="2"/>
    <tableColumn name="Column3" id="3"/>
    <tableColumn name="Column4" id="4"/>
    <tableColumn name="Column5" id="5"/>
  </tableColumns>
  <tableStyleInfo name="Palm Harbor Middle-style" showColumnStripes="0" showFirstColumn="1" showLastColumn="1" showRowStripes="1"/>
</table>
</file>

<file path=xl/tables/table29.xml><?xml version="1.0" encoding="utf-8"?>
<table xmlns="http://schemas.openxmlformats.org/spreadsheetml/2006/main" headerRowCount="0" ref="C9:G56" displayName="Table_29" name="Table_29" id="29">
  <tableColumns count="5">
    <tableColumn name="Column1" id="1"/>
    <tableColumn name="Column2" id="2"/>
    <tableColumn name="Column3" id="3"/>
    <tableColumn name="Column4" id="4"/>
    <tableColumn name="Column5" id="5"/>
  </tableColumns>
  <tableStyleInfo name="Charter School Template-style" showColumnStripes="0" showFirstColumn="1" showLastColumn="1" showRowStripes="1"/>
</table>
</file>

<file path=xl/tables/table3.xml><?xml version="1.0" encoding="utf-8"?>
<table xmlns="http://schemas.openxmlformats.org/spreadsheetml/2006/main" headerRowCount="0" ref="A17:A19" displayName="Table_3" name="Table_3" id="3">
  <tableColumns count="1">
    <tableColumn name="Column1" id="1"/>
  </tableColumns>
  <tableStyleInfo name="FAMAT Scanner School List-style 3" showColumnStripes="0" showFirstColumn="1" showLastColumn="1" showRowStripes="1"/>
</table>
</file>

<file path=xl/tables/table30.xml><?xml version="1.0" encoding="utf-8"?>
<table xmlns="http://schemas.openxmlformats.org/spreadsheetml/2006/main" headerRowCount="0" ref="C9:G56" displayName="Table_30" name="Table_30" id="30">
  <tableColumns count="5">
    <tableColumn name="Column1" id="1"/>
    <tableColumn name="Column2" id="2"/>
    <tableColumn name="Column3" id="3"/>
    <tableColumn name="Column4" id="4"/>
    <tableColumn name="Column5" id="5"/>
  </tableColumns>
  <tableStyleInfo name="Discovery Academy of Science-style" showColumnStripes="0" showFirstColumn="1" showLastColumn="1" showRowStripes="1"/>
</table>
</file>

<file path=xl/tables/table31.xml><?xml version="1.0" encoding="utf-8"?>
<table xmlns="http://schemas.openxmlformats.org/spreadsheetml/2006/main" headerRowCount="0" ref="C9:G56" displayName="Table_31" name="Table_31" id="31">
  <tableColumns count="5">
    <tableColumn name="Column1" id="1"/>
    <tableColumn name="Column2" id="2"/>
    <tableColumn name="Column3" id="3"/>
    <tableColumn name="Column4" id="4"/>
    <tableColumn name="Column5" id="5"/>
  </tableColumns>
  <tableStyleInfo name="Gulf Coast Classical Academy-style" showColumnStripes="0" showFirstColumn="1" showLastColumn="1" showRowStripes="1"/>
</table>
</file>

<file path=xl/tables/table32.xml><?xml version="1.0" encoding="utf-8"?>
<table xmlns="http://schemas.openxmlformats.org/spreadsheetml/2006/main" headerRowCount="0" ref="C9:G56" displayName="Table_32" name="Table_32" id="32">
  <tableColumns count="5">
    <tableColumn name="Column1" id="1"/>
    <tableColumn name="Column2" id="2"/>
    <tableColumn name="Column3" id="3"/>
    <tableColumn name="Column4" id="4"/>
    <tableColumn name="Column5" id="5"/>
  </tableColumns>
  <tableStyleInfo name="Plato Academy Palm Harbor-style" showColumnStripes="0" showFirstColumn="1" showLastColumn="1" showRowStripes="1"/>
</table>
</file>

<file path=xl/tables/table4.xml><?xml version="1.0" encoding="utf-8"?>
<table xmlns="http://schemas.openxmlformats.org/spreadsheetml/2006/main" headerRowCount="0" ref="C9:G24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Elementary School Template-style" showColumnStripes="0" showFirstColumn="1" showLastColumn="1" showRowStripes="1"/>
</table>
</file>

<file path=xl/tables/table5.xml><?xml version="1.0" encoding="utf-8"?>
<table xmlns="http://schemas.openxmlformats.org/spreadsheetml/2006/main" headerRowCount="0" ref="C9:G24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Brooker Creek Elementary-style" showColumnStripes="0" showFirstColumn="1" showLastColumn="1" showRowStripes="1"/>
</table>
</file>

<file path=xl/tables/table6.xml><?xml version="1.0" encoding="utf-8"?>
<table xmlns="http://schemas.openxmlformats.org/spreadsheetml/2006/main" headerRowCount="0" ref="C9:G24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Curtis Fundamental Elementary-style" showColumnStripes="0" showFirstColumn="1" showLastColumn="1" showRowStripes="1"/>
</table>
</file>

<file path=xl/tables/table7.xml><?xml version="1.0" encoding="utf-8"?>
<table xmlns="http://schemas.openxmlformats.org/spreadsheetml/2006/main" headerRowCount="0" ref="C9:G24" displayName="Table_7" 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Cypress Woods Elementary-style" showColumnStripes="0" showFirstColumn="1" showLastColumn="1" showRowStripes="1"/>
</table>
</file>

<file path=xl/tables/table8.xml><?xml version="1.0" encoding="utf-8"?>
<table xmlns="http://schemas.openxmlformats.org/spreadsheetml/2006/main" headerRowCount="0" ref="C9:G24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Elisa Nelson Elementary-style" showColumnStripes="0" showFirstColumn="1" showLastColumn="1" showRowStripes="1"/>
</table>
</file>

<file path=xl/tables/table9.xml><?xml version="1.0" encoding="utf-8"?>
<table xmlns="http://schemas.openxmlformats.org/spreadsheetml/2006/main" headerRowCount="0" ref="C9:G24" displayName="Table_9" 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Garrison-Jones Element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1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3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4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5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6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7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8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9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3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1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38"/>
    <col customWidth="1" min="2" max="2" width="10.25"/>
    <col customWidth="1" min="3" max="3" width="30.13"/>
    <col customWidth="1" min="4" max="4" width="10.25"/>
    <col customWidth="1" min="5" max="5" width="26.25"/>
    <col customWidth="1" min="6" max="6" width="10.25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>
      <c r="A2" s="2" t="s">
        <v>2</v>
      </c>
      <c r="B2" s="3"/>
      <c r="C2" s="4" t="s">
        <v>3</v>
      </c>
      <c r="D2" s="5"/>
      <c r="E2" s="6" t="s">
        <v>4</v>
      </c>
      <c r="F2" s="7"/>
    </row>
    <row r="3">
      <c r="A3" s="8" t="s">
        <v>5</v>
      </c>
      <c r="B3" s="9">
        <f t="shared" ref="B3:B12" si="1">1000 + ROW()-2</f>
        <v>1001</v>
      </c>
      <c r="C3" s="8" t="s">
        <v>6</v>
      </c>
      <c r="D3" s="9">
        <f t="shared" ref="D3:D8" si="2">2000 + ROW()-2</f>
        <v>2001</v>
      </c>
      <c r="E3" s="8" t="s">
        <v>7</v>
      </c>
      <c r="F3" s="9">
        <f t="shared" ref="F3:F5" si="3">3000 + ROW()-2</f>
        <v>3001</v>
      </c>
    </row>
    <row r="4">
      <c r="A4" s="10" t="s">
        <v>8</v>
      </c>
      <c r="B4" s="11">
        <f t="shared" si="1"/>
        <v>1002</v>
      </c>
      <c r="C4" s="12" t="s">
        <v>9</v>
      </c>
      <c r="D4" s="13">
        <f t="shared" si="2"/>
        <v>2002</v>
      </c>
      <c r="E4" s="14" t="s">
        <v>10</v>
      </c>
      <c r="F4" s="15">
        <f t="shared" si="3"/>
        <v>3002</v>
      </c>
    </row>
    <row r="5">
      <c r="A5" s="8" t="s">
        <v>11</v>
      </c>
      <c r="B5" s="9">
        <f t="shared" si="1"/>
        <v>1003</v>
      </c>
      <c r="C5" s="8" t="s">
        <v>12</v>
      </c>
      <c r="D5" s="9">
        <f t="shared" si="2"/>
        <v>2003</v>
      </c>
      <c r="E5" s="8" t="s">
        <v>13</v>
      </c>
      <c r="F5" s="9">
        <f t="shared" si="3"/>
        <v>3003</v>
      </c>
    </row>
    <row r="6">
      <c r="A6" s="10" t="s">
        <v>14</v>
      </c>
      <c r="B6" s="11">
        <f t="shared" si="1"/>
        <v>1004</v>
      </c>
      <c r="C6" s="12" t="s">
        <v>15</v>
      </c>
      <c r="D6" s="13">
        <f t="shared" si="2"/>
        <v>2004</v>
      </c>
      <c r="E6" s="16"/>
      <c r="F6" s="15"/>
    </row>
    <row r="7">
      <c r="A7" s="8" t="s">
        <v>16</v>
      </c>
      <c r="B7" s="9">
        <f t="shared" si="1"/>
        <v>1005</v>
      </c>
      <c r="C7" s="8" t="s">
        <v>17</v>
      </c>
      <c r="D7" s="9">
        <f t="shared" si="2"/>
        <v>2005</v>
      </c>
      <c r="E7" s="17"/>
      <c r="F7" s="9"/>
    </row>
    <row r="8">
      <c r="A8" s="10" t="s">
        <v>18</v>
      </c>
      <c r="B8" s="11">
        <f t="shared" si="1"/>
        <v>1006</v>
      </c>
      <c r="C8" s="12" t="s">
        <v>19</v>
      </c>
      <c r="D8" s="13">
        <f t="shared" si="2"/>
        <v>2006</v>
      </c>
      <c r="E8" s="16"/>
      <c r="F8" s="15"/>
    </row>
    <row r="9">
      <c r="A9" s="8" t="s">
        <v>20</v>
      </c>
      <c r="B9" s="9">
        <f t="shared" si="1"/>
        <v>1007</v>
      </c>
      <c r="C9" s="18"/>
      <c r="D9" s="9"/>
      <c r="E9" s="17"/>
      <c r="F9" s="9"/>
    </row>
    <row r="10">
      <c r="A10" s="10" t="s">
        <v>21</v>
      </c>
      <c r="B10" s="11">
        <f t="shared" si="1"/>
        <v>1008</v>
      </c>
      <c r="C10" s="19"/>
      <c r="D10" s="13"/>
      <c r="E10" s="16"/>
      <c r="F10" s="15"/>
    </row>
    <row r="11">
      <c r="A11" s="8" t="s">
        <v>22</v>
      </c>
      <c r="B11" s="9">
        <f t="shared" si="1"/>
        <v>1009</v>
      </c>
      <c r="C11" s="20"/>
      <c r="D11" s="21"/>
    </row>
    <row r="12">
      <c r="A12" s="10" t="s">
        <v>23</v>
      </c>
      <c r="B12" s="11">
        <f t="shared" si="1"/>
        <v>1010</v>
      </c>
    </row>
    <row r="13">
      <c r="A13" s="8" t="s">
        <v>24</v>
      </c>
      <c r="B13" s="9">
        <v>1011.0</v>
      </c>
    </row>
    <row r="14">
      <c r="A14" s="10" t="s">
        <v>25</v>
      </c>
      <c r="B14" s="11">
        <f t="shared" ref="B14:B19" si="4">1000 + ROW()-2</f>
        <v>1012</v>
      </c>
    </row>
    <row r="15">
      <c r="A15" s="8" t="s">
        <v>26</v>
      </c>
      <c r="B15" s="9">
        <f t="shared" si="4"/>
        <v>1013</v>
      </c>
    </row>
    <row r="16">
      <c r="A16" s="10" t="s">
        <v>27</v>
      </c>
      <c r="B16" s="11">
        <f t="shared" si="4"/>
        <v>1014</v>
      </c>
    </row>
    <row r="17">
      <c r="A17" s="8" t="s">
        <v>28</v>
      </c>
      <c r="B17" s="9">
        <f t="shared" si="4"/>
        <v>1015</v>
      </c>
    </row>
    <row r="18">
      <c r="A18" s="10" t="s">
        <v>29</v>
      </c>
      <c r="B18" s="11">
        <f t="shared" si="4"/>
        <v>1016</v>
      </c>
    </row>
    <row r="19">
      <c r="A19" s="8" t="s">
        <v>30</v>
      </c>
      <c r="B19" s="9">
        <f t="shared" si="4"/>
        <v>1017</v>
      </c>
    </row>
    <row r="20">
      <c r="A20" s="10"/>
      <c r="B20" s="11"/>
    </row>
    <row r="21">
      <c r="B21" s="9"/>
    </row>
  </sheetData>
  <mergeCells count="3">
    <mergeCell ref="A2:B2"/>
    <mergeCell ref="C2:D2"/>
    <mergeCell ref="E2:F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20</v>
      </c>
    </row>
    <row r="2">
      <c r="A2" s="27" t="s">
        <v>32</v>
      </c>
      <c r="C2" s="28">
        <f>VLOOKUP($C$1, 'School IDs'!$A$2:$B$23, 2)</f>
        <v>1007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134</v>
      </c>
      <c r="E4" s="33" t="str">
        <f>IFERROR(__xludf.DUMMYFUNCTION("IFERROR(FILTER($G$9:$G$100, $C$9:$C$100=D4), ""NONE SELECTED"")"),"100701622")</f>
        <v>100701622</v>
      </c>
      <c r="F4" s="30"/>
      <c r="G4" s="31"/>
    </row>
    <row r="5">
      <c r="A5" s="34" t="s">
        <v>35</v>
      </c>
      <c r="B5" s="30"/>
      <c r="C5" s="31"/>
      <c r="D5" s="32" t="s">
        <v>135</v>
      </c>
      <c r="E5" s="33" t="str">
        <f>IFERROR(__xludf.DUMMYFUNCTION("IFERROR(FILTER($G$9:$G$100, $C$9:$C$100=D5), ""NONE SELECTED"")"),"100701923")</f>
        <v>100701923</v>
      </c>
      <c r="F5" s="30"/>
      <c r="G5" s="31"/>
    </row>
    <row r="6">
      <c r="A6" s="35" t="s">
        <v>36</v>
      </c>
      <c r="B6" s="30"/>
      <c r="C6" s="31"/>
      <c r="D6" s="32" t="s">
        <v>136</v>
      </c>
      <c r="E6" s="33" t="str">
        <f>IFERROR(__xludf.DUMMYFUNCTION("IFERROR(FILTER($G$9:$G$100, $C$9:$C$100=D6), ""NONE SELECTED"")"),"100700921")</f>
        <v>100700921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137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100700111</v>
      </c>
    </row>
    <row r="10">
      <c r="A10" s="43"/>
      <c r="B10" s="44"/>
      <c r="C10" s="45" t="s">
        <v>138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100700211</v>
      </c>
    </row>
    <row r="11">
      <c r="A11" s="43"/>
      <c r="B11" s="44"/>
      <c r="C11" s="45" t="s">
        <v>139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100700311</v>
      </c>
    </row>
    <row r="12">
      <c r="A12" s="43"/>
      <c r="B12" s="48"/>
      <c r="C12" s="49" t="s">
        <v>140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100700411</v>
      </c>
    </row>
    <row r="13">
      <c r="A13" s="43"/>
      <c r="B13" s="52" t="s">
        <v>44</v>
      </c>
      <c r="C13" s="53" t="s">
        <v>141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100700512</v>
      </c>
    </row>
    <row r="14">
      <c r="A14" s="43"/>
      <c r="B14" s="44"/>
      <c r="C14" s="45" t="s">
        <v>142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100700612</v>
      </c>
    </row>
    <row r="15">
      <c r="A15" s="43"/>
      <c r="B15" s="44"/>
      <c r="C15" s="45" t="s">
        <v>143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100700712</v>
      </c>
    </row>
    <row r="16">
      <c r="A16" s="56"/>
      <c r="B16" s="57"/>
      <c r="C16" s="58" t="s">
        <v>144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100700812</v>
      </c>
    </row>
    <row r="17">
      <c r="A17" s="38" t="s">
        <v>45</v>
      </c>
      <c r="B17" s="61" t="s">
        <v>43</v>
      </c>
      <c r="C17" s="62" t="s">
        <v>136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100700921</v>
      </c>
    </row>
    <row r="18">
      <c r="A18" s="43"/>
      <c r="B18" s="44"/>
      <c r="C18" s="45" t="s">
        <v>145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100701021</v>
      </c>
    </row>
    <row r="19">
      <c r="A19" s="43"/>
      <c r="B19" s="44"/>
      <c r="C19" s="45" t="s">
        <v>146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100701121</v>
      </c>
    </row>
    <row r="20">
      <c r="A20" s="43"/>
      <c r="B20" s="48"/>
      <c r="C20" s="49" t="s">
        <v>147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100701221</v>
      </c>
    </row>
    <row r="21">
      <c r="A21" s="43"/>
      <c r="B21" s="52" t="s">
        <v>44</v>
      </c>
      <c r="C21" s="53" t="s">
        <v>148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100701322</v>
      </c>
    </row>
    <row r="22">
      <c r="A22" s="43"/>
      <c r="B22" s="44"/>
      <c r="C22" s="45" t="s">
        <v>149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100701422</v>
      </c>
    </row>
    <row r="23">
      <c r="A23" s="43"/>
      <c r="B23" s="44"/>
      <c r="C23" s="45" t="s">
        <v>150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100701522</v>
      </c>
    </row>
    <row r="24">
      <c r="A24" s="56"/>
      <c r="B24" s="57"/>
      <c r="C24" s="58" t="s">
        <v>134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100701622</v>
      </c>
    </row>
    <row r="25">
      <c r="A25" s="65" t="s">
        <v>42</v>
      </c>
      <c r="B25" s="66"/>
      <c r="C25" s="91" t="s">
        <v>151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100701713</v>
      </c>
    </row>
    <row r="26">
      <c r="A26" s="71" t="s">
        <v>42</v>
      </c>
      <c r="B26" s="72"/>
      <c r="C26" s="83" t="s">
        <v>152</v>
      </c>
      <c r="D26" s="74" t="str">
        <f t="shared" si="1"/>
        <v>018</v>
      </c>
      <c r="E26" s="75">
        <f t="shared" si="5"/>
        <v>1</v>
      </c>
      <c r="F26" s="72"/>
      <c r="G26" s="76" t="str">
        <f t="shared" si="6"/>
        <v>100701813</v>
      </c>
    </row>
    <row r="27">
      <c r="A27" s="77" t="s">
        <v>45</v>
      </c>
      <c r="B27" s="78"/>
      <c r="C27" s="92" t="s">
        <v>135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100701923</v>
      </c>
    </row>
    <row r="28">
      <c r="A28" s="71" t="s">
        <v>45</v>
      </c>
      <c r="B28" s="72"/>
      <c r="C28" s="83" t="s">
        <v>153</v>
      </c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100702023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100702123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100702223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100702323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100702423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'Leila Davis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21</v>
      </c>
    </row>
    <row r="2">
      <c r="A2" s="27" t="s">
        <v>32</v>
      </c>
      <c r="C2" s="28">
        <f>VLOOKUP($C$1, 'School IDs'!$A$2:$B$23, 2)</f>
        <v>1008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154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100800111</v>
      </c>
    </row>
    <row r="10">
      <c r="A10" s="43"/>
      <c r="B10" s="44"/>
      <c r="C10" s="45" t="s">
        <v>155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100800211</v>
      </c>
    </row>
    <row r="11">
      <c r="A11" s="43"/>
      <c r="B11" s="44"/>
      <c r="C11" s="45" t="s">
        <v>156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100800311</v>
      </c>
    </row>
    <row r="12">
      <c r="A12" s="43"/>
      <c r="B12" s="48"/>
      <c r="C12" s="49" t="s">
        <v>157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100800411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100800512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100800612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100800712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100800812</v>
      </c>
    </row>
    <row r="17">
      <c r="A17" s="38" t="s">
        <v>45</v>
      </c>
      <c r="B17" s="61" t="s">
        <v>43</v>
      </c>
      <c r="C17" s="62" t="s">
        <v>158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100800921</v>
      </c>
    </row>
    <row r="18">
      <c r="A18" s="43"/>
      <c r="B18" s="44"/>
      <c r="C18" s="45" t="s">
        <v>159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100801021</v>
      </c>
    </row>
    <row r="19">
      <c r="A19" s="43"/>
      <c r="B19" s="44"/>
      <c r="C19" s="45" t="s">
        <v>160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100801121</v>
      </c>
    </row>
    <row r="20">
      <c r="A20" s="43"/>
      <c r="B20" s="48"/>
      <c r="C20" s="49" t="s">
        <v>161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100801221</v>
      </c>
    </row>
    <row r="21">
      <c r="A21" s="43"/>
      <c r="B21" s="52" t="s">
        <v>44</v>
      </c>
      <c r="C21" s="53" t="s">
        <v>162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100801322</v>
      </c>
    </row>
    <row r="22">
      <c r="A22" s="43"/>
      <c r="B22" s="44"/>
      <c r="C22" s="45" t="s">
        <v>163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100801422</v>
      </c>
    </row>
    <row r="23">
      <c r="A23" s="43"/>
      <c r="B23" s="44"/>
      <c r="C23" s="45" t="s">
        <v>164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100801522</v>
      </c>
    </row>
    <row r="24">
      <c r="A24" s="56"/>
      <c r="B24" s="57"/>
      <c r="C24" s="58" t="s">
        <v>165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100801622</v>
      </c>
    </row>
    <row r="25">
      <c r="A25" s="65" t="s">
        <v>37</v>
      </c>
      <c r="B25" s="66"/>
      <c r="C25" s="91" t="s">
        <v>166</v>
      </c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100801723</v>
      </c>
    </row>
    <row r="26">
      <c r="A26" s="71" t="s">
        <v>42</v>
      </c>
      <c r="B26" s="72"/>
      <c r="C26" s="83" t="s">
        <v>167</v>
      </c>
      <c r="D26" s="74" t="str">
        <f t="shared" si="1"/>
        <v>018</v>
      </c>
      <c r="E26" s="75">
        <f t="shared" si="5"/>
        <v>1</v>
      </c>
      <c r="F26" s="72"/>
      <c r="G26" s="76" t="str">
        <f t="shared" si="6"/>
        <v>100801813</v>
      </c>
    </row>
    <row r="27">
      <c r="A27" s="77" t="s">
        <v>42</v>
      </c>
      <c r="B27" s="78"/>
      <c r="C27" s="92" t="s">
        <v>168</v>
      </c>
      <c r="D27" s="80" t="str">
        <f t="shared" si="1"/>
        <v>019</v>
      </c>
      <c r="E27" s="81">
        <f t="shared" ref="E27:E31" si="7">VLOOKUP($A27, $A$7:$E$24, 5)</f>
        <v>1</v>
      </c>
      <c r="F27" s="78"/>
      <c r="G27" s="82" t="str">
        <f t="shared" si="6"/>
        <v>100801913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100802023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100802123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100802223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100802323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100802423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'Mildred Helms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22</v>
      </c>
    </row>
    <row r="2">
      <c r="A2" s="27" t="s">
        <v>32</v>
      </c>
      <c r="C2" s="28">
        <f>VLOOKUP($C$1, 'School IDs'!$A$2:$B$23, 2)</f>
        <v>1009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169</v>
      </c>
      <c r="E4" s="33" t="str">
        <f>IFERROR(__xludf.DUMMYFUNCTION("IFERROR(FILTER($G$9:$G$100, $C$9:$C$100=D4), ""NONE SELECTED"")"),"100901021")</f>
        <v>100901021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170</v>
      </c>
      <c r="E6" s="33" t="str">
        <f>IFERROR(__xludf.DUMMYFUNCTION("IFERROR(FILTER($G$9:$G$100, $C$9:$C$100=D6), ""NONE SELECTED"")"),"100901422")</f>
        <v>100901422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/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100900111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100900211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100900311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100900411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100900512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100900612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100900712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100900812</v>
      </c>
    </row>
    <row r="17">
      <c r="A17" s="38" t="s">
        <v>45</v>
      </c>
      <c r="B17" s="61" t="s">
        <v>43</v>
      </c>
      <c r="C17" s="62" t="s">
        <v>171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100900921</v>
      </c>
    </row>
    <row r="18">
      <c r="A18" s="43"/>
      <c r="B18" s="44"/>
      <c r="C18" s="45" t="s">
        <v>169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100901021</v>
      </c>
    </row>
    <row r="19">
      <c r="A19" s="43"/>
      <c r="B19" s="44"/>
      <c r="C19" s="45" t="s">
        <v>172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100901121</v>
      </c>
    </row>
    <row r="20">
      <c r="A20" s="43"/>
      <c r="B20" s="48"/>
      <c r="C20" s="49" t="s">
        <v>173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100901221</v>
      </c>
    </row>
    <row r="21">
      <c r="A21" s="43"/>
      <c r="B21" s="52" t="s">
        <v>44</v>
      </c>
      <c r="C21" s="53" t="s">
        <v>174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100901322</v>
      </c>
    </row>
    <row r="22">
      <c r="A22" s="43"/>
      <c r="B22" s="44"/>
      <c r="C22" s="45" t="s">
        <v>170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100901422</v>
      </c>
    </row>
    <row r="23">
      <c r="A23" s="43"/>
      <c r="B23" s="44"/>
      <c r="C23" s="45" t="s">
        <v>175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100901522</v>
      </c>
    </row>
    <row r="24">
      <c r="A24" s="56"/>
      <c r="B24" s="57"/>
      <c r="C24" s="58" t="s">
        <v>176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100901622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100901723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100901823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100901923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100902023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100902123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100902223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100902323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100902423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A25:A32">
      <formula1>'Oakhurst Elementary'!$A$8:$A$24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23</v>
      </c>
    </row>
    <row r="2">
      <c r="A2" s="27" t="s">
        <v>32</v>
      </c>
      <c r="C2" s="28">
        <f>VLOOKUP($C$1, 'School IDs'!$A$2:$B$23, 2)</f>
        <v>1010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177</v>
      </c>
      <c r="E4" s="33" t="str">
        <f>IFERROR(__xludf.DUMMYFUNCTION("IFERROR(FILTER($G$9:$G$100, $C$9:$C$100=D4), ""NONE SELECTED"")"),"101000311")</f>
        <v>101000311</v>
      </c>
      <c r="F4" s="30"/>
      <c r="G4" s="31"/>
    </row>
    <row r="5">
      <c r="A5" s="34" t="s">
        <v>35</v>
      </c>
      <c r="B5" s="30"/>
      <c r="C5" s="31"/>
      <c r="D5" s="32" t="s">
        <v>178</v>
      </c>
      <c r="E5" s="33" t="str">
        <f>IFERROR(__xludf.DUMMYFUNCTION("IFERROR(FILTER($G$9:$G$100, $C$9:$C$100=D5), ""NONE SELECTED"")"),"101001121")</f>
        <v>101001121</v>
      </c>
      <c r="F5" s="30"/>
      <c r="G5" s="31"/>
    </row>
    <row r="6">
      <c r="A6" s="35" t="s">
        <v>36</v>
      </c>
      <c r="B6" s="30"/>
      <c r="C6" s="31"/>
      <c r="D6" s="32" t="s">
        <v>179</v>
      </c>
      <c r="E6" s="33" t="str">
        <f>IFERROR(__xludf.DUMMYFUNCTION("IFERROR(FILTER($G$9:$G$100, $C$9:$C$100=D6), ""NONE SELECTED"")"),"101001221")</f>
        <v>101001221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180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101000111</v>
      </c>
    </row>
    <row r="10">
      <c r="A10" s="43"/>
      <c r="B10" s="44"/>
      <c r="C10" s="45" t="s">
        <v>181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101000211</v>
      </c>
    </row>
    <row r="11">
      <c r="A11" s="43"/>
      <c r="B11" s="44"/>
      <c r="C11" s="45" t="s">
        <v>177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101000311</v>
      </c>
    </row>
    <row r="12">
      <c r="A12" s="43"/>
      <c r="B12" s="48"/>
      <c r="C12" s="49" t="s">
        <v>182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101000411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101000512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101000612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101000712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101000812</v>
      </c>
    </row>
    <row r="17">
      <c r="A17" s="38" t="s">
        <v>45</v>
      </c>
      <c r="B17" s="61" t="s">
        <v>43</v>
      </c>
      <c r="C17" s="62" t="s">
        <v>183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101000921</v>
      </c>
    </row>
    <row r="18">
      <c r="A18" s="43"/>
      <c r="B18" s="44"/>
      <c r="C18" s="45" t="s">
        <v>184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101001021</v>
      </c>
    </row>
    <row r="19">
      <c r="A19" s="43"/>
      <c r="B19" s="44"/>
      <c r="C19" s="45" t="s">
        <v>178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101001121</v>
      </c>
    </row>
    <row r="20">
      <c r="A20" s="43"/>
      <c r="B20" s="48"/>
      <c r="C20" s="49" t="s">
        <v>179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101001221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101001322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101001422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101001522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101001622</v>
      </c>
    </row>
    <row r="25">
      <c r="A25" s="65" t="s">
        <v>42</v>
      </c>
      <c r="B25" s="66"/>
      <c r="C25" s="91" t="s">
        <v>185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101001713</v>
      </c>
    </row>
    <row r="26">
      <c r="A26" s="71" t="s">
        <v>45</v>
      </c>
      <c r="B26" s="72"/>
      <c r="C26" s="83" t="s">
        <v>186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101001823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101001923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101002023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101002123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101002223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101002323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101002423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A25:A32">
      <formula1>'Oldsmar Elementary'!$A$8:$A$24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24</v>
      </c>
    </row>
    <row r="2">
      <c r="A2" s="27" t="s">
        <v>32</v>
      </c>
      <c r="C2" s="28">
        <f>VLOOKUP($C$1, 'School IDs'!$A$2:$B$23, 2)</f>
        <v>1011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187</v>
      </c>
      <c r="E4" s="33" t="str">
        <f>IFERROR(__xludf.DUMMYFUNCTION("IFERROR(FILTER($G$9:$G$100, $C$9:$C$100=D4), ""NONE SELECTED"")"),"101100111")</f>
        <v>101100111</v>
      </c>
      <c r="F4" s="30"/>
      <c r="G4" s="31"/>
    </row>
    <row r="5">
      <c r="A5" s="34" t="s">
        <v>35</v>
      </c>
      <c r="B5" s="30"/>
      <c r="C5" s="31"/>
      <c r="D5" s="32" t="s">
        <v>188</v>
      </c>
      <c r="E5" s="33" t="str">
        <f>IFERROR(__xludf.DUMMYFUNCTION("IFERROR(FILTER($G$9:$G$100, $C$9:$C$100=D5), ""NONE SELECTED"")"),"101101221")</f>
        <v>101101221</v>
      </c>
      <c r="F5" s="30"/>
      <c r="G5" s="31"/>
    </row>
    <row r="6">
      <c r="A6" s="35" t="s">
        <v>36</v>
      </c>
      <c r="B6" s="30"/>
      <c r="C6" s="31"/>
      <c r="D6" s="32" t="s">
        <v>189</v>
      </c>
      <c r="E6" s="33" t="str">
        <f>IFERROR(__xludf.DUMMYFUNCTION("IFERROR(FILTER($G$9:$G$100, $C$9:$C$100=D6), ""NONE SELECTED"")"),"101100921")</f>
        <v>101100921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187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101100111</v>
      </c>
    </row>
    <row r="10">
      <c r="A10" s="43"/>
      <c r="B10" s="44"/>
      <c r="C10" s="45" t="s">
        <v>190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101100211</v>
      </c>
    </row>
    <row r="11">
      <c r="A11" s="43"/>
      <c r="B11" s="44"/>
      <c r="C11" s="45" t="s">
        <v>191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101100311</v>
      </c>
    </row>
    <row r="12">
      <c r="A12" s="43"/>
      <c r="B12" s="48"/>
      <c r="C12" s="49" t="s">
        <v>192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101100411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101100512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101100612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101100712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101100812</v>
      </c>
    </row>
    <row r="17">
      <c r="A17" s="38" t="s">
        <v>45</v>
      </c>
      <c r="B17" s="61" t="s">
        <v>43</v>
      </c>
      <c r="C17" s="62" t="s">
        <v>189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101100921</v>
      </c>
    </row>
    <row r="18">
      <c r="A18" s="43"/>
      <c r="B18" s="44"/>
      <c r="C18" s="45" t="s">
        <v>193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101101021</v>
      </c>
    </row>
    <row r="19">
      <c r="A19" s="43"/>
      <c r="B19" s="44"/>
      <c r="C19" s="45" t="s">
        <v>194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101101121</v>
      </c>
    </row>
    <row r="20">
      <c r="A20" s="43"/>
      <c r="B20" s="48"/>
      <c r="C20" s="49" t="s">
        <v>188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101101221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101101322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101101422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101101522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101101622</v>
      </c>
    </row>
    <row r="25">
      <c r="A25" s="65" t="s">
        <v>42</v>
      </c>
      <c r="B25" s="66"/>
      <c r="C25" s="91" t="s">
        <v>195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101101713</v>
      </c>
    </row>
    <row r="26">
      <c r="A26" s="71" t="s">
        <v>37</v>
      </c>
      <c r="B26" s="72"/>
      <c r="C26" s="83" t="s">
        <v>196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101101823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101101923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101102023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101102123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101102223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101102323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101102423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'Ozona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25</v>
      </c>
    </row>
    <row r="2">
      <c r="A2" s="27" t="s">
        <v>32</v>
      </c>
      <c r="C2" s="28">
        <f>VLOOKUP($C$1, 'School IDs'!$A$2:$B$23, 2)</f>
        <v>1012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197</v>
      </c>
      <c r="E4" s="33" t="str">
        <f>IFERROR(__xludf.DUMMYFUNCTION("IFERROR(FILTER($G$9:$G$100, $C$9:$C$100=D4), ""NONE SELECTED"")"),"101200921")</f>
        <v>101200921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198</v>
      </c>
      <c r="E6" s="33" t="str">
        <f>IFERROR(__xludf.DUMMYFUNCTION("IFERROR(FILTER($G$9:$G$100, $C$9:$C$100=D6), ""NONE SELECTED"")"),"101200111")</f>
        <v>101200111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198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101200111</v>
      </c>
    </row>
    <row r="10">
      <c r="A10" s="43"/>
      <c r="B10" s="44"/>
      <c r="C10" s="45" t="s">
        <v>199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101200211</v>
      </c>
    </row>
    <row r="11">
      <c r="A11" s="43"/>
      <c r="B11" s="44"/>
      <c r="C11" s="45" t="s">
        <v>200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101200311</v>
      </c>
    </row>
    <row r="12">
      <c r="A12" s="43"/>
      <c r="B12" s="48"/>
      <c r="C12" s="49" t="s">
        <v>201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101200411</v>
      </c>
    </row>
    <row r="13">
      <c r="A13" s="43"/>
      <c r="B13" s="52" t="s">
        <v>44</v>
      </c>
      <c r="C13" s="53" t="s">
        <v>202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101200512</v>
      </c>
    </row>
    <row r="14">
      <c r="A14" s="43"/>
      <c r="B14" s="44"/>
      <c r="C14" s="45" t="s">
        <v>203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101200612</v>
      </c>
    </row>
    <row r="15">
      <c r="A15" s="43"/>
      <c r="B15" s="44"/>
      <c r="C15" s="45" t="s">
        <v>204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101200712</v>
      </c>
    </row>
    <row r="16">
      <c r="A16" s="56"/>
      <c r="B16" s="57"/>
      <c r="C16" s="58" t="s">
        <v>205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101200812</v>
      </c>
    </row>
    <row r="17">
      <c r="A17" s="38" t="s">
        <v>45</v>
      </c>
      <c r="B17" s="61" t="s">
        <v>43</v>
      </c>
      <c r="C17" s="62" t="s">
        <v>197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101200921</v>
      </c>
    </row>
    <row r="18">
      <c r="A18" s="43"/>
      <c r="B18" s="44"/>
      <c r="C18" s="45" t="s">
        <v>206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101201021</v>
      </c>
    </row>
    <row r="19">
      <c r="A19" s="43"/>
      <c r="B19" s="44"/>
      <c r="C19" s="45" t="s">
        <v>207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101201121</v>
      </c>
    </row>
    <row r="20">
      <c r="A20" s="43"/>
      <c r="B20" s="48"/>
      <c r="C20" s="49" t="s">
        <v>208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101201221</v>
      </c>
    </row>
    <row r="21">
      <c r="A21" s="43"/>
      <c r="B21" s="52" t="s">
        <v>44</v>
      </c>
      <c r="C21" s="53" t="s">
        <v>209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101201322</v>
      </c>
    </row>
    <row r="22">
      <c r="A22" s="43"/>
      <c r="B22" s="44"/>
      <c r="C22" s="45" t="s">
        <v>210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101201422</v>
      </c>
    </row>
    <row r="23">
      <c r="A23" s="43"/>
      <c r="B23" s="44"/>
      <c r="C23" s="45" t="s">
        <v>211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101201522</v>
      </c>
    </row>
    <row r="24">
      <c r="A24" s="56"/>
      <c r="B24" s="57"/>
      <c r="C24" s="58" t="s">
        <v>212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101201622</v>
      </c>
    </row>
    <row r="25">
      <c r="A25" s="65" t="s">
        <v>42</v>
      </c>
      <c r="B25" s="66"/>
      <c r="C25" s="91" t="s">
        <v>213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101201713</v>
      </c>
    </row>
    <row r="26">
      <c r="A26" s="71" t="s">
        <v>45</v>
      </c>
      <c r="B26" s="72"/>
      <c r="C26" s="83" t="s">
        <v>214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101201823</v>
      </c>
    </row>
    <row r="27">
      <c r="A27" s="77" t="s">
        <v>37</v>
      </c>
      <c r="B27" s="78"/>
      <c r="C27" s="92" t="s">
        <v>215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101201923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101202023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101202123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101202223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101202323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101202423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'Ridgecrest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26</v>
      </c>
    </row>
    <row r="2">
      <c r="A2" s="27" t="s">
        <v>32</v>
      </c>
      <c r="C2" s="28">
        <f>VLOOKUP($C$1, 'School IDs'!$A$2:$B$23, 2)</f>
        <v>1013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216</v>
      </c>
      <c r="E4" s="33" t="str">
        <f>IFERROR(__xludf.DUMMYFUNCTION("IFERROR(FILTER($G$9:$G$100, $C$9:$C$100=D4), ""NONE SELECTED"")"),"101300111")</f>
        <v>101300111</v>
      </c>
      <c r="F4" s="30"/>
      <c r="G4" s="31"/>
    </row>
    <row r="5">
      <c r="A5" s="34" t="s">
        <v>35</v>
      </c>
      <c r="B5" s="30"/>
      <c r="C5" s="31"/>
      <c r="D5" s="32" t="s">
        <v>217</v>
      </c>
      <c r="E5" s="33" t="str">
        <f>IFERROR(__xludf.DUMMYFUNCTION("IFERROR(FILTER($G$9:$G$100, $C$9:$C$100=D5), ""NONE SELECTED"")"),"101300311")</f>
        <v>101300311</v>
      </c>
      <c r="F5" s="30"/>
      <c r="G5" s="31"/>
    </row>
    <row r="6">
      <c r="A6" s="35" t="s">
        <v>36</v>
      </c>
      <c r="B6" s="30"/>
      <c r="C6" s="31"/>
      <c r="D6" s="32" t="s">
        <v>218</v>
      </c>
      <c r="E6" s="33" t="str">
        <f>IFERROR(__xludf.DUMMYFUNCTION("IFERROR(FILTER($G$9:$G$100, $C$9:$C$100=D6), ""NONE SELECTED"")"),"101300211")</f>
        <v>101300211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216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101300111</v>
      </c>
    </row>
    <row r="10">
      <c r="A10" s="43"/>
      <c r="B10" s="44"/>
      <c r="C10" s="45" t="s">
        <v>218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101300211</v>
      </c>
    </row>
    <row r="11">
      <c r="A11" s="43"/>
      <c r="B11" s="44"/>
      <c r="C11" s="45" t="s">
        <v>217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101300311</v>
      </c>
    </row>
    <row r="12">
      <c r="A12" s="43"/>
      <c r="B12" s="48"/>
      <c r="C12" s="49" t="s">
        <v>219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101300411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101300512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101300612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101300712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101300812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101300921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101301021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101301121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101301221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101301322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101301422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101301522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101301622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101301723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101301823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101301923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101302023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101302123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101302223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101302323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101302423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'Seventy-Fourth Street Elementar'!$A$8:$A$24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27</v>
      </c>
    </row>
    <row r="2">
      <c r="A2" s="27" t="s">
        <v>32</v>
      </c>
      <c r="C2" s="28">
        <f>VLOOKUP($C$1, 'School IDs'!$A$2:$B$23, 2)</f>
        <v>1014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220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101400111</v>
      </c>
    </row>
    <row r="10">
      <c r="A10" s="43"/>
      <c r="B10" s="44"/>
      <c r="C10" s="45" t="s">
        <v>221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101400211</v>
      </c>
    </row>
    <row r="11">
      <c r="A11" s="43"/>
      <c r="B11" s="44"/>
      <c r="C11" s="45" t="s">
        <v>222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101400311</v>
      </c>
    </row>
    <row r="12">
      <c r="A12" s="43"/>
      <c r="B12" s="48"/>
      <c r="C12" s="49" t="s">
        <v>223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101400411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101400512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101400612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101400712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101400812</v>
      </c>
    </row>
    <row r="17">
      <c r="A17" s="38" t="s">
        <v>45</v>
      </c>
      <c r="B17" s="61" t="s">
        <v>43</v>
      </c>
      <c r="C17" s="62" t="s">
        <v>224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101400921</v>
      </c>
    </row>
    <row r="18">
      <c r="A18" s="43"/>
      <c r="B18" s="44"/>
      <c r="C18" s="45" t="s">
        <v>225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101401021</v>
      </c>
    </row>
    <row r="19">
      <c r="A19" s="43"/>
      <c r="B19" s="44"/>
      <c r="C19" s="45" t="s">
        <v>226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101401121</v>
      </c>
    </row>
    <row r="20">
      <c r="A20" s="43"/>
      <c r="B20" s="48"/>
      <c r="C20" s="49" t="s">
        <v>227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101401221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101401322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101401422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101401522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101401622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101401723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101401823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101401923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101402023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101402123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101402223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101402323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101402423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'Shore Acres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28</v>
      </c>
    </row>
    <row r="2">
      <c r="A2" s="27" t="s">
        <v>32</v>
      </c>
      <c r="C2" s="28">
        <f>VLOOKUP($C$1, 'School IDs'!$A$2:$B$23, 2)</f>
        <v>1015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228</v>
      </c>
      <c r="E4" s="33" t="str">
        <f>IFERROR(__xludf.DUMMYFUNCTION("IFERROR(FILTER($G$9:$G$100, $C$9:$C$100=D4), ""NONE SELECTED"")"),"101500921")</f>
        <v>101500921</v>
      </c>
      <c r="F4" s="30"/>
      <c r="G4" s="31"/>
    </row>
    <row r="5">
      <c r="A5" s="34" t="s">
        <v>35</v>
      </c>
      <c r="B5" s="30"/>
      <c r="C5" s="31"/>
      <c r="D5" s="32" t="s">
        <v>229</v>
      </c>
      <c r="E5" s="33" t="str">
        <f>IFERROR(__xludf.DUMMYFUNCTION("IFERROR(FILTER($G$9:$G$100, $C$9:$C$100=D5), ""NONE SELECTED"")"),"101501021")</f>
        <v>101501021</v>
      </c>
      <c r="F5" s="30"/>
      <c r="G5" s="31"/>
    </row>
    <row r="6">
      <c r="A6" s="35" t="s">
        <v>36</v>
      </c>
      <c r="B6" s="30"/>
      <c r="C6" s="31"/>
      <c r="D6" s="32" t="s">
        <v>230</v>
      </c>
      <c r="E6" s="33" t="str">
        <f>IFERROR(__xludf.DUMMYFUNCTION("IFERROR(FILTER($G$9:$G$100, $C$9:$C$100=D6), ""NONE SELECTED"")"),"101501121")</f>
        <v>101501121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231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101500111</v>
      </c>
    </row>
    <row r="10">
      <c r="A10" s="43"/>
      <c r="B10" s="44"/>
      <c r="C10" s="45" t="s">
        <v>232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101500211</v>
      </c>
    </row>
    <row r="11">
      <c r="A11" s="43"/>
      <c r="B11" s="44"/>
      <c r="C11" s="45" t="s">
        <v>233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101500311</v>
      </c>
    </row>
    <row r="12">
      <c r="A12" s="43"/>
      <c r="B12" s="48"/>
      <c r="C12" s="49" t="s">
        <v>234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101500411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101500512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101500612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101500712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101500812</v>
      </c>
    </row>
    <row r="17">
      <c r="A17" s="38" t="s">
        <v>45</v>
      </c>
      <c r="B17" s="61" t="s">
        <v>43</v>
      </c>
      <c r="C17" s="93" t="s">
        <v>228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101500921</v>
      </c>
    </row>
    <row r="18">
      <c r="A18" s="43"/>
      <c r="B18" s="44"/>
      <c r="C18" s="94" t="s">
        <v>229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101501021</v>
      </c>
    </row>
    <row r="19">
      <c r="A19" s="43"/>
      <c r="B19" s="44"/>
      <c r="C19" s="95" t="s">
        <v>230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101501121</v>
      </c>
    </row>
    <row r="20">
      <c r="A20" s="43"/>
      <c r="B20" s="48"/>
      <c r="C20" s="96" t="s">
        <v>235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101501221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101501322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101501422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101501522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101501622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101501723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101501823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101501923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101502023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101502123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101502223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101502323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101502423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'Skyview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29</v>
      </c>
    </row>
    <row r="2">
      <c r="A2" s="27" t="s">
        <v>32</v>
      </c>
      <c r="C2" s="28">
        <f>VLOOKUP($C$1, 'School IDs'!$A$2:$B$23, 2)</f>
        <v>1016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236</v>
      </c>
      <c r="E6" s="33" t="str">
        <f>IFERROR(__xludf.DUMMYFUNCTION("IFERROR(FILTER($G$9:$G$100, $C$9:$C$100=D6), ""NONE SELECTED"")"),"101601121")</f>
        <v>101601121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237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101600111</v>
      </c>
    </row>
    <row r="10">
      <c r="A10" s="43"/>
      <c r="B10" s="44"/>
      <c r="C10" s="45" t="s">
        <v>238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101600211</v>
      </c>
    </row>
    <row r="11">
      <c r="A11" s="43"/>
      <c r="B11" s="44"/>
      <c r="C11" s="45" t="s">
        <v>239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101600311</v>
      </c>
    </row>
    <row r="12">
      <c r="A12" s="43"/>
      <c r="B12" s="48"/>
      <c r="C12" s="49" t="s">
        <v>240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101600411</v>
      </c>
    </row>
    <row r="13">
      <c r="A13" s="43"/>
      <c r="B13" s="52" t="s">
        <v>44</v>
      </c>
      <c r="C13" s="53" t="s">
        <v>241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101600512</v>
      </c>
    </row>
    <row r="14">
      <c r="A14" s="43"/>
      <c r="B14" s="44"/>
      <c r="C14" s="45" t="s">
        <v>242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101600612</v>
      </c>
    </row>
    <row r="15">
      <c r="A15" s="43"/>
      <c r="B15" s="44"/>
      <c r="C15" s="45" t="s">
        <v>243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101600712</v>
      </c>
    </row>
    <row r="16">
      <c r="A16" s="56"/>
      <c r="B16" s="57"/>
      <c r="C16" s="58" t="s">
        <v>244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101600812</v>
      </c>
    </row>
    <row r="17">
      <c r="A17" s="38" t="s">
        <v>45</v>
      </c>
      <c r="B17" s="61" t="s">
        <v>43</v>
      </c>
      <c r="C17" s="62" t="s">
        <v>245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101600921</v>
      </c>
    </row>
    <row r="18">
      <c r="A18" s="43"/>
      <c r="B18" s="44"/>
      <c r="C18" s="45" t="s">
        <v>246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101601021</v>
      </c>
    </row>
    <row r="19">
      <c r="A19" s="43"/>
      <c r="B19" s="44"/>
      <c r="C19" s="45" t="s">
        <v>236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101601121</v>
      </c>
    </row>
    <row r="20">
      <c r="A20" s="43"/>
      <c r="B20" s="48"/>
      <c r="C20" s="49" t="s">
        <v>247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101601221</v>
      </c>
    </row>
    <row r="21">
      <c r="A21" s="43"/>
      <c r="B21" s="52" t="s">
        <v>44</v>
      </c>
      <c r="C21" s="53" t="s">
        <v>248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101601322</v>
      </c>
    </row>
    <row r="22">
      <c r="A22" s="43"/>
      <c r="B22" s="44"/>
      <c r="C22" s="45" t="s">
        <v>249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101601422</v>
      </c>
    </row>
    <row r="23">
      <c r="A23" s="43"/>
      <c r="B23" s="44"/>
      <c r="C23" s="45" t="s">
        <v>250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101601522</v>
      </c>
    </row>
    <row r="24">
      <c r="A24" s="56"/>
      <c r="B24" s="57"/>
      <c r="C24" s="58" t="s">
        <v>251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101601622</v>
      </c>
    </row>
    <row r="25">
      <c r="A25" s="65" t="s">
        <v>42</v>
      </c>
      <c r="B25" s="66"/>
      <c r="C25" s="91" t="s">
        <v>252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101601713</v>
      </c>
    </row>
    <row r="26">
      <c r="A26" s="71" t="s">
        <v>45</v>
      </c>
      <c r="B26" s="72"/>
      <c r="C26" s="83" t="s">
        <v>253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101601823</v>
      </c>
    </row>
    <row r="27">
      <c r="A27" s="77" t="s">
        <v>45</v>
      </c>
      <c r="B27" s="78"/>
      <c r="C27" s="92" t="s">
        <v>254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101601923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101602023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101602123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101602223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101602323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101602423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'Sutherland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7" max="7" width="24.38"/>
  </cols>
  <sheetData>
    <row r="1">
      <c r="A1" s="22">
        <f t="shared" ref="A1:A16" si="1">1000 + ROW()</f>
        <v>1001</v>
      </c>
      <c r="B1" s="23" t="s">
        <v>5</v>
      </c>
      <c r="F1" s="22">
        <f t="shared" ref="F1:F6" si="2">2000 + ROW()</f>
        <v>2001</v>
      </c>
      <c r="G1" s="23" t="s">
        <v>6</v>
      </c>
    </row>
    <row r="2">
      <c r="A2" s="22">
        <f t="shared" si="1"/>
        <v>1002</v>
      </c>
      <c r="B2" s="23" t="s">
        <v>8</v>
      </c>
      <c r="F2" s="22">
        <f t="shared" si="2"/>
        <v>2002</v>
      </c>
      <c r="G2" s="23" t="s">
        <v>9</v>
      </c>
    </row>
    <row r="3">
      <c r="A3" s="22">
        <f t="shared" si="1"/>
        <v>1003</v>
      </c>
      <c r="B3" s="23" t="s">
        <v>11</v>
      </c>
      <c r="F3" s="22">
        <f t="shared" si="2"/>
        <v>2003</v>
      </c>
      <c r="G3" s="23" t="s">
        <v>12</v>
      </c>
    </row>
    <row r="4">
      <c r="A4" s="22">
        <f t="shared" si="1"/>
        <v>1004</v>
      </c>
      <c r="B4" s="23" t="s">
        <v>14</v>
      </c>
      <c r="F4" s="22">
        <f t="shared" si="2"/>
        <v>2004</v>
      </c>
      <c r="G4" s="23" t="s">
        <v>15</v>
      </c>
    </row>
    <row r="5">
      <c r="A5" s="22">
        <f t="shared" si="1"/>
        <v>1005</v>
      </c>
      <c r="B5" s="23" t="s">
        <v>16</v>
      </c>
      <c r="F5" s="22">
        <f t="shared" si="2"/>
        <v>2005</v>
      </c>
      <c r="G5" s="23" t="s">
        <v>17</v>
      </c>
    </row>
    <row r="6">
      <c r="A6" s="22">
        <f t="shared" si="1"/>
        <v>1006</v>
      </c>
      <c r="B6" s="23" t="s">
        <v>18</v>
      </c>
      <c r="F6" s="22">
        <f t="shared" si="2"/>
        <v>2006</v>
      </c>
      <c r="G6" s="23" t="s">
        <v>19</v>
      </c>
    </row>
    <row r="7">
      <c r="A7" s="22">
        <f t="shared" si="1"/>
        <v>1007</v>
      </c>
      <c r="B7" s="23" t="s">
        <v>20</v>
      </c>
      <c r="F7" s="22">
        <f t="shared" ref="F7:F9" si="3">3000 + ROW()-6</f>
        <v>3001</v>
      </c>
      <c r="G7" s="23" t="s">
        <v>7</v>
      </c>
    </row>
    <row r="8">
      <c r="A8" s="22">
        <f t="shared" si="1"/>
        <v>1008</v>
      </c>
      <c r="B8" s="23" t="s">
        <v>21</v>
      </c>
      <c r="F8" s="22">
        <f t="shared" si="3"/>
        <v>3002</v>
      </c>
      <c r="G8" s="24" t="s">
        <v>10</v>
      </c>
    </row>
    <row r="9">
      <c r="A9" s="22">
        <f t="shared" si="1"/>
        <v>1009</v>
      </c>
      <c r="B9" s="23" t="s">
        <v>22</v>
      </c>
      <c r="F9" s="22">
        <f t="shared" si="3"/>
        <v>3003</v>
      </c>
      <c r="G9" s="23" t="s">
        <v>13</v>
      </c>
    </row>
    <row r="10">
      <c r="A10" s="22">
        <f t="shared" si="1"/>
        <v>1010</v>
      </c>
      <c r="B10" s="23" t="s">
        <v>23</v>
      </c>
    </row>
    <row r="11">
      <c r="A11" s="22">
        <f t="shared" si="1"/>
        <v>1011</v>
      </c>
      <c r="B11" s="23" t="s">
        <v>24</v>
      </c>
    </row>
    <row r="12">
      <c r="A12" s="22">
        <f t="shared" si="1"/>
        <v>1012</v>
      </c>
      <c r="B12" s="23" t="s">
        <v>25</v>
      </c>
    </row>
    <row r="13">
      <c r="A13" s="22">
        <f t="shared" si="1"/>
        <v>1013</v>
      </c>
      <c r="B13" s="23" t="s">
        <v>27</v>
      </c>
    </row>
    <row r="14">
      <c r="A14" s="22">
        <f t="shared" si="1"/>
        <v>1014</v>
      </c>
      <c r="B14" s="23" t="s">
        <v>28</v>
      </c>
    </row>
    <row r="15">
      <c r="A15" s="22">
        <f t="shared" si="1"/>
        <v>1015</v>
      </c>
      <c r="B15" s="23" t="s">
        <v>29</v>
      </c>
    </row>
    <row r="16">
      <c r="A16" s="22">
        <f t="shared" si="1"/>
        <v>1016</v>
      </c>
      <c r="B16" s="23" t="s">
        <v>30</v>
      </c>
    </row>
    <row r="17">
      <c r="A17" s="22">
        <f t="shared" ref="A17:A19" si="4">3000 + ROW()-16</f>
        <v>3001</v>
      </c>
      <c r="B17" s="23" t="s">
        <v>7</v>
      </c>
      <c r="C17" s="22"/>
    </row>
    <row r="18">
      <c r="A18" s="22">
        <f t="shared" si="4"/>
        <v>3002</v>
      </c>
      <c r="B18" s="24" t="s">
        <v>10</v>
      </c>
      <c r="C18" s="22"/>
    </row>
    <row r="19">
      <c r="A19" s="22">
        <f t="shared" si="4"/>
        <v>3003</v>
      </c>
      <c r="B19" s="23" t="s">
        <v>13</v>
      </c>
      <c r="C19" s="22"/>
    </row>
    <row r="20">
      <c r="A20" s="22"/>
      <c r="B20" s="23"/>
    </row>
    <row r="21">
      <c r="A21" s="22"/>
      <c r="B21" s="23"/>
    </row>
    <row r="22">
      <c r="A22" s="22"/>
      <c r="B22" s="23"/>
    </row>
    <row r="23">
      <c r="A23" s="22"/>
      <c r="B23" s="23"/>
    </row>
    <row r="24">
      <c r="A24" s="22"/>
      <c r="B24" s="23"/>
    </row>
    <row r="25">
      <c r="B25" s="25"/>
      <c r="C25" s="26"/>
    </row>
    <row r="26">
      <c r="B26" s="25"/>
      <c r="C26" s="26"/>
    </row>
  </sheetData>
  <drawing r:id="rId1"/>
  <tableParts count="3">
    <tablePart r:id="rId5"/>
    <tablePart r:id="rId6"/>
    <tablePart r:id="rId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255</v>
      </c>
    </row>
    <row r="2">
      <c r="A2" s="27" t="s">
        <v>32</v>
      </c>
      <c r="C2" s="28">
        <f>VLOOKUP($C$1, 'School IDs'!$A$2:$B$23, 2)</f>
        <v>1017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256</v>
      </c>
      <c r="E4" s="33" t="str">
        <f>IFERROR(__xludf.DUMMYFUNCTION("IFERROR(FILTER($G$9:$G$100, $C$9:$C$100=D4), ""NONE SELECTED"")"),"101701021")</f>
        <v>101701021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257</v>
      </c>
      <c r="E6" s="33" t="str">
        <f>IFERROR(__xludf.DUMMYFUNCTION("IFERROR(FILTER($G$9:$G$100, $C$9:$C$100=D6), ""NONE SELECTED"")"),"101701221")</f>
        <v>101701221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258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101700111</v>
      </c>
    </row>
    <row r="10">
      <c r="A10" s="43"/>
      <c r="B10" s="44"/>
      <c r="C10" s="45" t="s">
        <v>259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101700211</v>
      </c>
    </row>
    <row r="11">
      <c r="A11" s="43"/>
      <c r="B11" s="44"/>
      <c r="C11" s="45" t="s">
        <v>260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101700311</v>
      </c>
    </row>
    <row r="12">
      <c r="A12" s="43"/>
      <c r="B12" s="48"/>
      <c r="C12" s="49" t="s">
        <v>261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101700411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101700512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101700612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101700712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101700812</v>
      </c>
    </row>
    <row r="17">
      <c r="A17" s="38" t="s">
        <v>45</v>
      </c>
      <c r="B17" s="61" t="s">
        <v>43</v>
      </c>
      <c r="C17" s="62" t="s">
        <v>262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101700921</v>
      </c>
    </row>
    <row r="18">
      <c r="A18" s="43"/>
      <c r="B18" s="44"/>
      <c r="C18" s="45" t="s">
        <v>256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101701021</v>
      </c>
    </row>
    <row r="19">
      <c r="A19" s="43"/>
      <c r="B19" s="44"/>
      <c r="C19" s="45" t="s">
        <v>263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101701121</v>
      </c>
    </row>
    <row r="20">
      <c r="A20" s="43"/>
      <c r="B20" s="48"/>
      <c r="C20" s="49" t="s">
        <v>257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101701221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101701322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101701422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101701522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101701622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101701723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101701823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101701923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101702023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101702123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101702223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101702323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101702423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'Tarpon Springs Fundamental Elem'!$A$8:$A$24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3</v>
      </c>
    </row>
    <row r="2">
      <c r="A2" s="27" t="s">
        <v>32</v>
      </c>
      <c r="C2" s="28">
        <f>VLOOKUP($C$1, 'School IDs'!$C$2:$D$10, 2)</f>
        <v>2004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IFERROR(__xludf.DUMMYFUNCTION("IFERROR(FILTER($G$9:$G$48, $C$9:$C$48=D5),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IFERROR(__xludf.DUMMYFUNCTION("IFERROR(FILTER($G$9:$G$48, $C$9:$C$48=D6),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/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200400131</v>
      </c>
    </row>
    <row r="10">
      <c r="A10" s="43"/>
      <c r="B10" s="44"/>
      <c r="C10" s="45"/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200400231</v>
      </c>
    </row>
    <row r="11">
      <c r="A11" s="43"/>
      <c r="B11" s="44"/>
      <c r="C11" s="45"/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200400331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200400431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200400532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200400632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200400732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200400832</v>
      </c>
    </row>
    <row r="17">
      <c r="A17" s="38" t="s">
        <v>265</v>
      </c>
      <c r="B17" s="61" t="s">
        <v>43</v>
      </c>
      <c r="C17" s="62"/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200400941</v>
      </c>
    </row>
    <row r="18">
      <c r="A18" s="43"/>
      <c r="B18" s="44"/>
      <c r="C18" s="45"/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200401041</v>
      </c>
    </row>
    <row r="19">
      <c r="A19" s="43"/>
      <c r="B19" s="44"/>
      <c r="C19" s="45"/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200401141</v>
      </c>
    </row>
    <row r="20">
      <c r="A20" s="43"/>
      <c r="B20" s="48"/>
      <c r="C20" s="49"/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200401241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200401342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200401442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200401542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200401642</v>
      </c>
    </row>
    <row r="25">
      <c r="A25" s="38" t="s">
        <v>266</v>
      </c>
      <c r="B25" s="61" t="s">
        <v>43</v>
      </c>
      <c r="C25" s="62"/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200401751</v>
      </c>
    </row>
    <row r="26">
      <c r="A26" s="43"/>
      <c r="B26" s="44"/>
      <c r="C26" s="45"/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200401851</v>
      </c>
    </row>
    <row r="27">
      <c r="A27" s="43"/>
      <c r="B27" s="44"/>
      <c r="C27" s="45"/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200401951</v>
      </c>
    </row>
    <row r="28">
      <c r="A28" s="43"/>
      <c r="B28" s="48"/>
      <c r="C28" s="49"/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200402051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200402152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200402252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200402352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200402452</v>
      </c>
    </row>
    <row r="33">
      <c r="A33" s="38" t="s">
        <v>267</v>
      </c>
      <c r="B33" s="61" t="s">
        <v>43</v>
      </c>
      <c r="C33" s="62"/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200402561</v>
      </c>
    </row>
    <row r="34">
      <c r="A34" s="43"/>
      <c r="B34" s="44"/>
      <c r="C34" s="45"/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200402661</v>
      </c>
    </row>
    <row r="35">
      <c r="A35" s="43"/>
      <c r="B35" s="44"/>
      <c r="C35" s="45"/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200402761</v>
      </c>
    </row>
    <row r="36">
      <c r="A36" s="43"/>
      <c r="B36" s="48"/>
      <c r="C36" s="49"/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200402861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200402962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200403062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200403162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200403262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200403353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200403453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200403553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200403653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200403753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200403853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200403953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200404053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'Middle School Template'!$A$8:$A$40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6</v>
      </c>
    </row>
    <row r="2">
      <c r="A2" s="27" t="s">
        <v>32</v>
      </c>
      <c r="C2" s="28">
        <f>VLOOKUP($C$1, 'School IDs'!$C$2:$D$10, 2)</f>
        <v>2001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268</v>
      </c>
      <c r="E4" s="33" t="str">
        <f>IFERROR(__xludf.DUMMYFUNCTION("IFERROR(FILTER($G$9:$G$100, $C$9:$C$100=D4), ""NONE SELECTED"")"),"200101141")</f>
        <v>200101141</v>
      </c>
      <c r="F4" s="30"/>
      <c r="G4" s="31"/>
    </row>
    <row r="5">
      <c r="A5" s="34" t="s">
        <v>35</v>
      </c>
      <c r="B5" s="30"/>
      <c r="C5" s="31"/>
      <c r="D5" s="32" t="s">
        <v>269</v>
      </c>
      <c r="E5" s="33" t="str">
        <f>IFERROR(__xludf.DUMMYFUNCTION("IFERROR(FILTER($G$9:$G$48, $C$9:$C$48=D5), ""NONE SELECTED"")"),"200100231")</f>
        <v>200100231</v>
      </c>
      <c r="F5" s="30"/>
      <c r="G5" s="31"/>
    </row>
    <row r="6">
      <c r="A6" s="35" t="s">
        <v>36</v>
      </c>
      <c r="B6" s="30"/>
      <c r="C6" s="31"/>
      <c r="D6" s="32" t="s">
        <v>270</v>
      </c>
      <c r="E6" s="33" t="str">
        <f>IFERROR(__xludf.DUMMYFUNCTION("IFERROR(FILTER($G$9:$G$48, $C$9:$C$48=D6), ""NONE SELECTED"")"),"200100941")</f>
        <v>200100941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 t="s">
        <v>271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200100131</v>
      </c>
    </row>
    <row r="10">
      <c r="A10" s="43"/>
      <c r="B10" s="44"/>
      <c r="C10" s="45" t="s">
        <v>269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200100231</v>
      </c>
    </row>
    <row r="11">
      <c r="A11" s="43"/>
      <c r="B11" s="44"/>
      <c r="C11" s="45" t="s">
        <v>272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200100331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200100431</v>
      </c>
    </row>
    <row r="13">
      <c r="A13" s="43"/>
      <c r="B13" s="52" t="s">
        <v>44</v>
      </c>
      <c r="C13" s="53" t="s">
        <v>273</v>
      </c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200100532</v>
      </c>
    </row>
    <row r="14">
      <c r="A14" s="43"/>
      <c r="B14" s="44"/>
      <c r="C14" s="45" t="s">
        <v>274</v>
      </c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200100632</v>
      </c>
    </row>
    <row r="15">
      <c r="A15" s="43"/>
      <c r="B15" s="44"/>
      <c r="C15" s="45" t="s">
        <v>275</v>
      </c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200100732</v>
      </c>
    </row>
    <row r="16">
      <c r="A16" s="56"/>
      <c r="B16" s="57"/>
      <c r="C16" s="58" t="s">
        <v>276</v>
      </c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200100832</v>
      </c>
    </row>
    <row r="17">
      <c r="A17" s="38" t="s">
        <v>265</v>
      </c>
      <c r="B17" s="61" t="s">
        <v>43</v>
      </c>
      <c r="C17" s="62" t="s">
        <v>270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200100941</v>
      </c>
    </row>
    <row r="18">
      <c r="A18" s="43"/>
      <c r="B18" s="44"/>
      <c r="C18" s="45" t="s">
        <v>277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200101041</v>
      </c>
    </row>
    <row r="19">
      <c r="A19" s="43"/>
      <c r="B19" s="44"/>
      <c r="C19" s="45" t="s">
        <v>268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200101141</v>
      </c>
    </row>
    <row r="20">
      <c r="A20" s="43"/>
      <c r="B20" s="48"/>
      <c r="C20" s="49" t="s">
        <v>278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200101241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200101342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200101442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200101542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200101642</v>
      </c>
    </row>
    <row r="25">
      <c r="A25" s="38" t="s">
        <v>266</v>
      </c>
      <c r="B25" s="61" t="s">
        <v>43</v>
      </c>
      <c r="C25" s="62"/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200101751</v>
      </c>
    </row>
    <row r="26">
      <c r="A26" s="43"/>
      <c r="B26" s="44"/>
      <c r="C26" s="45"/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200101851</v>
      </c>
    </row>
    <row r="27">
      <c r="A27" s="43"/>
      <c r="B27" s="44"/>
      <c r="C27" s="45"/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200101951</v>
      </c>
    </row>
    <row r="28">
      <c r="A28" s="43"/>
      <c r="B28" s="48"/>
      <c r="C28" s="49"/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200102051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200102152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200102252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200102352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200102452</v>
      </c>
    </row>
    <row r="33">
      <c r="A33" s="38" t="s">
        <v>267</v>
      </c>
      <c r="B33" s="61" t="s">
        <v>43</v>
      </c>
      <c r="C33" s="62" t="s">
        <v>279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200102561</v>
      </c>
    </row>
    <row r="34">
      <c r="A34" s="43"/>
      <c r="B34" s="44"/>
      <c r="C34" s="45" t="s">
        <v>280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200102661</v>
      </c>
    </row>
    <row r="35">
      <c r="A35" s="43"/>
      <c r="B35" s="44"/>
      <c r="C35" s="45"/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200102761</v>
      </c>
    </row>
    <row r="36">
      <c r="A36" s="43"/>
      <c r="B36" s="48"/>
      <c r="C36" s="49"/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200102861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200102962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200103062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200103162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200103262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200103353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200103453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200103553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200103653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200103753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200103853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200103953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200104053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D4:D6">
      <formula1>$C$8:$C$100</formula1>
    </dataValidation>
    <dataValidation type="list" allowBlank="1" showErrorMessage="1" sqref="A41:A48">
      <formula1>'Carwise Middle'!$A$8:$A$40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9</v>
      </c>
    </row>
    <row r="2">
      <c r="A2" s="27" t="s">
        <v>32</v>
      </c>
      <c r="C2" s="28">
        <f>VLOOKUP($C$1, 'School IDs'!$C$2:$D$10, 2)</f>
        <v>2002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281</v>
      </c>
      <c r="E4" s="33" t="str">
        <f>IFERROR(__xludf.DUMMYFUNCTION("IFERROR(FILTER($G$9:$G$100, $C$9:$C$100=D4), ""NONE SELECTED"")"),"200200131")</f>
        <v>200200131</v>
      </c>
      <c r="F4" s="30"/>
      <c r="G4" s="31"/>
    </row>
    <row r="5">
      <c r="A5" s="34" t="s">
        <v>35</v>
      </c>
      <c r="B5" s="30"/>
      <c r="C5" s="31"/>
      <c r="D5" s="32" t="s">
        <v>282</v>
      </c>
      <c r="E5" s="33" t="str">
        <f>IFERROR(__xludf.DUMMYFUNCTION("IFERROR(FILTER($G$9:$G$48, $C$9:$C$48=D5), ""NONE SELECTED"")"),"200202661")</f>
        <v>200202661</v>
      </c>
      <c r="F5" s="30"/>
      <c r="G5" s="31"/>
    </row>
    <row r="6">
      <c r="A6" s="35" t="s">
        <v>36</v>
      </c>
      <c r="B6" s="30"/>
      <c r="C6" s="31"/>
      <c r="D6" s="32" t="s">
        <v>283</v>
      </c>
      <c r="E6" s="33" t="str">
        <f>IFERROR(__xludf.DUMMYFUNCTION("IFERROR(FILTER($G$9:$G$48, $C$9:$C$48=D6), ""NONE SELECTED"")"),"200202252")</f>
        <v>200202252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111" t="s">
        <v>281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200200131</v>
      </c>
    </row>
    <row r="10">
      <c r="A10" s="43"/>
      <c r="B10" s="44"/>
      <c r="C10" s="112" t="s">
        <v>284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200200231</v>
      </c>
    </row>
    <row r="11">
      <c r="A11" s="43"/>
      <c r="B11" s="44"/>
      <c r="C11" s="112" t="s">
        <v>285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200200331</v>
      </c>
    </row>
    <row r="12">
      <c r="A12" s="43"/>
      <c r="B12" s="48"/>
      <c r="C12" s="112" t="s">
        <v>286</v>
      </c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200200431</v>
      </c>
    </row>
    <row r="13">
      <c r="A13" s="43"/>
      <c r="B13" s="52" t="s">
        <v>44</v>
      </c>
      <c r="C13" s="111" t="s">
        <v>287</v>
      </c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200200532</v>
      </c>
    </row>
    <row r="14">
      <c r="A14" s="43"/>
      <c r="B14" s="44"/>
      <c r="C14" s="112" t="s">
        <v>288</v>
      </c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200200632</v>
      </c>
    </row>
    <row r="15">
      <c r="A15" s="43"/>
      <c r="B15" s="44"/>
      <c r="C15" s="112" t="s">
        <v>289</v>
      </c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200200732</v>
      </c>
    </row>
    <row r="16">
      <c r="A16" s="56"/>
      <c r="B16" s="57"/>
      <c r="C16" s="112" t="s">
        <v>290</v>
      </c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200200832</v>
      </c>
    </row>
    <row r="17">
      <c r="A17" s="38" t="s">
        <v>265</v>
      </c>
      <c r="B17" s="61" t="s">
        <v>43</v>
      </c>
      <c r="C17" s="111" t="s">
        <v>291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200200941</v>
      </c>
    </row>
    <row r="18">
      <c r="A18" s="43"/>
      <c r="B18" s="44"/>
      <c r="C18" s="112" t="s">
        <v>292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200201041</v>
      </c>
    </row>
    <row r="19">
      <c r="A19" s="43"/>
      <c r="B19" s="44"/>
      <c r="C19" s="112" t="s">
        <v>293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200201141</v>
      </c>
    </row>
    <row r="20">
      <c r="A20" s="43"/>
      <c r="B20" s="48"/>
      <c r="C20" s="112" t="s">
        <v>294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200201241</v>
      </c>
    </row>
    <row r="21">
      <c r="A21" s="43"/>
      <c r="B21" s="52" t="s">
        <v>44</v>
      </c>
      <c r="C21" s="111" t="s">
        <v>295</v>
      </c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200201342</v>
      </c>
    </row>
    <row r="22">
      <c r="A22" s="43"/>
      <c r="B22" s="44"/>
      <c r="C22" s="112" t="s">
        <v>296</v>
      </c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200201442</v>
      </c>
    </row>
    <row r="23">
      <c r="A23" s="43"/>
      <c r="B23" s="44"/>
      <c r="C23" s="112" t="s">
        <v>297</v>
      </c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200201542</v>
      </c>
    </row>
    <row r="24">
      <c r="A24" s="56"/>
      <c r="B24" s="57"/>
      <c r="C24" s="112" t="s">
        <v>298</v>
      </c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200201642</v>
      </c>
    </row>
    <row r="25">
      <c r="A25" s="38" t="s">
        <v>266</v>
      </c>
      <c r="B25" s="61" t="s">
        <v>43</v>
      </c>
      <c r="C25" s="113" t="s">
        <v>299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200201751</v>
      </c>
    </row>
    <row r="26">
      <c r="A26" s="43"/>
      <c r="B26" s="44"/>
      <c r="C26" s="112" t="s">
        <v>300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200201851</v>
      </c>
    </row>
    <row r="27">
      <c r="A27" s="43"/>
      <c r="B27" s="44"/>
      <c r="C27" s="114" t="s">
        <v>301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200201951</v>
      </c>
    </row>
    <row r="28">
      <c r="A28" s="43"/>
      <c r="B28" s="48"/>
      <c r="C28" s="112" t="s">
        <v>302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200202051</v>
      </c>
    </row>
    <row r="29">
      <c r="A29" s="43"/>
      <c r="B29" s="52" t="s">
        <v>44</v>
      </c>
      <c r="C29" s="113" t="s">
        <v>303</v>
      </c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200202152</v>
      </c>
    </row>
    <row r="30">
      <c r="A30" s="43"/>
      <c r="B30" s="44"/>
      <c r="C30" s="112" t="s">
        <v>283</v>
      </c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200202252</v>
      </c>
    </row>
    <row r="31">
      <c r="A31" s="43"/>
      <c r="B31" s="44"/>
      <c r="C31" s="112" t="s">
        <v>304</v>
      </c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200202352</v>
      </c>
    </row>
    <row r="32">
      <c r="A32" s="56"/>
      <c r="B32" s="57"/>
      <c r="C32" s="115" t="s">
        <v>305</v>
      </c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200202452</v>
      </c>
    </row>
    <row r="33">
      <c r="A33" s="38" t="s">
        <v>267</v>
      </c>
      <c r="B33" s="61" t="s">
        <v>43</v>
      </c>
      <c r="C33" s="116" t="s">
        <v>306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200202561</v>
      </c>
    </row>
    <row r="34">
      <c r="A34" s="43"/>
      <c r="B34" s="44"/>
      <c r="C34" s="117" t="s">
        <v>282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200202661</v>
      </c>
    </row>
    <row r="35">
      <c r="A35" s="43"/>
      <c r="B35" s="44"/>
      <c r="C35" s="114" t="s">
        <v>307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200202761</v>
      </c>
    </row>
    <row r="36">
      <c r="A36" s="43"/>
      <c r="B36" s="48"/>
      <c r="C36" s="118" t="s">
        <v>308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200202861</v>
      </c>
    </row>
    <row r="37">
      <c r="A37" s="43"/>
      <c r="B37" s="52" t="s">
        <v>44</v>
      </c>
      <c r="C37" s="116" t="s">
        <v>309</v>
      </c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200202962</v>
      </c>
    </row>
    <row r="38">
      <c r="A38" s="43"/>
      <c r="B38" s="44"/>
      <c r="C38" s="117" t="s">
        <v>310</v>
      </c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200203062</v>
      </c>
    </row>
    <row r="39">
      <c r="A39" s="43"/>
      <c r="B39" s="44"/>
      <c r="C39" s="117" t="s">
        <v>311</v>
      </c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200203162</v>
      </c>
    </row>
    <row r="40">
      <c r="A40" s="56"/>
      <c r="B40" s="57"/>
      <c r="C40" s="117" t="s">
        <v>312</v>
      </c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200203262</v>
      </c>
    </row>
    <row r="41">
      <c r="A41" s="65" t="s">
        <v>267</v>
      </c>
      <c r="B41" s="66"/>
      <c r="C41" s="116" t="s">
        <v>313</v>
      </c>
      <c r="D41" s="68" t="str">
        <f t="shared" si="1"/>
        <v>033</v>
      </c>
      <c r="E41" s="69">
        <f t="shared" ref="E41:E48" si="5">VLOOKUP($A41, $A$8:$E$40, 5)</f>
        <v>6</v>
      </c>
      <c r="F41" s="66"/>
      <c r="G41" s="70" t="str">
        <f t="shared" ref="G41:G48" si="6">CONCAT(CONCAT($C$2, D41), CONCAT(E41, 3))</f>
        <v>200203363</v>
      </c>
    </row>
    <row r="42">
      <c r="A42" s="98" t="s">
        <v>264</v>
      </c>
      <c r="B42" s="99"/>
      <c r="C42" s="104" t="s">
        <v>314</v>
      </c>
      <c r="D42" s="101" t="str">
        <f t="shared" si="1"/>
        <v>034</v>
      </c>
      <c r="E42" s="102">
        <f t="shared" si="5"/>
        <v>3</v>
      </c>
      <c r="F42" s="99"/>
      <c r="G42" s="103" t="str">
        <f t="shared" si="6"/>
        <v>200203433</v>
      </c>
    </row>
    <row r="43">
      <c r="A43" s="77" t="s">
        <v>266</v>
      </c>
      <c r="B43" s="78"/>
      <c r="C43" s="92" t="s">
        <v>315</v>
      </c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200203553</v>
      </c>
    </row>
    <row r="44">
      <c r="A44" s="98" t="s">
        <v>266</v>
      </c>
      <c r="B44" s="99"/>
      <c r="C44" s="104" t="s">
        <v>316</v>
      </c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200203653</v>
      </c>
    </row>
    <row r="45">
      <c r="A45" s="77" t="s">
        <v>266</v>
      </c>
      <c r="B45" s="78"/>
      <c r="C45" s="92" t="s">
        <v>317</v>
      </c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200203753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200203853</v>
      </c>
    </row>
    <row r="47">
      <c r="A47" s="77" t="s">
        <v>37</v>
      </c>
      <c r="B47" s="78"/>
      <c r="C47" s="11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200203953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200204053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'Clearwater Fundamental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12</v>
      </c>
    </row>
    <row r="2">
      <c r="A2" s="27" t="s">
        <v>32</v>
      </c>
      <c r="C2" s="28">
        <f>VLOOKUP($C$1, 'School IDs'!$C$2:$D$10, 2)</f>
        <v>2003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318</v>
      </c>
      <c r="E4" s="33" t="str">
        <f>IFERROR(__xludf.DUMMYFUNCTION("IFERROR(FILTER($G$9:$G$100, $C$9:$C$100=D4), ""NONE SELECTED"")"),"200301041")</f>
        <v>200301041</v>
      </c>
      <c r="F4" s="30"/>
      <c r="G4" s="31"/>
    </row>
    <row r="5">
      <c r="A5" s="34" t="s">
        <v>35</v>
      </c>
      <c r="B5" s="30"/>
      <c r="C5" s="31"/>
      <c r="D5" s="32" t="s">
        <v>319</v>
      </c>
      <c r="E5" s="33" t="str">
        <f>IFERROR(__xludf.DUMMYFUNCTION("IFERROR(FILTER($G$9:$G$48, $C$9:$C$48=D5), ""NONE SELECTED"")"),"200301751")</f>
        <v>200301751</v>
      </c>
      <c r="F5" s="30"/>
      <c r="G5" s="31"/>
    </row>
    <row r="6">
      <c r="A6" s="35" t="s">
        <v>36</v>
      </c>
      <c r="B6" s="30"/>
      <c r="C6" s="31"/>
      <c r="D6" s="32" t="s">
        <v>320</v>
      </c>
      <c r="E6" s="33" t="str">
        <f>IFERROR(__xludf.DUMMYFUNCTION("IFERROR(FILTER($G$9:$G$48, $C$9:$C$48=D6), ""NONE SELECTED"")"),"200303963")</f>
        <v>200303963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 t="s">
        <v>321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200300131</v>
      </c>
    </row>
    <row r="10">
      <c r="A10" s="43"/>
      <c r="B10" s="44"/>
      <c r="C10" s="45" t="s">
        <v>322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200300231</v>
      </c>
    </row>
    <row r="11">
      <c r="A11" s="43"/>
      <c r="B11" s="44"/>
      <c r="C11" s="45" t="s">
        <v>323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200300331</v>
      </c>
    </row>
    <row r="12">
      <c r="A12" s="43"/>
      <c r="B12" s="48"/>
      <c r="C12" s="49" t="s">
        <v>324</v>
      </c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200300431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200300532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200300632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200300732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200300832</v>
      </c>
    </row>
    <row r="17">
      <c r="A17" s="38" t="s">
        <v>265</v>
      </c>
      <c r="B17" s="61" t="s">
        <v>43</v>
      </c>
      <c r="C17" s="62" t="s">
        <v>325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200300941</v>
      </c>
    </row>
    <row r="18">
      <c r="A18" s="43"/>
      <c r="B18" s="44"/>
      <c r="C18" s="45" t="s">
        <v>318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200301041</v>
      </c>
    </row>
    <row r="19">
      <c r="A19" s="43"/>
      <c r="B19" s="44"/>
      <c r="C19" s="45" t="s">
        <v>326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200301141</v>
      </c>
    </row>
    <row r="20">
      <c r="A20" s="43"/>
      <c r="B20" s="48"/>
      <c r="C20" s="49" t="s">
        <v>327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200301241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200301342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200301442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200301542</v>
      </c>
    </row>
    <row r="24">
      <c r="A24" s="56"/>
      <c r="B24" s="57"/>
      <c r="C24" s="120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200301642</v>
      </c>
    </row>
    <row r="25">
      <c r="A25" s="38" t="s">
        <v>266</v>
      </c>
      <c r="B25" s="61" t="s">
        <v>43</v>
      </c>
      <c r="C25" s="45" t="s">
        <v>319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200301751</v>
      </c>
    </row>
    <row r="26">
      <c r="A26" s="43"/>
      <c r="B26" s="44"/>
      <c r="C26" s="121" t="s">
        <v>328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200301851</v>
      </c>
    </row>
    <row r="27">
      <c r="A27" s="43"/>
      <c r="B27" s="44"/>
      <c r="C27" s="121" t="s">
        <v>329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200301951</v>
      </c>
    </row>
    <row r="28">
      <c r="A28" s="43"/>
      <c r="B28" s="48"/>
      <c r="C28" s="121" t="s">
        <v>330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200302051</v>
      </c>
    </row>
    <row r="29">
      <c r="A29" s="43"/>
      <c r="B29" s="52" t="s">
        <v>44</v>
      </c>
      <c r="C29" s="121" t="s">
        <v>331</v>
      </c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200302152</v>
      </c>
    </row>
    <row r="30">
      <c r="A30" s="43"/>
      <c r="B30" s="44"/>
      <c r="C30" s="121" t="s">
        <v>332</v>
      </c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200302252</v>
      </c>
    </row>
    <row r="31">
      <c r="A31" s="43"/>
      <c r="B31" s="44"/>
      <c r="C31" s="121" t="s">
        <v>333</v>
      </c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200302352</v>
      </c>
    </row>
    <row r="32">
      <c r="A32" s="56"/>
      <c r="B32" s="57"/>
      <c r="C32" s="27" t="s">
        <v>334</v>
      </c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200302452</v>
      </c>
    </row>
    <row r="33">
      <c r="A33" s="38" t="s">
        <v>267</v>
      </c>
      <c r="B33" s="61" t="s">
        <v>43</v>
      </c>
      <c r="C33" s="40" t="s">
        <v>335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200302561</v>
      </c>
    </row>
    <row r="34">
      <c r="A34" s="43"/>
      <c r="B34" s="44"/>
      <c r="C34" s="45" t="s">
        <v>336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200302661</v>
      </c>
    </row>
    <row r="35">
      <c r="A35" s="43"/>
      <c r="B35" s="44"/>
      <c r="C35" s="45" t="s">
        <v>337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200302761</v>
      </c>
    </row>
    <row r="36">
      <c r="A36" s="43"/>
      <c r="B36" s="48"/>
      <c r="C36" s="49" t="s">
        <v>338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200302861</v>
      </c>
    </row>
    <row r="37">
      <c r="A37" s="43"/>
      <c r="B37" s="52" t="s">
        <v>44</v>
      </c>
      <c r="C37" s="53" t="s">
        <v>339</v>
      </c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200302962</v>
      </c>
    </row>
    <row r="38">
      <c r="A38" s="43"/>
      <c r="B38" s="44"/>
      <c r="C38" s="45" t="s">
        <v>340</v>
      </c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200303062</v>
      </c>
    </row>
    <row r="39">
      <c r="A39" s="43"/>
      <c r="B39" s="44"/>
      <c r="C39" s="45" t="s">
        <v>341</v>
      </c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200303162</v>
      </c>
    </row>
    <row r="40">
      <c r="A40" s="56"/>
      <c r="B40" s="57"/>
      <c r="C40" s="45" t="s">
        <v>342</v>
      </c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200303262</v>
      </c>
    </row>
    <row r="41">
      <c r="A41" s="65" t="s">
        <v>264</v>
      </c>
      <c r="B41" s="66"/>
      <c r="C41" s="91" t="s">
        <v>343</v>
      </c>
      <c r="D41" s="68" t="str">
        <f t="shared" si="1"/>
        <v>033</v>
      </c>
      <c r="E41" s="69">
        <f t="shared" ref="E41:E48" si="5">VLOOKUP($A41, $A$8:$E$40, 5)</f>
        <v>3</v>
      </c>
      <c r="F41" s="66"/>
      <c r="G41" s="70" t="str">
        <f t="shared" ref="G41:G48" si="6">CONCAT(CONCAT($C$2, D41), CONCAT(E41, 3))</f>
        <v>200303333</v>
      </c>
    </row>
    <row r="42">
      <c r="A42" s="98" t="s">
        <v>264</v>
      </c>
      <c r="B42" s="99"/>
      <c r="C42" s="104" t="s">
        <v>344</v>
      </c>
      <c r="D42" s="101" t="str">
        <f t="shared" si="1"/>
        <v>034</v>
      </c>
      <c r="E42" s="102">
        <f t="shared" si="5"/>
        <v>3</v>
      </c>
      <c r="F42" s="99"/>
      <c r="G42" s="103" t="str">
        <f t="shared" si="6"/>
        <v>200303433</v>
      </c>
    </row>
    <row r="43">
      <c r="A43" s="77" t="s">
        <v>265</v>
      </c>
      <c r="B43" s="78"/>
      <c r="C43" s="92" t="s">
        <v>345</v>
      </c>
      <c r="D43" s="80" t="str">
        <f t="shared" si="1"/>
        <v>035</v>
      </c>
      <c r="E43" s="81">
        <f t="shared" si="5"/>
        <v>4</v>
      </c>
      <c r="F43" s="78"/>
      <c r="G43" s="82" t="str">
        <f t="shared" si="6"/>
        <v>200303543</v>
      </c>
    </row>
    <row r="44">
      <c r="A44" s="98" t="s">
        <v>265</v>
      </c>
      <c r="B44" s="99"/>
      <c r="C44" s="104" t="s">
        <v>346</v>
      </c>
      <c r="D44" s="101" t="str">
        <f t="shared" si="1"/>
        <v>036</v>
      </c>
      <c r="E44" s="102">
        <f t="shared" si="5"/>
        <v>4</v>
      </c>
      <c r="F44" s="99"/>
      <c r="G44" s="103" t="str">
        <f t="shared" si="6"/>
        <v>200303643</v>
      </c>
    </row>
    <row r="45">
      <c r="A45" s="77" t="s">
        <v>266</v>
      </c>
      <c r="B45" s="78"/>
      <c r="C45" s="122" t="s">
        <v>347</v>
      </c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200303753</v>
      </c>
    </row>
    <row r="46">
      <c r="A46" s="98" t="s">
        <v>266</v>
      </c>
      <c r="B46" s="99"/>
      <c r="C46" s="123" t="s">
        <v>348</v>
      </c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200303853</v>
      </c>
    </row>
    <row r="47">
      <c r="A47" s="77" t="s">
        <v>267</v>
      </c>
      <c r="B47" s="78"/>
      <c r="C47" s="92" t="s">
        <v>320</v>
      </c>
      <c r="D47" s="80" t="str">
        <f t="shared" si="1"/>
        <v>039</v>
      </c>
      <c r="E47" s="81">
        <f t="shared" si="5"/>
        <v>6</v>
      </c>
      <c r="F47" s="78"/>
      <c r="G47" s="82" t="str">
        <f t="shared" si="6"/>
        <v>200303963</v>
      </c>
    </row>
    <row r="48">
      <c r="A48" s="105" t="s">
        <v>267</v>
      </c>
      <c r="B48" s="106"/>
      <c r="C48" s="124" t="s">
        <v>349</v>
      </c>
      <c r="D48" s="108" t="str">
        <f t="shared" si="1"/>
        <v>040</v>
      </c>
      <c r="E48" s="109">
        <f t="shared" si="5"/>
        <v>6</v>
      </c>
      <c r="F48" s="106"/>
      <c r="G48" s="110" t="str">
        <f t="shared" si="6"/>
        <v>200304063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'Dunedin Highland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15</v>
      </c>
    </row>
    <row r="2">
      <c r="A2" s="27" t="s">
        <v>32</v>
      </c>
      <c r="C2" s="28">
        <f>VLOOKUP($C$1, 'School IDs'!$C$2:$D$10, 2)</f>
        <v>2004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350</v>
      </c>
      <c r="E4" s="33" t="str">
        <f>IFERROR(__xludf.DUMMYFUNCTION("IFERROR(FILTER($G$9:$G$100, $C$9:$C$100=D4), ""NONE SELECTED"")"),"200401041")</f>
        <v>200401041</v>
      </c>
      <c r="F4" s="30"/>
      <c r="G4" s="31"/>
    </row>
    <row r="5">
      <c r="A5" s="34" t="s">
        <v>35</v>
      </c>
      <c r="B5" s="30"/>
      <c r="C5" s="31"/>
      <c r="D5" s="32" t="s">
        <v>351</v>
      </c>
      <c r="E5" s="33" t="str">
        <f>IFERROR(__xludf.DUMMYFUNCTION("IFERROR(FILTER($G$9:$G$48, $C$9:$C$48=D5), ""NONE SELECTED"")"),"200402661")</f>
        <v>200402661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IFERROR(__xludf.DUMMYFUNCTION("IFERROR(FILTER($G$9:$G$48, $C$9:$C$48=D6),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/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200400131</v>
      </c>
    </row>
    <row r="10">
      <c r="A10" s="43"/>
      <c r="B10" s="44"/>
      <c r="C10" s="45"/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200400231</v>
      </c>
    </row>
    <row r="11">
      <c r="A11" s="43"/>
      <c r="B11" s="44"/>
      <c r="C11" s="45"/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200400331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200400431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200400532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200400632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200400732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200400832</v>
      </c>
    </row>
    <row r="17">
      <c r="A17" s="38" t="s">
        <v>265</v>
      </c>
      <c r="B17" s="61" t="s">
        <v>43</v>
      </c>
      <c r="C17" s="62" t="s">
        <v>352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200400941</v>
      </c>
    </row>
    <row r="18">
      <c r="A18" s="43"/>
      <c r="B18" s="44"/>
      <c r="C18" s="45" t="s">
        <v>350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200401041</v>
      </c>
    </row>
    <row r="19">
      <c r="A19" s="43"/>
      <c r="B19" s="44"/>
      <c r="C19" s="45" t="s">
        <v>353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200401141</v>
      </c>
    </row>
    <row r="20">
      <c r="A20" s="43"/>
      <c r="B20" s="48"/>
      <c r="C20" s="49" t="s">
        <v>354</v>
      </c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200401241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200401342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200401442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200401542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200401642</v>
      </c>
    </row>
    <row r="25">
      <c r="A25" s="38" t="s">
        <v>266</v>
      </c>
      <c r="B25" s="61" t="s">
        <v>43</v>
      </c>
      <c r="C25" s="62" t="s">
        <v>355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200401751</v>
      </c>
    </row>
    <row r="26">
      <c r="A26" s="43"/>
      <c r="B26" s="44"/>
      <c r="C26" s="45" t="s">
        <v>356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200401851</v>
      </c>
    </row>
    <row r="27">
      <c r="A27" s="43"/>
      <c r="B27" s="44"/>
      <c r="C27" s="45" t="s">
        <v>357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200401951</v>
      </c>
    </row>
    <row r="28">
      <c r="A28" s="43"/>
      <c r="B28" s="48"/>
      <c r="C28" s="49" t="s">
        <v>358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200402051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200402152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200402252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200402352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200402452</v>
      </c>
    </row>
    <row r="33">
      <c r="A33" s="38" t="s">
        <v>267</v>
      </c>
      <c r="B33" s="61" t="s">
        <v>43</v>
      </c>
      <c r="C33" s="62" t="s">
        <v>359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200402561</v>
      </c>
    </row>
    <row r="34">
      <c r="A34" s="43"/>
      <c r="B34" s="44"/>
      <c r="C34" s="45" t="s">
        <v>351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200402661</v>
      </c>
    </row>
    <row r="35">
      <c r="A35" s="43"/>
      <c r="B35" s="44"/>
      <c r="C35" s="45" t="s">
        <v>360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200402761</v>
      </c>
    </row>
    <row r="36">
      <c r="A36" s="43"/>
      <c r="B36" s="48"/>
      <c r="C36" s="49" t="s">
        <v>361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200402861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200402962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200403062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200403162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200403262</v>
      </c>
    </row>
    <row r="41">
      <c r="A41" s="65" t="s">
        <v>265</v>
      </c>
      <c r="B41" s="66"/>
      <c r="C41" s="91" t="s">
        <v>362</v>
      </c>
      <c r="D41" s="68" t="str">
        <f t="shared" si="1"/>
        <v>033</v>
      </c>
      <c r="E41" s="69">
        <f t="shared" ref="E41:E48" si="5">VLOOKUP($A41, $A$8:$E$40, 5)</f>
        <v>4</v>
      </c>
      <c r="F41" s="66"/>
      <c r="G41" s="70" t="str">
        <f t="shared" ref="G41:G48" si="6">CONCAT(CONCAT($C$2, D41), CONCAT(E41, 3))</f>
        <v>200403343</v>
      </c>
    </row>
    <row r="42">
      <c r="A42" s="98" t="s">
        <v>266</v>
      </c>
      <c r="B42" s="99"/>
      <c r="C42" s="104" t="s">
        <v>363</v>
      </c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200403453</v>
      </c>
    </row>
    <row r="43">
      <c r="A43" s="77" t="s">
        <v>264</v>
      </c>
      <c r="B43" s="78"/>
      <c r="C43" s="125" t="s">
        <v>364</v>
      </c>
      <c r="D43" s="80" t="str">
        <f t="shared" si="1"/>
        <v>035</v>
      </c>
      <c r="E43" s="81">
        <f t="shared" si="5"/>
        <v>3</v>
      </c>
      <c r="F43" s="78"/>
      <c r="G43" s="82" t="str">
        <f t="shared" si="6"/>
        <v>200403533</v>
      </c>
    </row>
    <row r="44">
      <c r="A44" s="98" t="s">
        <v>264</v>
      </c>
      <c r="B44" s="99"/>
      <c r="C44" s="104" t="s">
        <v>365</v>
      </c>
      <c r="D44" s="101" t="str">
        <f t="shared" si="1"/>
        <v>036</v>
      </c>
      <c r="E44" s="102">
        <f t="shared" si="5"/>
        <v>3</v>
      </c>
      <c r="F44" s="99"/>
      <c r="G44" s="103" t="str">
        <f t="shared" si="6"/>
        <v>200403633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200403753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200403853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200403953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200404053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'East Lake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17</v>
      </c>
    </row>
    <row r="2">
      <c r="A2" s="27" t="s">
        <v>32</v>
      </c>
      <c r="C2" s="28">
        <f>VLOOKUP($C$1, 'School IDs'!$C$2:$D$10, 2)</f>
        <v>2005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IFERROR(__xludf.DUMMYFUNCTION("IFERROR(FILTER($G$9:$G$48, $C$9:$C$48=D5),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366</v>
      </c>
      <c r="E6" s="33" t="str">
        <f>IFERROR(__xludf.DUMMYFUNCTION("IFERROR(FILTER($G$9:$G$48, $C$9:$C$48=D6), ""NONE SELECTED"")"),"200501851")</f>
        <v>200501851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 t="s">
        <v>367</v>
      </c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200500131</v>
      </c>
    </row>
    <row r="10">
      <c r="A10" s="43"/>
      <c r="B10" s="44"/>
      <c r="C10" s="45" t="s">
        <v>368</v>
      </c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200500231</v>
      </c>
    </row>
    <row r="11">
      <c r="A11" s="43"/>
      <c r="B11" s="44"/>
      <c r="C11" s="45" t="s">
        <v>369</v>
      </c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200500331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200500431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200500532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200500632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200500732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200500832</v>
      </c>
    </row>
    <row r="17">
      <c r="A17" s="38" t="s">
        <v>265</v>
      </c>
      <c r="B17" s="61" t="s">
        <v>43</v>
      </c>
      <c r="C17" s="62" t="s">
        <v>370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200500941</v>
      </c>
    </row>
    <row r="18">
      <c r="A18" s="43"/>
      <c r="B18" s="44"/>
      <c r="C18" s="45" t="s">
        <v>371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200501041</v>
      </c>
    </row>
    <row r="19">
      <c r="A19" s="43"/>
      <c r="B19" s="44"/>
      <c r="C19" s="45"/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200501141</v>
      </c>
    </row>
    <row r="20">
      <c r="A20" s="43"/>
      <c r="B20" s="48"/>
      <c r="C20" s="49"/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200501241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200501342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200501442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200501542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200501642</v>
      </c>
    </row>
    <row r="25">
      <c r="A25" s="38" t="s">
        <v>266</v>
      </c>
      <c r="B25" s="61" t="s">
        <v>43</v>
      </c>
      <c r="C25" s="62" t="s">
        <v>372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200501751</v>
      </c>
    </row>
    <row r="26">
      <c r="A26" s="43"/>
      <c r="B26" s="44"/>
      <c r="C26" s="45" t="s">
        <v>366</v>
      </c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200501851</v>
      </c>
    </row>
    <row r="27">
      <c r="A27" s="43"/>
      <c r="B27" s="44"/>
      <c r="C27" s="45" t="s">
        <v>373</v>
      </c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200501951</v>
      </c>
    </row>
    <row r="28">
      <c r="A28" s="43"/>
      <c r="B28" s="48"/>
      <c r="C28" s="49" t="s">
        <v>374</v>
      </c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200502051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200502152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200502252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200502352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200502452</v>
      </c>
    </row>
    <row r="33">
      <c r="A33" s="38" t="s">
        <v>267</v>
      </c>
      <c r="B33" s="61" t="s">
        <v>43</v>
      </c>
      <c r="C33" s="62" t="s">
        <v>375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200502561</v>
      </c>
    </row>
    <row r="34">
      <c r="A34" s="43"/>
      <c r="B34" s="44"/>
      <c r="C34" s="45" t="s">
        <v>376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200502661</v>
      </c>
    </row>
    <row r="35">
      <c r="A35" s="43"/>
      <c r="B35" s="44"/>
      <c r="C35" s="45" t="s">
        <v>377</v>
      </c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200502761</v>
      </c>
    </row>
    <row r="36">
      <c r="A36" s="43"/>
      <c r="B36" s="48"/>
      <c r="C36" s="49" t="s">
        <v>378</v>
      </c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200502861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200502962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200503062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200503162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200503262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200503353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200503453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200503553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200503653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200503753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200503853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200503953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200504053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41:A48">
      <formula1>'Morgan Fitzgerald Middle'!$A$8:$A$40</formula1>
    </dataValidation>
    <dataValidation type="list" allowBlank="1" showErrorMessage="1" sqref="C1">
      <formula1>'School IDs'!$C$2:$C$20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19</v>
      </c>
    </row>
    <row r="2">
      <c r="A2" s="27" t="s">
        <v>32</v>
      </c>
      <c r="C2" s="28">
        <f>VLOOKUP($C$1, 'School IDs'!$C$2:$D$10, 2)</f>
        <v>2006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379</v>
      </c>
      <c r="E4" s="33" t="str">
        <f>IFERROR(__xludf.DUMMYFUNCTION("IFERROR(FILTER($G$9:$G$100, $C$9:$C$100=D4), ""NONE SELECTED"")"),"200600941")</f>
        <v>200600941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IFERROR(__xludf.DUMMYFUNCTION("IFERROR(FILTER($G$9:$G$48, $C$9:$C$48=D5),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380</v>
      </c>
      <c r="E6" s="33" t="str">
        <f>IFERROR(__xludf.DUMMYFUNCTION("IFERROR(FILTER($G$9:$G$48, $C$9:$C$48=D6), ""NONE SELECTED"")"),"200602561")</f>
        <v>200602561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264</v>
      </c>
      <c r="B9" s="39" t="s">
        <v>43</v>
      </c>
      <c r="C9" s="40"/>
      <c r="D9" s="41" t="str">
        <f t="shared" ref="D9:D48" si="1">TEXT(ROW(D9)-ROW($D$9)+1, "000")</f>
        <v>001</v>
      </c>
      <c r="E9" s="63">
        <f t="shared" ref="E9:E40" si="2">_xlfn.FLOOR.MATH(ROW(D9)-ROW($D$9), 8)/8 + 3</f>
        <v>3</v>
      </c>
      <c r="F9" s="41">
        <f t="shared" ref="F9:F40" si="3">MOD(_xlfn.FLOOR.MATH(ROW(D9)-ROW($D$9), 4)/4, 2) + 1</f>
        <v>1</v>
      </c>
      <c r="G9" s="42" t="str">
        <f t="shared" ref="G9:G40" si="4">CONCAT(CONCAT($C$2, D9), CONCAT(E9, F9))</f>
        <v>200600131</v>
      </c>
    </row>
    <row r="10">
      <c r="A10" s="43"/>
      <c r="B10" s="44"/>
      <c r="C10" s="45"/>
      <c r="D10" s="46" t="str">
        <f t="shared" si="1"/>
        <v>002</v>
      </c>
      <c r="E10" s="41">
        <f t="shared" si="2"/>
        <v>3</v>
      </c>
      <c r="F10" s="46">
        <f t="shared" si="3"/>
        <v>1</v>
      </c>
      <c r="G10" s="47" t="str">
        <f t="shared" si="4"/>
        <v>200600231</v>
      </c>
    </row>
    <row r="11">
      <c r="A11" s="43"/>
      <c r="B11" s="44"/>
      <c r="C11" s="45"/>
      <c r="D11" s="46" t="str">
        <f t="shared" si="1"/>
        <v>003</v>
      </c>
      <c r="E11" s="41">
        <f t="shared" si="2"/>
        <v>3</v>
      </c>
      <c r="F11" s="46">
        <f t="shared" si="3"/>
        <v>1</v>
      </c>
      <c r="G11" s="47" t="str">
        <f t="shared" si="4"/>
        <v>200600331</v>
      </c>
    </row>
    <row r="12">
      <c r="A12" s="43"/>
      <c r="B12" s="48"/>
      <c r="C12" s="49"/>
      <c r="D12" s="50" t="str">
        <f t="shared" si="1"/>
        <v>004</v>
      </c>
      <c r="E12" s="97">
        <f t="shared" si="2"/>
        <v>3</v>
      </c>
      <c r="F12" s="50">
        <f t="shared" si="3"/>
        <v>1</v>
      </c>
      <c r="G12" s="51" t="str">
        <f t="shared" si="4"/>
        <v>200600431</v>
      </c>
    </row>
    <row r="13">
      <c r="A13" s="43"/>
      <c r="B13" s="52" t="s">
        <v>44</v>
      </c>
      <c r="C13" s="53"/>
      <c r="D13" s="54" t="str">
        <f t="shared" si="1"/>
        <v>005</v>
      </c>
      <c r="E13" s="63">
        <f t="shared" si="2"/>
        <v>3</v>
      </c>
      <c r="F13" s="54">
        <f t="shared" si="3"/>
        <v>2</v>
      </c>
      <c r="G13" s="55" t="str">
        <f t="shared" si="4"/>
        <v>200600532</v>
      </c>
    </row>
    <row r="14">
      <c r="A14" s="43"/>
      <c r="B14" s="44"/>
      <c r="C14" s="45"/>
      <c r="D14" s="46" t="str">
        <f t="shared" si="1"/>
        <v>006</v>
      </c>
      <c r="E14" s="41">
        <f t="shared" si="2"/>
        <v>3</v>
      </c>
      <c r="F14" s="46">
        <f t="shared" si="3"/>
        <v>2</v>
      </c>
      <c r="G14" s="47" t="str">
        <f t="shared" si="4"/>
        <v>200600632</v>
      </c>
    </row>
    <row r="15">
      <c r="A15" s="43"/>
      <c r="B15" s="44"/>
      <c r="C15" s="45"/>
      <c r="D15" s="46" t="str">
        <f t="shared" si="1"/>
        <v>007</v>
      </c>
      <c r="E15" s="41">
        <f t="shared" si="2"/>
        <v>3</v>
      </c>
      <c r="F15" s="46">
        <f t="shared" si="3"/>
        <v>2</v>
      </c>
      <c r="G15" s="47" t="str">
        <f t="shared" si="4"/>
        <v>200600732</v>
      </c>
    </row>
    <row r="16">
      <c r="A16" s="56"/>
      <c r="B16" s="57"/>
      <c r="C16" s="58"/>
      <c r="D16" s="59" t="str">
        <f t="shared" si="1"/>
        <v>008</v>
      </c>
      <c r="E16" s="97">
        <f t="shared" si="2"/>
        <v>3</v>
      </c>
      <c r="F16" s="59">
        <f t="shared" si="3"/>
        <v>2</v>
      </c>
      <c r="G16" s="60" t="str">
        <f t="shared" si="4"/>
        <v>200600832</v>
      </c>
    </row>
    <row r="17">
      <c r="A17" s="38" t="s">
        <v>265</v>
      </c>
      <c r="B17" s="61" t="s">
        <v>43</v>
      </c>
      <c r="C17" s="62" t="s">
        <v>379</v>
      </c>
      <c r="D17" s="63" t="str">
        <f t="shared" si="1"/>
        <v>009</v>
      </c>
      <c r="E17" s="63">
        <f t="shared" si="2"/>
        <v>4</v>
      </c>
      <c r="F17" s="63">
        <f t="shared" si="3"/>
        <v>1</v>
      </c>
      <c r="G17" s="64" t="str">
        <f t="shared" si="4"/>
        <v>200600941</v>
      </c>
    </row>
    <row r="18">
      <c r="A18" s="43"/>
      <c r="B18" s="44"/>
      <c r="C18" s="45" t="s">
        <v>381</v>
      </c>
      <c r="D18" s="46" t="str">
        <f t="shared" si="1"/>
        <v>010</v>
      </c>
      <c r="E18" s="41">
        <f t="shared" si="2"/>
        <v>4</v>
      </c>
      <c r="F18" s="46">
        <f t="shared" si="3"/>
        <v>1</v>
      </c>
      <c r="G18" s="47" t="str">
        <f t="shared" si="4"/>
        <v>200601041</v>
      </c>
    </row>
    <row r="19">
      <c r="A19" s="43"/>
      <c r="B19" s="44"/>
      <c r="C19" s="45" t="s">
        <v>382</v>
      </c>
      <c r="D19" s="46" t="str">
        <f t="shared" si="1"/>
        <v>011</v>
      </c>
      <c r="E19" s="41">
        <f t="shared" si="2"/>
        <v>4</v>
      </c>
      <c r="F19" s="46">
        <f t="shared" si="3"/>
        <v>1</v>
      </c>
      <c r="G19" s="47" t="str">
        <f t="shared" si="4"/>
        <v>200601141</v>
      </c>
    </row>
    <row r="20">
      <c r="A20" s="43"/>
      <c r="B20" s="48"/>
      <c r="C20" s="49"/>
      <c r="D20" s="50" t="str">
        <f t="shared" si="1"/>
        <v>012</v>
      </c>
      <c r="E20" s="97">
        <f t="shared" si="2"/>
        <v>4</v>
      </c>
      <c r="F20" s="50">
        <f t="shared" si="3"/>
        <v>1</v>
      </c>
      <c r="G20" s="51" t="str">
        <f t="shared" si="4"/>
        <v>200601241</v>
      </c>
    </row>
    <row r="21">
      <c r="A21" s="43"/>
      <c r="B21" s="52" t="s">
        <v>44</v>
      </c>
      <c r="C21" s="53"/>
      <c r="D21" s="54" t="str">
        <f t="shared" si="1"/>
        <v>013</v>
      </c>
      <c r="E21" s="63">
        <f t="shared" si="2"/>
        <v>4</v>
      </c>
      <c r="F21" s="54">
        <f t="shared" si="3"/>
        <v>2</v>
      </c>
      <c r="G21" s="55" t="str">
        <f t="shared" si="4"/>
        <v>200601342</v>
      </c>
    </row>
    <row r="22">
      <c r="A22" s="43"/>
      <c r="B22" s="44"/>
      <c r="C22" s="45"/>
      <c r="D22" s="46" t="str">
        <f t="shared" si="1"/>
        <v>014</v>
      </c>
      <c r="E22" s="41">
        <f t="shared" si="2"/>
        <v>4</v>
      </c>
      <c r="F22" s="46">
        <f t="shared" si="3"/>
        <v>2</v>
      </c>
      <c r="G22" s="47" t="str">
        <f t="shared" si="4"/>
        <v>200601442</v>
      </c>
    </row>
    <row r="23">
      <c r="A23" s="43"/>
      <c r="B23" s="44"/>
      <c r="C23" s="45"/>
      <c r="D23" s="46" t="str">
        <f t="shared" si="1"/>
        <v>015</v>
      </c>
      <c r="E23" s="41">
        <f t="shared" si="2"/>
        <v>4</v>
      </c>
      <c r="F23" s="46">
        <f t="shared" si="3"/>
        <v>2</v>
      </c>
      <c r="G23" s="47" t="str">
        <f t="shared" si="4"/>
        <v>200601542</v>
      </c>
    </row>
    <row r="24">
      <c r="A24" s="56"/>
      <c r="B24" s="57"/>
      <c r="C24" s="58"/>
      <c r="D24" s="59" t="str">
        <f t="shared" si="1"/>
        <v>016</v>
      </c>
      <c r="E24" s="97">
        <f t="shared" si="2"/>
        <v>4</v>
      </c>
      <c r="F24" s="59">
        <f t="shared" si="3"/>
        <v>2</v>
      </c>
      <c r="G24" s="60" t="str">
        <f t="shared" si="4"/>
        <v>200601642</v>
      </c>
    </row>
    <row r="25">
      <c r="A25" s="38" t="s">
        <v>266</v>
      </c>
      <c r="B25" s="61" t="s">
        <v>43</v>
      </c>
      <c r="C25" s="62" t="s">
        <v>383</v>
      </c>
      <c r="D25" s="63" t="str">
        <f t="shared" si="1"/>
        <v>017</v>
      </c>
      <c r="E25" s="63">
        <f t="shared" si="2"/>
        <v>5</v>
      </c>
      <c r="F25" s="63">
        <f t="shared" si="3"/>
        <v>1</v>
      </c>
      <c r="G25" s="64" t="str">
        <f t="shared" si="4"/>
        <v>200601751</v>
      </c>
    </row>
    <row r="26">
      <c r="A26" s="43"/>
      <c r="B26" s="44"/>
      <c r="C26" s="45"/>
      <c r="D26" s="46" t="str">
        <f t="shared" si="1"/>
        <v>018</v>
      </c>
      <c r="E26" s="41">
        <f t="shared" si="2"/>
        <v>5</v>
      </c>
      <c r="F26" s="46">
        <f t="shared" si="3"/>
        <v>1</v>
      </c>
      <c r="G26" s="47" t="str">
        <f t="shared" si="4"/>
        <v>200601851</v>
      </c>
    </row>
    <row r="27">
      <c r="A27" s="43"/>
      <c r="B27" s="44"/>
      <c r="C27" s="45"/>
      <c r="D27" s="46" t="str">
        <f t="shared" si="1"/>
        <v>019</v>
      </c>
      <c r="E27" s="41">
        <f t="shared" si="2"/>
        <v>5</v>
      </c>
      <c r="F27" s="46">
        <f t="shared" si="3"/>
        <v>1</v>
      </c>
      <c r="G27" s="47" t="str">
        <f t="shared" si="4"/>
        <v>200601951</v>
      </c>
    </row>
    <row r="28">
      <c r="A28" s="43"/>
      <c r="B28" s="48"/>
      <c r="C28" s="49"/>
      <c r="D28" s="50" t="str">
        <f t="shared" si="1"/>
        <v>020</v>
      </c>
      <c r="E28" s="97">
        <f t="shared" si="2"/>
        <v>5</v>
      </c>
      <c r="F28" s="50">
        <f t="shared" si="3"/>
        <v>1</v>
      </c>
      <c r="G28" s="51" t="str">
        <f t="shared" si="4"/>
        <v>200602051</v>
      </c>
    </row>
    <row r="29">
      <c r="A29" s="43"/>
      <c r="B29" s="52" t="s">
        <v>44</v>
      </c>
      <c r="C29" s="53"/>
      <c r="D29" s="54" t="str">
        <f t="shared" si="1"/>
        <v>021</v>
      </c>
      <c r="E29" s="63">
        <f t="shared" si="2"/>
        <v>5</v>
      </c>
      <c r="F29" s="54">
        <f t="shared" si="3"/>
        <v>2</v>
      </c>
      <c r="G29" s="55" t="str">
        <f t="shared" si="4"/>
        <v>200602152</v>
      </c>
    </row>
    <row r="30">
      <c r="A30" s="43"/>
      <c r="B30" s="44"/>
      <c r="C30" s="45"/>
      <c r="D30" s="46" t="str">
        <f t="shared" si="1"/>
        <v>022</v>
      </c>
      <c r="E30" s="41">
        <f t="shared" si="2"/>
        <v>5</v>
      </c>
      <c r="F30" s="46">
        <f t="shared" si="3"/>
        <v>2</v>
      </c>
      <c r="G30" s="47" t="str">
        <f t="shared" si="4"/>
        <v>200602252</v>
      </c>
    </row>
    <row r="31">
      <c r="A31" s="43"/>
      <c r="B31" s="44"/>
      <c r="C31" s="45"/>
      <c r="D31" s="46" t="str">
        <f t="shared" si="1"/>
        <v>023</v>
      </c>
      <c r="E31" s="41">
        <f t="shared" si="2"/>
        <v>5</v>
      </c>
      <c r="F31" s="46">
        <f t="shared" si="3"/>
        <v>2</v>
      </c>
      <c r="G31" s="47" t="str">
        <f t="shared" si="4"/>
        <v>200602352</v>
      </c>
    </row>
    <row r="32">
      <c r="A32" s="56"/>
      <c r="B32" s="57"/>
      <c r="C32" s="58"/>
      <c r="D32" s="59" t="str">
        <f t="shared" si="1"/>
        <v>024</v>
      </c>
      <c r="E32" s="97">
        <f t="shared" si="2"/>
        <v>5</v>
      </c>
      <c r="F32" s="59">
        <f t="shared" si="3"/>
        <v>2</v>
      </c>
      <c r="G32" s="60" t="str">
        <f t="shared" si="4"/>
        <v>200602452</v>
      </c>
    </row>
    <row r="33">
      <c r="A33" s="38" t="s">
        <v>267</v>
      </c>
      <c r="B33" s="61" t="s">
        <v>43</v>
      </c>
      <c r="C33" s="62" t="s">
        <v>380</v>
      </c>
      <c r="D33" s="63" t="str">
        <f t="shared" si="1"/>
        <v>025</v>
      </c>
      <c r="E33" s="63">
        <f t="shared" si="2"/>
        <v>6</v>
      </c>
      <c r="F33" s="63">
        <f t="shared" si="3"/>
        <v>1</v>
      </c>
      <c r="G33" s="64" t="str">
        <f t="shared" si="4"/>
        <v>200602561</v>
      </c>
    </row>
    <row r="34">
      <c r="A34" s="43"/>
      <c r="B34" s="44"/>
      <c r="C34" s="45" t="s">
        <v>384</v>
      </c>
      <c r="D34" s="46" t="str">
        <f t="shared" si="1"/>
        <v>026</v>
      </c>
      <c r="E34" s="41">
        <f t="shared" si="2"/>
        <v>6</v>
      </c>
      <c r="F34" s="46">
        <f t="shared" si="3"/>
        <v>1</v>
      </c>
      <c r="G34" s="47" t="str">
        <f t="shared" si="4"/>
        <v>200602661</v>
      </c>
    </row>
    <row r="35">
      <c r="A35" s="43"/>
      <c r="B35" s="44"/>
      <c r="C35" s="45"/>
      <c r="D35" s="46" t="str">
        <f t="shared" si="1"/>
        <v>027</v>
      </c>
      <c r="E35" s="41">
        <f t="shared" si="2"/>
        <v>6</v>
      </c>
      <c r="F35" s="46">
        <f t="shared" si="3"/>
        <v>1</v>
      </c>
      <c r="G35" s="47" t="str">
        <f t="shared" si="4"/>
        <v>200602761</v>
      </c>
    </row>
    <row r="36">
      <c r="A36" s="43"/>
      <c r="B36" s="48"/>
      <c r="C36" s="49"/>
      <c r="D36" s="50" t="str">
        <f t="shared" si="1"/>
        <v>028</v>
      </c>
      <c r="E36" s="97">
        <f t="shared" si="2"/>
        <v>6</v>
      </c>
      <c r="F36" s="50">
        <f t="shared" si="3"/>
        <v>1</v>
      </c>
      <c r="G36" s="51" t="str">
        <f t="shared" si="4"/>
        <v>200602861</v>
      </c>
    </row>
    <row r="37">
      <c r="A37" s="43"/>
      <c r="B37" s="52" t="s">
        <v>44</v>
      </c>
      <c r="C37" s="53"/>
      <c r="D37" s="54" t="str">
        <f t="shared" si="1"/>
        <v>029</v>
      </c>
      <c r="E37" s="63">
        <f t="shared" si="2"/>
        <v>6</v>
      </c>
      <c r="F37" s="54">
        <f t="shared" si="3"/>
        <v>2</v>
      </c>
      <c r="G37" s="55" t="str">
        <f t="shared" si="4"/>
        <v>200602962</v>
      </c>
    </row>
    <row r="38">
      <c r="A38" s="43"/>
      <c r="B38" s="44"/>
      <c r="C38" s="45"/>
      <c r="D38" s="46" t="str">
        <f t="shared" si="1"/>
        <v>030</v>
      </c>
      <c r="E38" s="41">
        <f t="shared" si="2"/>
        <v>6</v>
      </c>
      <c r="F38" s="46">
        <f t="shared" si="3"/>
        <v>2</v>
      </c>
      <c r="G38" s="47" t="str">
        <f t="shared" si="4"/>
        <v>200603062</v>
      </c>
    </row>
    <row r="39">
      <c r="A39" s="43"/>
      <c r="B39" s="44"/>
      <c r="C39" s="45"/>
      <c r="D39" s="46" t="str">
        <f t="shared" si="1"/>
        <v>031</v>
      </c>
      <c r="E39" s="41">
        <f t="shared" si="2"/>
        <v>6</v>
      </c>
      <c r="F39" s="46">
        <f t="shared" si="3"/>
        <v>2</v>
      </c>
      <c r="G39" s="47" t="str">
        <f t="shared" si="4"/>
        <v>200603162</v>
      </c>
    </row>
    <row r="40">
      <c r="A40" s="56"/>
      <c r="B40" s="57"/>
      <c r="C40" s="58"/>
      <c r="D40" s="59" t="str">
        <f t="shared" si="1"/>
        <v>032</v>
      </c>
      <c r="E40" s="97">
        <f t="shared" si="2"/>
        <v>6</v>
      </c>
      <c r="F40" s="59">
        <f t="shared" si="3"/>
        <v>2</v>
      </c>
      <c r="G40" s="60" t="str">
        <f t="shared" si="4"/>
        <v>200603262</v>
      </c>
    </row>
    <row r="41">
      <c r="A41" s="65" t="s">
        <v>37</v>
      </c>
      <c r="B41" s="66"/>
      <c r="C41" s="67"/>
      <c r="D41" s="68" t="str">
        <f t="shared" si="1"/>
        <v>033</v>
      </c>
      <c r="E41" s="69">
        <f t="shared" ref="E41:E48" si="5">VLOOKUP($A41, $A$8:$E$40, 5)</f>
        <v>5</v>
      </c>
      <c r="F41" s="66"/>
      <c r="G41" s="70" t="str">
        <f t="shared" ref="G41:G48" si="6">CONCAT(CONCAT($C$2, D41), CONCAT(E41, 3))</f>
        <v>200603353</v>
      </c>
    </row>
    <row r="42">
      <c r="A42" s="98" t="s">
        <v>37</v>
      </c>
      <c r="B42" s="99"/>
      <c r="C42" s="100"/>
      <c r="D42" s="101" t="str">
        <f t="shared" si="1"/>
        <v>034</v>
      </c>
      <c r="E42" s="102">
        <f t="shared" si="5"/>
        <v>5</v>
      </c>
      <c r="F42" s="99"/>
      <c r="G42" s="103" t="str">
        <f t="shared" si="6"/>
        <v>200603453</v>
      </c>
    </row>
    <row r="43">
      <c r="A43" s="77" t="s">
        <v>37</v>
      </c>
      <c r="B43" s="78"/>
      <c r="C43" s="79"/>
      <c r="D43" s="80" t="str">
        <f t="shared" si="1"/>
        <v>035</v>
      </c>
      <c r="E43" s="81">
        <f t="shared" si="5"/>
        <v>5</v>
      </c>
      <c r="F43" s="78"/>
      <c r="G43" s="82" t="str">
        <f t="shared" si="6"/>
        <v>200603553</v>
      </c>
    </row>
    <row r="44">
      <c r="A44" s="98" t="s">
        <v>37</v>
      </c>
      <c r="B44" s="99"/>
      <c r="C44" s="104"/>
      <c r="D44" s="101" t="str">
        <f t="shared" si="1"/>
        <v>036</v>
      </c>
      <c r="E44" s="102">
        <f t="shared" si="5"/>
        <v>5</v>
      </c>
      <c r="F44" s="99"/>
      <c r="G44" s="103" t="str">
        <f t="shared" si="6"/>
        <v>200603653</v>
      </c>
    </row>
    <row r="45">
      <c r="A45" s="77" t="s">
        <v>37</v>
      </c>
      <c r="B45" s="78"/>
      <c r="C45" s="79"/>
      <c r="D45" s="80" t="str">
        <f t="shared" si="1"/>
        <v>037</v>
      </c>
      <c r="E45" s="81">
        <f t="shared" si="5"/>
        <v>5</v>
      </c>
      <c r="F45" s="78"/>
      <c r="G45" s="82" t="str">
        <f t="shared" si="6"/>
        <v>200603753</v>
      </c>
    </row>
    <row r="46">
      <c r="A46" s="98" t="s">
        <v>37</v>
      </c>
      <c r="B46" s="99"/>
      <c r="C46" s="100"/>
      <c r="D46" s="101" t="str">
        <f t="shared" si="1"/>
        <v>038</v>
      </c>
      <c r="E46" s="102">
        <f t="shared" si="5"/>
        <v>5</v>
      </c>
      <c r="F46" s="99"/>
      <c r="G46" s="103" t="str">
        <f t="shared" si="6"/>
        <v>200603853</v>
      </c>
    </row>
    <row r="47">
      <c r="A47" s="77" t="s">
        <v>37</v>
      </c>
      <c r="B47" s="78"/>
      <c r="C47" s="79"/>
      <c r="D47" s="80" t="str">
        <f t="shared" si="1"/>
        <v>039</v>
      </c>
      <c r="E47" s="81">
        <f t="shared" si="5"/>
        <v>5</v>
      </c>
      <c r="F47" s="78"/>
      <c r="G47" s="82" t="str">
        <f t="shared" si="6"/>
        <v>200603953</v>
      </c>
    </row>
    <row r="48">
      <c r="A48" s="105" t="s">
        <v>37</v>
      </c>
      <c r="B48" s="106"/>
      <c r="C48" s="107"/>
      <c r="D48" s="108" t="str">
        <f t="shared" si="1"/>
        <v>040</v>
      </c>
      <c r="E48" s="109">
        <f t="shared" si="5"/>
        <v>5</v>
      </c>
      <c r="F48" s="106"/>
      <c r="G48" s="110" t="str">
        <f t="shared" si="6"/>
        <v>200604053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'Palm Harbor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4</v>
      </c>
    </row>
    <row r="2">
      <c r="A2" s="27" t="s">
        <v>32</v>
      </c>
      <c r="C2" s="28" t="str">
        <f>VLOOKUP($C$1, 'School IDs'!$E$2:$F$10, 2)</f>
        <v/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/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01622</v>
      </c>
    </row>
    <row r="25">
      <c r="A25" s="38" t="s">
        <v>264</v>
      </c>
      <c r="B25" s="39" t="s">
        <v>43</v>
      </c>
      <c r="C25" s="62"/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01731</v>
      </c>
    </row>
    <row r="26">
      <c r="A26" s="43"/>
      <c r="B26" s="44"/>
      <c r="C26" s="45"/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01831</v>
      </c>
    </row>
    <row r="27">
      <c r="A27" s="43"/>
      <c r="B27" s="44"/>
      <c r="C27" s="45"/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01931</v>
      </c>
    </row>
    <row r="28">
      <c r="A28" s="43"/>
      <c r="B28" s="48"/>
      <c r="C28" s="49"/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02432</v>
      </c>
    </row>
    <row r="33">
      <c r="A33" s="38" t="s">
        <v>265</v>
      </c>
      <c r="B33" s="39" t="s">
        <v>43</v>
      </c>
      <c r="C33" s="62"/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02541</v>
      </c>
    </row>
    <row r="34">
      <c r="A34" s="43"/>
      <c r="B34" s="44"/>
      <c r="C34" s="45"/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02641</v>
      </c>
    </row>
    <row r="35">
      <c r="A35" s="43"/>
      <c r="B35" s="44"/>
      <c r="C35" s="45"/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02741</v>
      </c>
    </row>
    <row r="36">
      <c r="A36" s="43"/>
      <c r="B36" s="48"/>
      <c r="C36" s="49"/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02841</v>
      </c>
    </row>
    <row r="37">
      <c r="A37" s="43"/>
      <c r="B37" s="52" t="s">
        <v>44</v>
      </c>
      <c r="C37" s="53"/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02942</v>
      </c>
    </row>
    <row r="38">
      <c r="A38" s="43"/>
      <c r="B38" s="44"/>
      <c r="C38" s="45"/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03042</v>
      </c>
    </row>
    <row r="39">
      <c r="A39" s="43"/>
      <c r="B39" s="44"/>
      <c r="C39" s="45"/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03142</v>
      </c>
    </row>
    <row r="40">
      <c r="A40" s="56"/>
      <c r="B40" s="57"/>
      <c r="C40" s="58"/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03242</v>
      </c>
    </row>
    <row r="41">
      <c r="A41" s="38" t="s">
        <v>266</v>
      </c>
      <c r="B41" s="39" t="s">
        <v>43</v>
      </c>
      <c r="C41" s="62"/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03351</v>
      </c>
    </row>
    <row r="42">
      <c r="A42" s="43"/>
      <c r="B42" s="44"/>
      <c r="C42" s="45"/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03451</v>
      </c>
    </row>
    <row r="43">
      <c r="A43" s="43"/>
      <c r="B43" s="44"/>
      <c r="C43" s="45"/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03651</v>
      </c>
    </row>
    <row r="45">
      <c r="A45" s="43"/>
      <c r="B45" s="52" t="s">
        <v>44</v>
      </c>
      <c r="C45" s="53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03952</v>
      </c>
    </row>
    <row r="48">
      <c r="A48" s="56"/>
      <c r="B48" s="57"/>
      <c r="C48" s="58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04052</v>
      </c>
    </row>
    <row r="49">
      <c r="A49" s="38" t="s">
        <v>267</v>
      </c>
      <c r="B49" s="39" t="s">
        <v>43</v>
      </c>
      <c r="C49" s="62"/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04161</v>
      </c>
    </row>
    <row r="50">
      <c r="A50" s="43"/>
      <c r="B50" s="44"/>
      <c r="C50" s="45"/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04261</v>
      </c>
    </row>
    <row r="51">
      <c r="A51" s="43"/>
      <c r="B51" s="44"/>
      <c r="C51" s="45"/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04361</v>
      </c>
    </row>
    <row r="52">
      <c r="A52" s="43"/>
      <c r="B52" s="48"/>
      <c r="C52" s="49"/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04862</v>
      </c>
    </row>
    <row r="57">
      <c r="A57" s="65" t="s">
        <v>42</v>
      </c>
      <c r="B57" s="66"/>
      <c r="C57" s="67"/>
      <c r="D57" s="68" t="str">
        <f t="shared" si="1"/>
        <v>049</v>
      </c>
      <c r="E57" s="69">
        <f t="shared" ref="E57:E58" si="5">VLOOKUP($A57, $A$8:$E$24, 5)</f>
        <v>1</v>
      </c>
      <c r="F57" s="66"/>
      <c r="G57" s="70" t="str">
        <f t="shared" ref="G57:G64" si="6">CONCAT(CONCAT($C$2, D57), CONCAT(E57, 3))</f>
        <v>04913</v>
      </c>
    </row>
    <row r="58">
      <c r="A58" s="126" t="s">
        <v>37</v>
      </c>
      <c r="B58" s="127"/>
      <c r="C58" s="128"/>
      <c r="D58" s="129" t="str">
        <f t="shared" si="1"/>
        <v>050</v>
      </c>
      <c r="E58" s="130">
        <f t="shared" si="5"/>
        <v>2</v>
      </c>
      <c r="F58" s="127"/>
      <c r="G58" s="131" t="str">
        <f t="shared" si="6"/>
        <v>05023</v>
      </c>
    </row>
    <row r="59">
      <c r="A59" s="77" t="s">
        <v>267</v>
      </c>
      <c r="B59" s="78"/>
      <c r="C59" s="79"/>
      <c r="D59" s="80" t="str">
        <f t="shared" si="1"/>
        <v>051</v>
      </c>
      <c r="E59" s="81">
        <f t="shared" ref="E59:E64" si="7">VLOOKUP($A59, $A$7:$E$56, 5)</f>
        <v>6</v>
      </c>
      <c r="F59" s="78"/>
      <c r="G59" s="82" t="str">
        <f t="shared" si="6"/>
        <v>05163</v>
      </c>
    </row>
    <row r="60">
      <c r="A60" s="126" t="s">
        <v>37</v>
      </c>
      <c r="B60" s="127"/>
      <c r="C60" s="132"/>
      <c r="D60" s="129" t="str">
        <f t="shared" si="1"/>
        <v>052</v>
      </c>
      <c r="E60" s="130">
        <f t="shared" si="7"/>
        <v>5</v>
      </c>
      <c r="F60" s="127"/>
      <c r="G60" s="131" t="str">
        <f t="shared" si="6"/>
        <v>05253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A57:A64">
      <formula1>'Charter School Template'!$A$8:$A$56</formula1>
    </dataValidation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385</v>
      </c>
      <c r="C1" s="28" t="s">
        <v>7</v>
      </c>
    </row>
    <row r="2">
      <c r="A2" s="27" t="s">
        <v>32</v>
      </c>
      <c r="C2" s="28">
        <f>VLOOKUP($C$1, 'School IDs'!$E$2:$F$10, 2)</f>
        <v>3001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386</v>
      </c>
      <c r="E4" s="33" t="str">
        <f>IFERROR(__xludf.DUMMYFUNCTION("IFERROR(FILTER($G$9:$G$100, $C$9:$C$100=D4), ""NONE SELECTED"")"),"300102541")</f>
        <v>300102541</v>
      </c>
      <c r="F4" s="30"/>
      <c r="G4" s="31"/>
    </row>
    <row r="5">
      <c r="A5" s="34" t="s">
        <v>35</v>
      </c>
      <c r="B5" s="30"/>
      <c r="C5" s="31"/>
      <c r="D5" s="32" t="s">
        <v>387</v>
      </c>
      <c r="E5" s="33" t="str">
        <f>IFERROR(__xludf.DUMMYFUNCTION("IFERROR(FILTER($G$9:$G$100, $C$9:$C$100=D5), ""NONE SELECTED"")"),"300103551")</f>
        <v>300103551</v>
      </c>
      <c r="F5" s="30"/>
      <c r="G5" s="31"/>
    </row>
    <row r="6">
      <c r="A6" s="35" t="s">
        <v>36</v>
      </c>
      <c r="B6" s="30"/>
      <c r="C6" s="31"/>
      <c r="D6" s="32" t="s">
        <v>388</v>
      </c>
      <c r="E6" s="33" t="str">
        <f>IFERROR(__xludf.DUMMYFUNCTION("IFERROR(FILTER($G$9:$G$100, $C$9:$C$100=D6), ""NONE SELECTED"")"),"300102641")</f>
        <v>300102641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53" t="s">
        <v>389</v>
      </c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300100111</v>
      </c>
    </row>
    <row r="10">
      <c r="A10" s="43"/>
      <c r="B10" s="44"/>
      <c r="C10" s="45" t="s">
        <v>390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300100211</v>
      </c>
    </row>
    <row r="11">
      <c r="A11" s="43"/>
      <c r="B11" s="44"/>
      <c r="C11" s="45" t="s">
        <v>391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300100311</v>
      </c>
    </row>
    <row r="12">
      <c r="A12" s="43"/>
      <c r="B12" s="48"/>
      <c r="C12" s="45" t="s">
        <v>392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300100411</v>
      </c>
    </row>
    <row r="13">
      <c r="A13" s="43"/>
      <c r="B13" s="52" t="s">
        <v>44</v>
      </c>
      <c r="C13" s="49" t="s">
        <v>393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300100512</v>
      </c>
    </row>
    <row r="14">
      <c r="A14" s="43"/>
      <c r="B14" s="44"/>
      <c r="C14" s="45" t="s">
        <v>394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300100612</v>
      </c>
    </row>
    <row r="15">
      <c r="A15" s="43"/>
      <c r="B15" s="44"/>
      <c r="C15" s="27" t="s">
        <v>395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300100712</v>
      </c>
    </row>
    <row r="16">
      <c r="A16" s="56"/>
      <c r="B16" s="57"/>
      <c r="C16" s="58" t="s">
        <v>396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300100812</v>
      </c>
    </row>
    <row r="17">
      <c r="A17" s="38" t="s">
        <v>45</v>
      </c>
      <c r="B17" s="61" t="s">
        <v>43</v>
      </c>
      <c r="C17" s="45" t="s">
        <v>397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300100921</v>
      </c>
    </row>
    <row r="18">
      <c r="A18" s="43"/>
      <c r="B18" s="44"/>
      <c r="C18" s="45" t="s">
        <v>398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300101021</v>
      </c>
    </row>
    <row r="19">
      <c r="A19" s="43"/>
      <c r="B19" s="44"/>
      <c r="C19" s="45" t="s">
        <v>399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300101121</v>
      </c>
    </row>
    <row r="20">
      <c r="A20" s="43"/>
      <c r="B20" s="48"/>
      <c r="C20" s="49" t="s">
        <v>400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300101221</v>
      </c>
    </row>
    <row r="21">
      <c r="A21" s="43"/>
      <c r="B21" s="52" t="s">
        <v>44</v>
      </c>
      <c r="C21" s="53" t="s">
        <v>401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300101322</v>
      </c>
    </row>
    <row r="22">
      <c r="A22" s="43"/>
      <c r="B22" s="44"/>
      <c r="C22" s="27" t="s">
        <v>402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300101422</v>
      </c>
    </row>
    <row r="23">
      <c r="A23" s="43"/>
      <c r="B23" s="44"/>
      <c r="C23" s="45" t="s">
        <v>403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300101522</v>
      </c>
    </row>
    <row r="24">
      <c r="A24" s="56"/>
      <c r="B24" s="57"/>
      <c r="C24" s="45" t="s">
        <v>404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300101622</v>
      </c>
    </row>
    <row r="25">
      <c r="A25" s="38" t="s">
        <v>264</v>
      </c>
      <c r="B25" s="39" t="s">
        <v>43</v>
      </c>
      <c r="C25" s="40" t="s">
        <v>405</v>
      </c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300101731</v>
      </c>
    </row>
    <row r="26">
      <c r="A26" s="43"/>
      <c r="B26" s="44"/>
      <c r="C26" s="45" t="s">
        <v>406</v>
      </c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300101831</v>
      </c>
    </row>
    <row r="27">
      <c r="A27" s="43"/>
      <c r="B27" s="44"/>
      <c r="C27" s="45" t="s">
        <v>407</v>
      </c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300101931</v>
      </c>
    </row>
    <row r="28">
      <c r="A28" s="43"/>
      <c r="B28" s="48"/>
      <c r="C28" s="49"/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300102031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300102132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300102232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300102332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300102432</v>
      </c>
    </row>
    <row r="33">
      <c r="A33" s="38" t="s">
        <v>265</v>
      </c>
      <c r="B33" s="39" t="s">
        <v>43</v>
      </c>
      <c r="C33" s="62" t="s">
        <v>386</v>
      </c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300102541</v>
      </c>
    </row>
    <row r="34">
      <c r="A34" s="43"/>
      <c r="B34" s="44"/>
      <c r="C34" s="49" t="s">
        <v>388</v>
      </c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300102641</v>
      </c>
    </row>
    <row r="35">
      <c r="A35" s="43"/>
      <c r="B35" s="44"/>
      <c r="C35" s="53" t="s">
        <v>408</v>
      </c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300102741</v>
      </c>
    </row>
    <row r="36">
      <c r="A36" s="43"/>
      <c r="B36" s="48"/>
      <c r="C36" s="45" t="s">
        <v>409</v>
      </c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300102841</v>
      </c>
    </row>
    <row r="37">
      <c r="A37" s="43"/>
      <c r="B37" s="52" t="s">
        <v>44</v>
      </c>
      <c r="C37" s="45" t="s">
        <v>410</v>
      </c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300102942</v>
      </c>
    </row>
    <row r="38">
      <c r="A38" s="43"/>
      <c r="B38" s="44"/>
      <c r="C38" s="45" t="s">
        <v>411</v>
      </c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300103042</v>
      </c>
    </row>
    <row r="39">
      <c r="A39" s="43"/>
      <c r="B39" s="44"/>
      <c r="C39" s="45" t="s">
        <v>412</v>
      </c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300103142</v>
      </c>
    </row>
    <row r="40">
      <c r="A40" s="56"/>
      <c r="B40" s="57"/>
      <c r="C40" s="58" t="s">
        <v>413</v>
      </c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300103242</v>
      </c>
    </row>
    <row r="41">
      <c r="A41" s="38" t="s">
        <v>266</v>
      </c>
      <c r="B41" s="39" t="s">
        <v>43</v>
      </c>
      <c r="C41" s="62" t="s">
        <v>414</v>
      </c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300103351</v>
      </c>
    </row>
    <row r="42">
      <c r="A42" s="43"/>
      <c r="B42" s="44"/>
      <c r="C42" s="45" t="s">
        <v>415</v>
      </c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300103451</v>
      </c>
    </row>
    <row r="43">
      <c r="A43" s="43"/>
      <c r="B43" s="44"/>
      <c r="C43" s="45" t="s">
        <v>387</v>
      </c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300103551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300103651</v>
      </c>
    </row>
    <row r="45">
      <c r="A45" s="43"/>
      <c r="B45" s="52" t="s">
        <v>44</v>
      </c>
      <c r="C45" s="49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300103752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300103852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300103952</v>
      </c>
    </row>
    <row r="48">
      <c r="A48" s="56"/>
      <c r="B48" s="57"/>
      <c r="C48" s="45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300104052</v>
      </c>
    </row>
    <row r="49">
      <c r="A49" s="38" t="s">
        <v>267</v>
      </c>
      <c r="B49" s="39" t="s">
        <v>43</v>
      </c>
      <c r="C49" s="62" t="s">
        <v>416</v>
      </c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300104161</v>
      </c>
    </row>
    <row r="50">
      <c r="A50" s="43"/>
      <c r="B50" s="44"/>
      <c r="C50" s="45"/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300104261</v>
      </c>
    </row>
    <row r="51">
      <c r="A51" s="43"/>
      <c r="B51" s="44"/>
      <c r="C51" s="45"/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300104361</v>
      </c>
    </row>
    <row r="52">
      <c r="A52" s="43"/>
      <c r="B52" s="48"/>
      <c r="C52" s="49"/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300104461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300104562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300104662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300104762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300104862</v>
      </c>
    </row>
    <row r="57">
      <c r="A57" s="65" t="s">
        <v>37</v>
      </c>
      <c r="B57" s="66"/>
      <c r="C57" s="91" t="s">
        <v>417</v>
      </c>
      <c r="D57" s="68" t="str">
        <f t="shared" si="1"/>
        <v>049</v>
      </c>
      <c r="E57" s="69">
        <f t="shared" ref="E57:E58" si="5">VLOOKUP($A57, $A$8:$E$56, 5)</f>
        <v>5</v>
      </c>
      <c r="F57" s="66"/>
      <c r="G57" s="70" t="str">
        <f t="shared" ref="G57:G64" si="6">CONCAT(CONCAT($C$2, D57), CONCAT(E57, 3))</f>
        <v>300104953</v>
      </c>
    </row>
    <row r="58">
      <c r="A58" s="126" t="s">
        <v>37</v>
      </c>
      <c r="B58" s="127"/>
      <c r="C58" s="132"/>
      <c r="D58" s="129" t="str">
        <f t="shared" si="1"/>
        <v>050</v>
      </c>
      <c r="E58" s="130">
        <f t="shared" si="5"/>
        <v>5</v>
      </c>
      <c r="F58" s="127"/>
      <c r="G58" s="131" t="str">
        <f t="shared" si="6"/>
        <v>300105053</v>
      </c>
    </row>
    <row r="59">
      <c r="A59" s="77" t="s">
        <v>37</v>
      </c>
      <c r="B59" s="78"/>
      <c r="C59" s="92"/>
      <c r="D59" s="80" t="str">
        <f t="shared" si="1"/>
        <v>051</v>
      </c>
      <c r="E59" s="81">
        <f t="shared" ref="E59:E64" si="7">VLOOKUP($A59, $A$7:$E$56, 5)</f>
        <v>5</v>
      </c>
      <c r="F59" s="78"/>
      <c r="G59" s="82" t="str">
        <f t="shared" si="6"/>
        <v>300105153</v>
      </c>
    </row>
    <row r="60">
      <c r="A60" s="126" t="s">
        <v>265</v>
      </c>
      <c r="B60" s="127"/>
      <c r="C60" s="132" t="s">
        <v>418</v>
      </c>
      <c r="D60" s="129" t="str">
        <f t="shared" si="1"/>
        <v>052</v>
      </c>
      <c r="E60" s="130">
        <f t="shared" si="7"/>
        <v>4</v>
      </c>
      <c r="F60" s="127"/>
      <c r="G60" s="131" t="str">
        <f t="shared" si="6"/>
        <v>300105243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300105353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300105453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300105553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300105653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  <dataValidation type="list" allowBlank="1" showErrorMessage="1" sqref="A57:A64">
      <formula1>'Discovery Academy of Science'!$A$8:$A$56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2</v>
      </c>
    </row>
    <row r="2">
      <c r="A2" s="27" t="s">
        <v>32</v>
      </c>
      <c r="C2" s="28">
        <f>VLOOKUP($C$1, 'School IDs'!$A$2:$B$23, 2)</f>
        <v>1003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34</v>
      </c>
      <c r="E6" s="33" t="str">
        <f>IFERROR(__xludf.DUMMYFUNCTION("IFERROR(FILTER($G$9:$G$100, $C$9:$C$100=D6), ""NONE SELECTED"")"),"NONE SELECTED")</f>
        <v>NONE SELECTED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/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100300111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100300211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100300311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100300411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100300512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100300612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100300712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100300812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100300921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100301021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100301121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100301221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100301322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100301422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100301522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100301622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100301723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100301823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100301923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100302023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100302123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100302223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100302323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100302423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'Elementary School Template'!$A$8:$A$24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10</v>
      </c>
    </row>
    <row r="2">
      <c r="A2" s="27" t="s">
        <v>32</v>
      </c>
      <c r="C2" s="28">
        <f>VLOOKUP($C$1, 'School IDs'!$E$2:$F$10, 2)</f>
        <v>3002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419</v>
      </c>
      <c r="E6" s="33" t="str">
        <f>IFERROR(__xludf.DUMMYFUNCTION("IFERROR(FILTER($G$9:$G$100, $C$9:$C$100=D6), ""NONE SELECTED"")"),"300200111")</f>
        <v>300200111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419</v>
      </c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300200111</v>
      </c>
    </row>
    <row r="10">
      <c r="A10" s="43"/>
      <c r="B10" s="44"/>
      <c r="C10" s="45"/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300200211</v>
      </c>
    </row>
    <row r="11">
      <c r="A11" s="43"/>
      <c r="B11" s="44"/>
      <c r="C11" s="45"/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300200311</v>
      </c>
    </row>
    <row r="12">
      <c r="A12" s="43"/>
      <c r="B12" s="48"/>
      <c r="C12" s="49"/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300200411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300200512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300200612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300200712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300200812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300200921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300201021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300201121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300201221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300201322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300201422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300201522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300201622</v>
      </c>
    </row>
    <row r="25">
      <c r="A25" s="38" t="s">
        <v>264</v>
      </c>
      <c r="B25" s="39" t="s">
        <v>43</v>
      </c>
      <c r="C25" s="62"/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300201731</v>
      </c>
    </row>
    <row r="26">
      <c r="A26" s="43"/>
      <c r="B26" s="44"/>
      <c r="C26" s="45"/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300201831</v>
      </c>
    </row>
    <row r="27">
      <c r="A27" s="43"/>
      <c r="B27" s="44"/>
      <c r="C27" s="45"/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300201931</v>
      </c>
    </row>
    <row r="28">
      <c r="A28" s="43"/>
      <c r="B28" s="48"/>
      <c r="C28" s="49"/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300202031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300202132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300202232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300202332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300202432</v>
      </c>
    </row>
    <row r="33">
      <c r="A33" s="38" t="s">
        <v>265</v>
      </c>
      <c r="B33" s="39" t="s">
        <v>43</v>
      </c>
      <c r="C33" s="62"/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300202541</v>
      </c>
    </row>
    <row r="34">
      <c r="A34" s="43"/>
      <c r="B34" s="44"/>
      <c r="C34" s="45"/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300202641</v>
      </c>
    </row>
    <row r="35">
      <c r="A35" s="43"/>
      <c r="B35" s="44"/>
      <c r="C35" s="45"/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300202741</v>
      </c>
    </row>
    <row r="36">
      <c r="A36" s="43"/>
      <c r="B36" s="48"/>
      <c r="C36" s="49"/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300202841</v>
      </c>
    </row>
    <row r="37">
      <c r="A37" s="43"/>
      <c r="B37" s="52" t="s">
        <v>44</v>
      </c>
      <c r="C37" s="53"/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300202942</v>
      </c>
    </row>
    <row r="38">
      <c r="A38" s="43"/>
      <c r="B38" s="44"/>
      <c r="C38" s="45"/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300203042</v>
      </c>
    </row>
    <row r="39">
      <c r="A39" s="43"/>
      <c r="B39" s="44"/>
      <c r="C39" s="45"/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300203142</v>
      </c>
    </row>
    <row r="40">
      <c r="A40" s="56"/>
      <c r="B40" s="57"/>
      <c r="C40" s="58"/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300203242</v>
      </c>
    </row>
    <row r="41">
      <c r="A41" s="38" t="s">
        <v>266</v>
      </c>
      <c r="B41" s="39" t="s">
        <v>43</v>
      </c>
      <c r="C41" s="62"/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300203351</v>
      </c>
    </row>
    <row r="42">
      <c r="A42" s="43"/>
      <c r="B42" s="44"/>
      <c r="C42" s="45"/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300203451</v>
      </c>
    </row>
    <row r="43">
      <c r="A43" s="43"/>
      <c r="B43" s="44"/>
      <c r="C43" s="45"/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300203551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300203651</v>
      </c>
    </row>
    <row r="45">
      <c r="A45" s="43"/>
      <c r="B45" s="52" t="s">
        <v>44</v>
      </c>
      <c r="C45" s="53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300203752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300203852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300203952</v>
      </c>
    </row>
    <row r="48">
      <c r="A48" s="56"/>
      <c r="B48" s="57"/>
      <c r="C48" s="58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300204052</v>
      </c>
    </row>
    <row r="49">
      <c r="A49" s="38" t="s">
        <v>267</v>
      </c>
      <c r="B49" s="39" t="s">
        <v>43</v>
      </c>
      <c r="C49" s="62"/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300204161</v>
      </c>
    </row>
    <row r="50">
      <c r="A50" s="43"/>
      <c r="B50" s="44"/>
      <c r="C50" s="45"/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300204261</v>
      </c>
    </row>
    <row r="51">
      <c r="A51" s="43"/>
      <c r="B51" s="44"/>
      <c r="C51" s="45"/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300204361</v>
      </c>
    </row>
    <row r="52">
      <c r="A52" s="43"/>
      <c r="B52" s="48"/>
      <c r="C52" s="49"/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300204461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300204562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300204662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300204762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300204862</v>
      </c>
    </row>
    <row r="57">
      <c r="A57" s="65" t="s">
        <v>37</v>
      </c>
      <c r="B57" s="66"/>
      <c r="C57" s="67"/>
      <c r="D57" s="68" t="str">
        <f t="shared" si="1"/>
        <v>049</v>
      </c>
      <c r="E57" s="69">
        <f t="shared" ref="E57:E58" si="5">VLOOKUP($A57, $A$8:$E$56, 5)</f>
        <v>5</v>
      </c>
      <c r="F57" s="66"/>
      <c r="G57" s="70" t="str">
        <f t="shared" ref="G57:G64" si="6">CONCAT(CONCAT($C$2, D57), CONCAT(E57, 3))</f>
        <v>300204953</v>
      </c>
    </row>
    <row r="58">
      <c r="A58" s="126" t="s">
        <v>37</v>
      </c>
      <c r="B58" s="127"/>
      <c r="C58" s="128"/>
      <c r="D58" s="129" t="str">
        <f t="shared" si="1"/>
        <v>050</v>
      </c>
      <c r="E58" s="130">
        <f t="shared" si="5"/>
        <v>5</v>
      </c>
      <c r="F58" s="127"/>
      <c r="G58" s="131" t="str">
        <f t="shared" si="6"/>
        <v>300205053</v>
      </c>
    </row>
    <row r="59">
      <c r="A59" s="77" t="s">
        <v>37</v>
      </c>
      <c r="B59" s="78"/>
      <c r="C59" s="79"/>
      <c r="D59" s="80" t="str">
        <f t="shared" si="1"/>
        <v>051</v>
      </c>
      <c r="E59" s="81">
        <f t="shared" ref="E59:E64" si="7">VLOOKUP($A59, $A$7:$E$56, 5)</f>
        <v>5</v>
      </c>
      <c r="F59" s="78"/>
      <c r="G59" s="82" t="str">
        <f t="shared" si="6"/>
        <v>300205153</v>
      </c>
    </row>
    <row r="60">
      <c r="A60" s="126" t="s">
        <v>37</v>
      </c>
      <c r="B60" s="127"/>
      <c r="C60" s="132"/>
      <c r="D60" s="129" t="str">
        <f t="shared" si="1"/>
        <v>052</v>
      </c>
      <c r="E60" s="130">
        <f t="shared" si="7"/>
        <v>5</v>
      </c>
      <c r="F60" s="127"/>
      <c r="G60" s="131" t="str">
        <f t="shared" si="6"/>
        <v>300205253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300205353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300205453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300205553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300205653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  <dataValidation type="list" allowBlank="1" showErrorMessage="1" sqref="A57:A64">
      <formula1>'Gulf Coast Classical Academy'!$A$8:$A$56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13</v>
      </c>
    </row>
    <row r="2">
      <c r="A2" s="27" t="s">
        <v>32</v>
      </c>
      <c r="C2" s="28">
        <f>VLOOKUP($C$1, 'School IDs'!$E$2:$F$10, 2)</f>
        <v>3003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34</v>
      </c>
      <c r="E4" s="33" t="str">
        <f>IFERROR(__xludf.DUMMYFUNCTION("IFERROR(FILTER($G$9:$G$100, $C$9:$C$100=D4), ""NONE SELECTED"")"),"NONE SELECTED")</f>
        <v>NONE SELECTED</v>
      </c>
      <c r="F4" s="30"/>
      <c r="G4" s="31"/>
    </row>
    <row r="5">
      <c r="A5" s="34" t="s">
        <v>35</v>
      </c>
      <c r="B5" s="30"/>
      <c r="C5" s="31"/>
      <c r="D5" s="32" t="s">
        <v>420</v>
      </c>
      <c r="E5" s="33" t="str">
        <f>IFERROR(__xludf.DUMMYFUNCTION("IFERROR(FILTER($G$9:$G$100, $C$9:$C$100=D5), ""NONE SELECTED"")"),"300301931")</f>
        <v>300301931</v>
      </c>
      <c r="F5" s="30"/>
      <c r="G5" s="31"/>
    </row>
    <row r="6">
      <c r="A6" s="35" t="s">
        <v>36</v>
      </c>
      <c r="B6" s="30"/>
      <c r="C6" s="31"/>
      <c r="D6" s="32" t="s">
        <v>421</v>
      </c>
      <c r="E6" s="33" t="str">
        <f>IFERROR(__xludf.DUMMYFUNCTION("IFERROR(FILTER($G$9:$G$100, $C$9:$C$100=D6), ""NONE SELECTED"")"),"300302641")</f>
        <v>300302641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422</v>
      </c>
      <c r="D9" s="41" t="str">
        <f t="shared" ref="D9:D64" si="1">TEXT(ROW(D9)-ROW($D$9)+1, "000")</f>
        <v>001</v>
      </c>
      <c r="E9" s="41">
        <f t="shared" ref="E9:E56" si="2">_xlfn.FLOOR.MATH(ROW(D9)-ROW($D$9), 8)/8 + 1</f>
        <v>1</v>
      </c>
      <c r="F9" s="41">
        <f t="shared" ref="F9:F56" si="3">MOD(_xlfn.FLOOR.MATH(ROW(D9)-ROW($D$9), 4)/4, 2) + 1</f>
        <v>1</v>
      </c>
      <c r="G9" s="42" t="str">
        <f t="shared" ref="G9:G56" si="4">CONCAT(CONCAT($C$2, D9), CONCAT(E9, F9))</f>
        <v>300300111</v>
      </c>
    </row>
    <row r="10">
      <c r="A10" s="43"/>
      <c r="B10" s="44"/>
      <c r="C10" s="45" t="s">
        <v>423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300300211</v>
      </c>
    </row>
    <row r="11">
      <c r="A11" s="43"/>
      <c r="B11" s="44"/>
      <c r="C11" s="45" t="s">
        <v>424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300300311</v>
      </c>
    </row>
    <row r="12">
      <c r="A12" s="43"/>
      <c r="B12" s="48"/>
      <c r="C12" s="49" t="s">
        <v>425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300300411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300300512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300300612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300300712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300300812</v>
      </c>
    </row>
    <row r="17">
      <c r="A17" s="38" t="s">
        <v>45</v>
      </c>
      <c r="B17" s="61" t="s">
        <v>43</v>
      </c>
      <c r="C17" s="62" t="s">
        <v>426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300300921</v>
      </c>
    </row>
    <row r="18">
      <c r="A18" s="43"/>
      <c r="B18" s="44"/>
      <c r="C18" s="45" t="s">
        <v>427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300301021</v>
      </c>
    </row>
    <row r="19">
      <c r="A19" s="43"/>
      <c r="B19" s="44"/>
      <c r="C19" s="45" t="s">
        <v>428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300301121</v>
      </c>
    </row>
    <row r="20">
      <c r="A20" s="43"/>
      <c r="B20" s="48"/>
      <c r="C20" s="49" t="s">
        <v>429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300301221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300301322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300301422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300301522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300301622</v>
      </c>
    </row>
    <row r="25">
      <c r="A25" s="38" t="s">
        <v>264</v>
      </c>
      <c r="B25" s="39" t="s">
        <v>43</v>
      </c>
      <c r="C25" s="62" t="s">
        <v>430</v>
      </c>
      <c r="D25" s="63" t="str">
        <f t="shared" si="1"/>
        <v>017</v>
      </c>
      <c r="E25" s="63">
        <f t="shared" si="2"/>
        <v>3</v>
      </c>
      <c r="F25" s="63">
        <f t="shared" si="3"/>
        <v>1</v>
      </c>
      <c r="G25" s="64" t="str">
        <f t="shared" si="4"/>
        <v>300301731</v>
      </c>
    </row>
    <row r="26">
      <c r="A26" s="43"/>
      <c r="B26" s="44"/>
      <c r="C26" s="45" t="s">
        <v>431</v>
      </c>
      <c r="D26" s="46" t="str">
        <f t="shared" si="1"/>
        <v>018</v>
      </c>
      <c r="E26" s="46">
        <f t="shared" si="2"/>
        <v>3</v>
      </c>
      <c r="F26" s="46">
        <f t="shared" si="3"/>
        <v>1</v>
      </c>
      <c r="G26" s="47" t="str">
        <f t="shared" si="4"/>
        <v>300301831</v>
      </c>
    </row>
    <row r="27">
      <c r="A27" s="43"/>
      <c r="B27" s="44"/>
      <c r="C27" s="45" t="s">
        <v>420</v>
      </c>
      <c r="D27" s="46" t="str">
        <f t="shared" si="1"/>
        <v>019</v>
      </c>
      <c r="E27" s="46">
        <f t="shared" si="2"/>
        <v>3</v>
      </c>
      <c r="F27" s="46">
        <f t="shared" si="3"/>
        <v>1</v>
      </c>
      <c r="G27" s="47" t="str">
        <f t="shared" si="4"/>
        <v>300301931</v>
      </c>
    </row>
    <row r="28">
      <c r="A28" s="43"/>
      <c r="B28" s="48"/>
      <c r="C28" s="49" t="s">
        <v>432</v>
      </c>
      <c r="D28" s="50" t="str">
        <f t="shared" si="1"/>
        <v>020</v>
      </c>
      <c r="E28" s="50">
        <f t="shared" si="2"/>
        <v>3</v>
      </c>
      <c r="F28" s="50">
        <f t="shared" si="3"/>
        <v>1</v>
      </c>
      <c r="G28" s="51" t="str">
        <f t="shared" si="4"/>
        <v>300302031</v>
      </c>
    </row>
    <row r="29">
      <c r="A29" s="43"/>
      <c r="B29" s="52" t="s">
        <v>44</v>
      </c>
      <c r="C29" s="53"/>
      <c r="D29" s="54" t="str">
        <f t="shared" si="1"/>
        <v>021</v>
      </c>
      <c r="E29" s="54">
        <f t="shared" si="2"/>
        <v>3</v>
      </c>
      <c r="F29" s="54">
        <f t="shared" si="3"/>
        <v>2</v>
      </c>
      <c r="G29" s="55" t="str">
        <f t="shared" si="4"/>
        <v>300302132</v>
      </c>
    </row>
    <row r="30">
      <c r="A30" s="43"/>
      <c r="B30" s="44"/>
      <c r="C30" s="45"/>
      <c r="D30" s="46" t="str">
        <f t="shared" si="1"/>
        <v>022</v>
      </c>
      <c r="E30" s="46">
        <f t="shared" si="2"/>
        <v>3</v>
      </c>
      <c r="F30" s="46">
        <f t="shared" si="3"/>
        <v>2</v>
      </c>
      <c r="G30" s="47" t="str">
        <f t="shared" si="4"/>
        <v>300302232</v>
      </c>
    </row>
    <row r="31">
      <c r="A31" s="43"/>
      <c r="B31" s="44"/>
      <c r="C31" s="45"/>
      <c r="D31" s="46" t="str">
        <f t="shared" si="1"/>
        <v>023</v>
      </c>
      <c r="E31" s="46">
        <f t="shared" si="2"/>
        <v>3</v>
      </c>
      <c r="F31" s="46">
        <f t="shared" si="3"/>
        <v>2</v>
      </c>
      <c r="G31" s="47" t="str">
        <f t="shared" si="4"/>
        <v>300302332</v>
      </c>
    </row>
    <row r="32">
      <c r="A32" s="56"/>
      <c r="B32" s="57"/>
      <c r="C32" s="58"/>
      <c r="D32" s="59" t="str">
        <f t="shared" si="1"/>
        <v>024</v>
      </c>
      <c r="E32" s="59">
        <f t="shared" si="2"/>
        <v>3</v>
      </c>
      <c r="F32" s="59">
        <f t="shared" si="3"/>
        <v>2</v>
      </c>
      <c r="G32" s="60" t="str">
        <f t="shared" si="4"/>
        <v>300302432</v>
      </c>
    </row>
    <row r="33">
      <c r="A33" s="38" t="s">
        <v>265</v>
      </c>
      <c r="B33" s="39" t="s">
        <v>43</v>
      </c>
      <c r="C33" s="62" t="s">
        <v>433</v>
      </c>
      <c r="D33" s="63" t="str">
        <f t="shared" si="1"/>
        <v>025</v>
      </c>
      <c r="E33" s="63">
        <f t="shared" si="2"/>
        <v>4</v>
      </c>
      <c r="F33" s="63">
        <f t="shared" si="3"/>
        <v>1</v>
      </c>
      <c r="G33" s="64" t="str">
        <f t="shared" si="4"/>
        <v>300302541</v>
      </c>
    </row>
    <row r="34">
      <c r="A34" s="43"/>
      <c r="B34" s="44"/>
      <c r="C34" s="45" t="s">
        <v>421</v>
      </c>
      <c r="D34" s="46" t="str">
        <f t="shared" si="1"/>
        <v>026</v>
      </c>
      <c r="E34" s="46">
        <f t="shared" si="2"/>
        <v>4</v>
      </c>
      <c r="F34" s="46">
        <f t="shared" si="3"/>
        <v>1</v>
      </c>
      <c r="G34" s="47" t="str">
        <f t="shared" si="4"/>
        <v>300302641</v>
      </c>
    </row>
    <row r="35">
      <c r="A35" s="43"/>
      <c r="B35" s="44"/>
      <c r="C35" s="45" t="s">
        <v>434</v>
      </c>
      <c r="D35" s="46" t="str">
        <f t="shared" si="1"/>
        <v>027</v>
      </c>
      <c r="E35" s="46">
        <f t="shared" si="2"/>
        <v>4</v>
      </c>
      <c r="F35" s="46">
        <f t="shared" si="3"/>
        <v>1</v>
      </c>
      <c r="G35" s="47" t="str">
        <f t="shared" si="4"/>
        <v>300302741</v>
      </c>
    </row>
    <row r="36">
      <c r="A36" s="43"/>
      <c r="B36" s="48"/>
      <c r="C36" s="49" t="s">
        <v>435</v>
      </c>
      <c r="D36" s="50" t="str">
        <f t="shared" si="1"/>
        <v>028</v>
      </c>
      <c r="E36" s="50">
        <f t="shared" si="2"/>
        <v>4</v>
      </c>
      <c r="F36" s="50">
        <f t="shared" si="3"/>
        <v>1</v>
      </c>
      <c r="G36" s="51" t="str">
        <f t="shared" si="4"/>
        <v>300302841</v>
      </c>
    </row>
    <row r="37">
      <c r="A37" s="43"/>
      <c r="B37" s="52" t="s">
        <v>44</v>
      </c>
      <c r="C37" s="53"/>
      <c r="D37" s="54" t="str">
        <f t="shared" si="1"/>
        <v>029</v>
      </c>
      <c r="E37" s="54">
        <f t="shared" si="2"/>
        <v>4</v>
      </c>
      <c r="F37" s="54">
        <f t="shared" si="3"/>
        <v>2</v>
      </c>
      <c r="G37" s="55" t="str">
        <f t="shared" si="4"/>
        <v>300302942</v>
      </c>
    </row>
    <row r="38">
      <c r="A38" s="43"/>
      <c r="B38" s="44"/>
      <c r="C38" s="45"/>
      <c r="D38" s="46" t="str">
        <f t="shared" si="1"/>
        <v>030</v>
      </c>
      <c r="E38" s="46">
        <f t="shared" si="2"/>
        <v>4</v>
      </c>
      <c r="F38" s="46">
        <f t="shared" si="3"/>
        <v>2</v>
      </c>
      <c r="G38" s="47" t="str">
        <f t="shared" si="4"/>
        <v>300303042</v>
      </c>
    </row>
    <row r="39">
      <c r="A39" s="43"/>
      <c r="B39" s="44"/>
      <c r="C39" s="45"/>
      <c r="D39" s="46" t="str">
        <f t="shared" si="1"/>
        <v>031</v>
      </c>
      <c r="E39" s="46">
        <f t="shared" si="2"/>
        <v>4</v>
      </c>
      <c r="F39" s="46">
        <f t="shared" si="3"/>
        <v>2</v>
      </c>
      <c r="G39" s="47" t="str">
        <f t="shared" si="4"/>
        <v>300303142</v>
      </c>
    </row>
    <row r="40">
      <c r="A40" s="56"/>
      <c r="B40" s="57"/>
      <c r="C40" s="58"/>
      <c r="D40" s="59" t="str">
        <f t="shared" si="1"/>
        <v>032</v>
      </c>
      <c r="E40" s="59">
        <f t="shared" si="2"/>
        <v>4</v>
      </c>
      <c r="F40" s="59">
        <f t="shared" si="3"/>
        <v>2</v>
      </c>
      <c r="G40" s="60" t="str">
        <f t="shared" si="4"/>
        <v>300303242</v>
      </c>
    </row>
    <row r="41">
      <c r="A41" s="38" t="s">
        <v>266</v>
      </c>
      <c r="B41" s="39" t="s">
        <v>43</v>
      </c>
      <c r="C41" s="62"/>
      <c r="D41" s="63" t="str">
        <f t="shared" si="1"/>
        <v>033</v>
      </c>
      <c r="E41" s="63">
        <f t="shared" si="2"/>
        <v>5</v>
      </c>
      <c r="F41" s="63">
        <f t="shared" si="3"/>
        <v>1</v>
      </c>
      <c r="G41" s="64" t="str">
        <f t="shared" si="4"/>
        <v>300303351</v>
      </c>
    </row>
    <row r="42">
      <c r="A42" s="43"/>
      <c r="B42" s="44"/>
      <c r="C42" s="45"/>
      <c r="D42" s="46" t="str">
        <f t="shared" si="1"/>
        <v>034</v>
      </c>
      <c r="E42" s="46">
        <f t="shared" si="2"/>
        <v>5</v>
      </c>
      <c r="F42" s="46">
        <f t="shared" si="3"/>
        <v>1</v>
      </c>
      <c r="G42" s="47" t="str">
        <f t="shared" si="4"/>
        <v>300303451</v>
      </c>
    </row>
    <row r="43">
      <c r="A43" s="43"/>
      <c r="B43" s="44"/>
      <c r="C43" s="45"/>
      <c r="D43" s="46" t="str">
        <f t="shared" si="1"/>
        <v>035</v>
      </c>
      <c r="E43" s="46">
        <f t="shared" si="2"/>
        <v>5</v>
      </c>
      <c r="F43" s="46">
        <f t="shared" si="3"/>
        <v>1</v>
      </c>
      <c r="G43" s="47" t="str">
        <f t="shared" si="4"/>
        <v>300303551</v>
      </c>
    </row>
    <row r="44">
      <c r="A44" s="43"/>
      <c r="B44" s="48"/>
      <c r="C44" s="49"/>
      <c r="D44" s="50" t="str">
        <f t="shared" si="1"/>
        <v>036</v>
      </c>
      <c r="E44" s="50">
        <f t="shared" si="2"/>
        <v>5</v>
      </c>
      <c r="F44" s="50">
        <f t="shared" si="3"/>
        <v>1</v>
      </c>
      <c r="G44" s="51" t="str">
        <f t="shared" si="4"/>
        <v>300303651</v>
      </c>
    </row>
    <row r="45">
      <c r="A45" s="43"/>
      <c r="B45" s="52" t="s">
        <v>44</v>
      </c>
      <c r="C45" s="53"/>
      <c r="D45" s="54" t="str">
        <f t="shared" si="1"/>
        <v>037</v>
      </c>
      <c r="E45" s="54">
        <f t="shared" si="2"/>
        <v>5</v>
      </c>
      <c r="F45" s="54">
        <f t="shared" si="3"/>
        <v>2</v>
      </c>
      <c r="G45" s="55" t="str">
        <f t="shared" si="4"/>
        <v>300303752</v>
      </c>
    </row>
    <row r="46">
      <c r="A46" s="43"/>
      <c r="B46" s="44"/>
      <c r="C46" s="45"/>
      <c r="D46" s="46" t="str">
        <f t="shared" si="1"/>
        <v>038</v>
      </c>
      <c r="E46" s="46">
        <f t="shared" si="2"/>
        <v>5</v>
      </c>
      <c r="F46" s="46">
        <f t="shared" si="3"/>
        <v>2</v>
      </c>
      <c r="G46" s="47" t="str">
        <f t="shared" si="4"/>
        <v>300303852</v>
      </c>
    </row>
    <row r="47">
      <c r="A47" s="43"/>
      <c r="B47" s="44"/>
      <c r="C47" s="45"/>
      <c r="D47" s="46" t="str">
        <f t="shared" si="1"/>
        <v>039</v>
      </c>
      <c r="E47" s="46">
        <f t="shared" si="2"/>
        <v>5</v>
      </c>
      <c r="F47" s="46">
        <f t="shared" si="3"/>
        <v>2</v>
      </c>
      <c r="G47" s="47" t="str">
        <f t="shared" si="4"/>
        <v>300303952</v>
      </c>
    </row>
    <row r="48">
      <c r="A48" s="56"/>
      <c r="B48" s="57"/>
      <c r="C48" s="58"/>
      <c r="D48" s="59" t="str">
        <f t="shared" si="1"/>
        <v>040</v>
      </c>
      <c r="E48" s="59">
        <f t="shared" si="2"/>
        <v>5</v>
      </c>
      <c r="F48" s="59">
        <f t="shared" si="3"/>
        <v>2</v>
      </c>
      <c r="G48" s="60" t="str">
        <f t="shared" si="4"/>
        <v>300304052</v>
      </c>
    </row>
    <row r="49">
      <c r="A49" s="38" t="s">
        <v>267</v>
      </c>
      <c r="B49" s="39" t="s">
        <v>43</v>
      </c>
      <c r="C49" s="62" t="s">
        <v>436</v>
      </c>
      <c r="D49" s="63" t="str">
        <f t="shared" si="1"/>
        <v>041</v>
      </c>
      <c r="E49" s="63">
        <f t="shared" si="2"/>
        <v>6</v>
      </c>
      <c r="F49" s="63">
        <f t="shared" si="3"/>
        <v>1</v>
      </c>
      <c r="G49" s="64" t="str">
        <f t="shared" si="4"/>
        <v>300304161</v>
      </c>
    </row>
    <row r="50">
      <c r="A50" s="43"/>
      <c r="B50" s="44"/>
      <c r="C50" s="45" t="s">
        <v>437</v>
      </c>
      <c r="D50" s="46" t="str">
        <f t="shared" si="1"/>
        <v>042</v>
      </c>
      <c r="E50" s="46">
        <f t="shared" si="2"/>
        <v>6</v>
      </c>
      <c r="F50" s="46">
        <f t="shared" si="3"/>
        <v>1</v>
      </c>
      <c r="G50" s="47" t="str">
        <f t="shared" si="4"/>
        <v>300304261</v>
      </c>
    </row>
    <row r="51">
      <c r="A51" s="43"/>
      <c r="B51" s="44"/>
      <c r="C51" s="45" t="s">
        <v>438</v>
      </c>
      <c r="D51" s="46" t="str">
        <f t="shared" si="1"/>
        <v>043</v>
      </c>
      <c r="E51" s="46">
        <f t="shared" si="2"/>
        <v>6</v>
      </c>
      <c r="F51" s="46">
        <f t="shared" si="3"/>
        <v>1</v>
      </c>
      <c r="G51" s="47" t="str">
        <f t="shared" si="4"/>
        <v>300304361</v>
      </c>
    </row>
    <row r="52">
      <c r="A52" s="43"/>
      <c r="B52" s="48"/>
      <c r="C52" s="49" t="s">
        <v>439</v>
      </c>
      <c r="D52" s="50" t="str">
        <f t="shared" si="1"/>
        <v>044</v>
      </c>
      <c r="E52" s="50">
        <f t="shared" si="2"/>
        <v>6</v>
      </c>
      <c r="F52" s="50">
        <f t="shared" si="3"/>
        <v>1</v>
      </c>
      <c r="G52" s="51" t="str">
        <f t="shared" si="4"/>
        <v>300304461</v>
      </c>
    </row>
    <row r="53">
      <c r="A53" s="43"/>
      <c r="B53" s="52" t="s">
        <v>44</v>
      </c>
      <c r="C53" s="53"/>
      <c r="D53" s="54" t="str">
        <f t="shared" si="1"/>
        <v>045</v>
      </c>
      <c r="E53" s="54">
        <f t="shared" si="2"/>
        <v>6</v>
      </c>
      <c r="F53" s="54">
        <f t="shared" si="3"/>
        <v>2</v>
      </c>
      <c r="G53" s="55" t="str">
        <f t="shared" si="4"/>
        <v>300304562</v>
      </c>
    </row>
    <row r="54">
      <c r="A54" s="43"/>
      <c r="B54" s="44"/>
      <c r="C54" s="45"/>
      <c r="D54" s="46" t="str">
        <f t="shared" si="1"/>
        <v>046</v>
      </c>
      <c r="E54" s="46">
        <f t="shared" si="2"/>
        <v>6</v>
      </c>
      <c r="F54" s="46">
        <f t="shared" si="3"/>
        <v>2</v>
      </c>
      <c r="G54" s="47" t="str">
        <f t="shared" si="4"/>
        <v>300304662</v>
      </c>
    </row>
    <row r="55">
      <c r="A55" s="43"/>
      <c r="B55" s="44"/>
      <c r="C55" s="45"/>
      <c r="D55" s="46" t="str">
        <f t="shared" si="1"/>
        <v>047</v>
      </c>
      <c r="E55" s="46">
        <f t="shared" si="2"/>
        <v>6</v>
      </c>
      <c r="F55" s="46">
        <f t="shared" si="3"/>
        <v>2</v>
      </c>
      <c r="G55" s="47" t="str">
        <f t="shared" si="4"/>
        <v>300304762</v>
      </c>
    </row>
    <row r="56">
      <c r="A56" s="56"/>
      <c r="B56" s="57"/>
      <c r="C56" s="58"/>
      <c r="D56" s="59" t="str">
        <f t="shared" si="1"/>
        <v>048</v>
      </c>
      <c r="E56" s="59">
        <f t="shared" si="2"/>
        <v>6</v>
      </c>
      <c r="F56" s="59">
        <f t="shared" si="3"/>
        <v>2</v>
      </c>
      <c r="G56" s="60" t="str">
        <f t="shared" si="4"/>
        <v>300304862</v>
      </c>
    </row>
    <row r="57">
      <c r="A57" s="65" t="s">
        <v>264</v>
      </c>
      <c r="B57" s="66"/>
      <c r="C57" s="91" t="s">
        <v>440</v>
      </c>
      <c r="D57" s="68" t="str">
        <f t="shared" si="1"/>
        <v>049</v>
      </c>
      <c r="E57" s="69">
        <f t="shared" ref="E57:E58" si="5">VLOOKUP($A57, $A$8:$E$56, 5)</f>
        <v>3</v>
      </c>
      <c r="F57" s="66"/>
      <c r="G57" s="70" t="str">
        <f t="shared" ref="G57:G64" si="6">CONCAT(CONCAT($C$2, D57), CONCAT(E57, 3))</f>
        <v>300304933</v>
      </c>
    </row>
    <row r="58">
      <c r="A58" s="126" t="s">
        <v>265</v>
      </c>
      <c r="B58" s="127"/>
      <c r="C58" s="132" t="s">
        <v>441</v>
      </c>
      <c r="D58" s="129" t="str">
        <f t="shared" si="1"/>
        <v>050</v>
      </c>
      <c r="E58" s="130">
        <f t="shared" si="5"/>
        <v>4</v>
      </c>
      <c r="F58" s="127"/>
      <c r="G58" s="131" t="str">
        <f t="shared" si="6"/>
        <v>300305043</v>
      </c>
    </row>
    <row r="59">
      <c r="A59" s="77" t="s">
        <v>37</v>
      </c>
      <c r="B59" s="78"/>
      <c r="C59" s="79"/>
      <c r="D59" s="80" t="str">
        <f t="shared" si="1"/>
        <v>051</v>
      </c>
      <c r="E59" s="81">
        <f t="shared" ref="E59:E64" si="7">VLOOKUP($A59, $A$7:$E$56, 5)</f>
        <v>5</v>
      </c>
      <c r="F59" s="78"/>
      <c r="G59" s="82" t="str">
        <f t="shared" si="6"/>
        <v>300305153</v>
      </c>
    </row>
    <row r="60">
      <c r="A60" s="126" t="s">
        <v>37</v>
      </c>
      <c r="B60" s="127"/>
      <c r="C60" s="132"/>
      <c r="D60" s="129" t="str">
        <f t="shared" si="1"/>
        <v>052</v>
      </c>
      <c r="E60" s="130">
        <f t="shared" si="7"/>
        <v>5</v>
      </c>
      <c r="F60" s="127"/>
      <c r="G60" s="131" t="str">
        <f t="shared" si="6"/>
        <v>300305253</v>
      </c>
    </row>
    <row r="61">
      <c r="A61" s="77" t="s">
        <v>37</v>
      </c>
      <c r="B61" s="78"/>
      <c r="C61" s="79"/>
      <c r="D61" s="80" t="str">
        <f t="shared" si="1"/>
        <v>053</v>
      </c>
      <c r="E61" s="81">
        <f t="shared" si="7"/>
        <v>5</v>
      </c>
      <c r="F61" s="78"/>
      <c r="G61" s="82" t="str">
        <f t="shared" si="6"/>
        <v>300305353</v>
      </c>
    </row>
    <row r="62">
      <c r="A62" s="126" t="s">
        <v>37</v>
      </c>
      <c r="B62" s="127"/>
      <c r="C62" s="128"/>
      <c r="D62" s="129" t="str">
        <f t="shared" si="1"/>
        <v>054</v>
      </c>
      <c r="E62" s="130">
        <f t="shared" si="7"/>
        <v>5</v>
      </c>
      <c r="F62" s="127"/>
      <c r="G62" s="131" t="str">
        <f t="shared" si="6"/>
        <v>300305453</v>
      </c>
    </row>
    <row r="63">
      <c r="A63" s="77" t="s">
        <v>37</v>
      </c>
      <c r="B63" s="78"/>
      <c r="C63" s="79"/>
      <c r="D63" s="80" t="str">
        <f t="shared" si="1"/>
        <v>055</v>
      </c>
      <c r="E63" s="81">
        <f t="shared" si="7"/>
        <v>5</v>
      </c>
      <c r="F63" s="78"/>
      <c r="G63" s="82" t="str">
        <f t="shared" si="6"/>
        <v>300305553</v>
      </c>
    </row>
    <row r="64">
      <c r="A64" s="133" t="s">
        <v>37</v>
      </c>
      <c r="B64" s="134"/>
      <c r="C64" s="135"/>
      <c r="D64" s="136" t="str">
        <f t="shared" si="1"/>
        <v>056</v>
      </c>
      <c r="E64" s="137">
        <f t="shared" si="7"/>
        <v>5</v>
      </c>
      <c r="F64" s="134"/>
      <c r="G64" s="138" t="str">
        <f t="shared" si="6"/>
        <v>300305653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A57:A64">
      <formula1>'Plato Academy Palm Harbor'!$A$8:$A$56</formula1>
    </dataValidation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5</v>
      </c>
    </row>
    <row r="2">
      <c r="A2" s="27" t="s">
        <v>32</v>
      </c>
      <c r="C2" s="28">
        <f>VLOOKUP($C$1, 'School IDs'!$A$2:$B$23, 2)</f>
        <v>1001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46</v>
      </c>
      <c r="E4" s="33" t="str">
        <f>IFERROR(__xludf.DUMMYFUNCTION("IFERROR(FILTER($G$9:$G$100, $C$9:$C$100=D4), ""NONE SELECTED"")"),"100101021")</f>
        <v>100101021</v>
      </c>
      <c r="F4" s="30"/>
      <c r="G4" s="31"/>
    </row>
    <row r="5">
      <c r="A5" s="34" t="s">
        <v>35</v>
      </c>
      <c r="B5" s="30"/>
      <c r="C5" s="31"/>
      <c r="D5" s="32" t="s">
        <v>47</v>
      </c>
      <c r="E5" s="33" t="str">
        <f>IFERROR(__xludf.DUMMYFUNCTION("IFERROR(FILTER($G$9:$G$100, $C$9:$C$100=D5), ""NONE SELECTED"")"),"100100512")</f>
        <v>100100512</v>
      </c>
      <c r="F5" s="30"/>
      <c r="G5" s="31"/>
    </row>
    <row r="6">
      <c r="A6" s="35" t="s">
        <v>36</v>
      </c>
      <c r="B6" s="30"/>
      <c r="C6" s="31"/>
      <c r="D6" s="32" t="s">
        <v>48</v>
      </c>
      <c r="E6" s="33" t="str">
        <f>IFERROR(__xludf.DUMMYFUNCTION("IFERROR(FILTER($G$9:$G$100, $C$9:$C$100=D6), ""NONE SELECTED"")"),"100100921")</f>
        <v>100100921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49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100100111</v>
      </c>
    </row>
    <row r="10">
      <c r="A10" s="43"/>
      <c r="B10" s="44"/>
      <c r="C10" s="45" t="s">
        <v>50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100100211</v>
      </c>
    </row>
    <row r="11">
      <c r="A11" s="43"/>
      <c r="B11" s="44"/>
      <c r="C11" s="45" t="s">
        <v>51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100100311</v>
      </c>
    </row>
    <row r="12">
      <c r="A12" s="43"/>
      <c r="B12" s="48"/>
      <c r="C12" s="49" t="s">
        <v>52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100100411</v>
      </c>
    </row>
    <row r="13">
      <c r="A13" s="43"/>
      <c r="B13" s="52" t="s">
        <v>44</v>
      </c>
      <c r="C13" s="53" t="s">
        <v>47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100100512</v>
      </c>
    </row>
    <row r="14">
      <c r="A14" s="43"/>
      <c r="B14" s="44"/>
      <c r="C14" s="45" t="s">
        <v>53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100100612</v>
      </c>
    </row>
    <row r="15">
      <c r="A15" s="43"/>
      <c r="B15" s="44"/>
      <c r="C15" s="45" t="s">
        <v>54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100100712</v>
      </c>
    </row>
    <row r="16">
      <c r="A16" s="56"/>
      <c r="B16" s="57"/>
      <c r="C16" s="58" t="s">
        <v>55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100100812</v>
      </c>
    </row>
    <row r="17">
      <c r="A17" s="38" t="s">
        <v>45</v>
      </c>
      <c r="B17" s="61" t="s">
        <v>43</v>
      </c>
      <c r="C17" s="62" t="s">
        <v>48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100100921</v>
      </c>
    </row>
    <row r="18">
      <c r="A18" s="43"/>
      <c r="B18" s="44"/>
      <c r="C18" s="45" t="s">
        <v>46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100101021</v>
      </c>
    </row>
    <row r="19">
      <c r="A19" s="43"/>
      <c r="B19" s="44"/>
      <c r="C19" s="45" t="s">
        <v>56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100101121</v>
      </c>
    </row>
    <row r="20">
      <c r="A20" s="43"/>
      <c r="B20" s="48"/>
      <c r="C20" s="49" t="s">
        <v>57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100101221</v>
      </c>
    </row>
    <row r="21">
      <c r="A21" s="43"/>
      <c r="B21" s="52" t="s">
        <v>44</v>
      </c>
      <c r="C21" s="53" t="s">
        <v>58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100101322</v>
      </c>
    </row>
    <row r="22">
      <c r="A22" s="43"/>
      <c r="B22" s="44"/>
      <c r="C22" s="45" t="s">
        <v>59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100101422</v>
      </c>
    </row>
    <row r="23">
      <c r="A23" s="43"/>
      <c r="B23" s="44"/>
      <c r="C23" s="45" t="s">
        <v>60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100101522</v>
      </c>
    </row>
    <row r="24">
      <c r="A24" s="56"/>
      <c r="B24" s="57"/>
      <c r="C24" s="58" t="s">
        <v>61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100101622</v>
      </c>
    </row>
    <row r="25">
      <c r="A25" s="65" t="s">
        <v>42</v>
      </c>
      <c r="B25" s="66"/>
      <c r="C25" s="91" t="s">
        <v>62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100101713</v>
      </c>
    </row>
    <row r="26">
      <c r="A26" s="71" t="s">
        <v>45</v>
      </c>
      <c r="B26" s="72"/>
      <c r="C26" s="83" t="s">
        <v>63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100101823</v>
      </c>
    </row>
    <row r="27">
      <c r="A27" s="77" t="s">
        <v>45</v>
      </c>
      <c r="B27" s="78"/>
      <c r="C27" s="92" t="s">
        <v>64</v>
      </c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100101923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100102023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100102123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100102223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100102323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100102423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'Brooker Creek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8</v>
      </c>
    </row>
    <row r="2">
      <c r="A2" s="27" t="s">
        <v>32</v>
      </c>
      <c r="C2" s="28">
        <f>VLOOKUP($C$1, 'School IDs'!$A$2:$B$23, 2)</f>
        <v>1002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65</v>
      </c>
      <c r="E4" s="33" t="str">
        <f>IFERROR(__xludf.DUMMYFUNCTION("IFERROR(FILTER($G$9:$G$100, $C$9:$C$100=D4), ""NONE SELECTED"")"),"100200512")</f>
        <v>100200512</v>
      </c>
      <c r="F4" s="30"/>
      <c r="G4" s="31"/>
    </row>
    <row r="5">
      <c r="A5" s="34" t="s">
        <v>35</v>
      </c>
      <c r="B5" s="30"/>
      <c r="C5" s="31"/>
      <c r="D5" s="32" t="s">
        <v>66</v>
      </c>
      <c r="E5" s="33" t="str">
        <f>IFERROR(__xludf.DUMMYFUNCTION("IFERROR(FILTER($G$9:$G$100, $C$9:$C$100=D5), ""NONE SELECTED"")"),"100200612")</f>
        <v>100200612</v>
      </c>
      <c r="F5" s="30"/>
      <c r="G5" s="31"/>
    </row>
    <row r="6">
      <c r="A6" s="35" t="s">
        <v>36</v>
      </c>
      <c r="B6" s="30"/>
      <c r="C6" s="31"/>
      <c r="D6" s="32" t="s">
        <v>67</v>
      </c>
      <c r="E6" s="33" t="str">
        <f>IFERROR(__xludf.DUMMYFUNCTION("IFERROR(FILTER($G$9:$G$100, $C$9:$C$100=D6), ""NONE SELECTED"")"),"100201221")</f>
        <v>100201221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68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100200111</v>
      </c>
    </row>
    <row r="10">
      <c r="A10" s="43"/>
      <c r="B10" s="44"/>
      <c r="C10" s="45" t="s">
        <v>69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100200211</v>
      </c>
    </row>
    <row r="11">
      <c r="A11" s="43"/>
      <c r="B11" s="44"/>
      <c r="C11" s="45" t="s">
        <v>70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100200311</v>
      </c>
    </row>
    <row r="12">
      <c r="A12" s="43"/>
      <c r="B12" s="48"/>
      <c r="C12" s="49" t="s">
        <v>71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100200411</v>
      </c>
    </row>
    <row r="13">
      <c r="A13" s="43"/>
      <c r="B13" s="52" t="s">
        <v>44</v>
      </c>
      <c r="C13" s="53" t="s">
        <v>65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100200512</v>
      </c>
    </row>
    <row r="14">
      <c r="A14" s="43"/>
      <c r="B14" s="44"/>
      <c r="C14" s="45" t="s">
        <v>66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100200612</v>
      </c>
    </row>
    <row r="15">
      <c r="A15" s="43"/>
      <c r="B15" s="44"/>
      <c r="C15" s="45" t="s">
        <v>72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100200712</v>
      </c>
    </row>
    <row r="16">
      <c r="A16" s="56"/>
      <c r="B16" s="57"/>
      <c r="C16" s="58" t="s">
        <v>73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100200812</v>
      </c>
    </row>
    <row r="17">
      <c r="A17" s="38" t="s">
        <v>45</v>
      </c>
      <c r="B17" s="61" t="s">
        <v>43</v>
      </c>
      <c r="C17" s="62" t="s">
        <v>74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100200921</v>
      </c>
    </row>
    <row r="18">
      <c r="A18" s="43"/>
      <c r="B18" s="44"/>
      <c r="C18" s="45" t="s">
        <v>75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100201021</v>
      </c>
    </row>
    <row r="19">
      <c r="A19" s="43"/>
      <c r="B19" s="44"/>
      <c r="C19" s="45" t="s">
        <v>76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100201121</v>
      </c>
    </row>
    <row r="20">
      <c r="A20" s="43"/>
      <c r="B20" s="48"/>
      <c r="C20" s="49" t="s">
        <v>67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100201221</v>
      </c>
    </row>
    <row r="21">
      <c r="A21" s="43"/>
      <c r="B21" s="52" t="s">
        <v>44</v>
      </c>
      <c r="C21" s="53" t="s">
        <v>77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100201322</v>
      </c>
    </row>
    <row r="22">
      <c r="A22" s="43"/>
      <c r="B22" s="44"/>
      <c r="C22" s="45" t="s">
        <v>78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100201422</v>
      </c>
    </row>
    <row r="23">
      <c r="A23" s="43"/>
      <c r="B23" s="44"/>
      <c r="C23" s="45" t="s">
        <v>79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100201522</v>
      </c>
    </row>
    <row r="24">
      <c r="A24" s="56"/>
      <c r="B24" s="57"/>
      <c r="C24" s="58" t="s">
        <v>80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100201622</v>
      </c>
    </row>
    <row r="25">
      <c r="A25" s="65" t="s">
        <v>45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100201723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100201823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100201923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100202023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100202123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100202223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100202323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100202423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'Curtis Fundamental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11</v>
      </c>
    </row>
    <row r="2">
      <c r="A2" s="27" t="s">
        <v>32</v>
      </c>
      <c r="C2" s="28">
        <f>VLOOKUP($C$1, 'School IDs'!$A$2:$B$23, 2)</f>
        <v>1003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81</v>
      </c>
      <c r="E4" s="33" t="str">
        <f>IFERROR(__xludf.DUMMYFUNCTION("IFERROR(FILTER($G$9:$G$100, $C$9:$C$100=D4), ""NONE SELECTED"")"),"100301823")</f>
        <v>100301823</v>
      </c>
      <c r="F4" s="30"/>
      <c r="G4" s="31"/>
    </row>
    <row r="5">
      <c r="A5" s="34" t="s">
        <v>35</v>
      </c>
      <c r="B5" s="30"/>
      <c r="C5" s="31"/>
      <c r="D5" s="32" t="s">
        <v>34</v>
      </c>
      <c r="E5" s="33" t="str">
        <f>IFERROR(__xludf.DUMMYFUNCTION("IFERROR(FILTER($G$9:$G$100, $C$9:$C$100=D5), ""NONE SELECTED"")"),"NONE SELECTED")</f>
        <v>NONE SELECTED</v>
      </c>
      <c r="F5" s="30"/>
      <c r="G5" s="31"/>
    </row>
    <row r="6">
      <c r="A6" s="35" t="s">
        <v>36</v>
      </c>
      <c r="B6" s="30"/>
      <c r="C6" s="31"/>
      <c r="D6" s="32" t="s">
        <v>82</v>
      </c>
      <c r="E6" s="33" t="str">
        <f>IFERROR(__xludf.DUMMYFUNCTION("IFERROR(FILTER($G$9:$G$100, $C$9:$C$100=D6), ""NONE SELECTED"")"),"100300921")</f>
        <v>100300921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83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100300111</v>
      </c>
    </row>
    <row r="10">
      <c r="A10" s="43"/>
      <c r="B10" s="44"/>
      <c r="C10" s="45" t="s">
        <v>84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100300211</v>
      </c>
    </row>
    <row r="11">
      <c r="A11" s="43"/>
      <c r="B11" s="44"/>
      <c r="C11" s="45" t="s">
        <v>85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100300311</v>
      </c>
    </row>
    <row r="12">
      <c r="A12" s="43"/>
      <c r="B12" s="48"/>
      <c r="C12" s="49" t="s">
        <v>86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100300411</v>
      </c>
    </row>
    <row r="13">
      <c r="A13" s="43"/>
      <c r="B13" s="52" t="s">
        <v>44</v>
      </c>
      <c r="C13" s="53" t="s">
        <v>87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100300512</v>
      </c>
    </row>
    <row r="14">
      <c r="A14" s="43"/>
      <c r="B14" s="44"/>
      <c r="C14" s="45" t="s">
        <v>88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100300612</v>
      </c>
    </row>
    <row r="15">
      <c r="A15" s="43"/>
      <c r="B15" s="44"/>
      <c r="C15" s="45" t="s">
        <v>89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100300712</v>
      </c>
    </row>
    <row r="16">
      <c r="A16" s="56"/>
      <c r="B16" s="57"/>
      <c r="C16" s="58" t="s">
        <v>90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100300812</v>
      </c>
    </row>
    <row r="17">
      <c r="A17" s="38" t="s">
        <v>45</v>
      </c>
      <c r="B17" s="61" t="s">
        <v>43</v>
      </c>
      <c r="C17" s="62" t="s">
        <v>82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100300921</v>
      </c>
    </row>
    <row r="18">
      <c r="A18" s="43"/>
      <c r="B18" s="44"/>
      <c r="C18" s="45" t="s">
        <v>91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100301021</v>
      </c>
    </row>
    <row r="19">
      <c r="A19" s="43"/>
      <c r="B19" s="44"/>
      <c r="C19" s="45" t="s">
        <v>92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100301121</v>
      </c>
    </row>
    <row r="20">
      <c r="A20" s="43"/>
      <c r="B20" s="48"/>
      <c r="C20" s="49" t="s">
        <v>93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100301221</v>
      </c>
    </row>
    <row r="21">
      <c r="A21" s="43"/>
      <c r="B21" s="52" t="s">
        <v>44</v>
      </c>
      <c r="C21" s="53" t="s">
        <v>94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100301322</v>
      </c>
    </row>
    <row r="22">
      <c r="A22" s="43"/>
      <c r="B22" s="44"/>
      <c r="C22" s="45" t="s">
        <v>95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100301422</v>
      </c>
    </row>
    <row r="23">
      <c r="A23" s="43"/>
      <c r="B23" s="44"/>
      <c r="C23" s="45" t="s">
        <v>96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100301522</v>
      </c>
    </row>
    <row r="24">
      <c r="A24" s="56"/>
      <c r="B24" s="57"/>
      <c r="C24" s="58" t="s">
        <v>97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100301622</v>
      </c>
    </row>
    <row r="25">
      <c r="A25" s="65" t="s">
        <v>42</v>
      </c>
      <c r="B25" s="66"/>
      <c r="C25" s="91" t="s">
        <v>98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100301713</v>
      </c>
    </row>
    <row r="26">
      <c r="A26" s="71" t="s">
        <v>45</v>
      </c>
      <c r="B26" s="72"/>
      <c r="C26" s="83" t="s">
        <v>81</v>
      </c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100301823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100301923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100302023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100302123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100302223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100302323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100302423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'Cypress Woods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14</v>
      </c>
    </row>
    <row r="2">
      <c r="A2" s="27" t="s">
        <v>32</v>
      </c>
      <c r="C2" s="28">
        <f>VLOOKUP($C$1, 'School IDs'!$A$2:$B$23, 2)</f>
        <v>1004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99</v>
      </c>
      <c r="E4" s="33" t="str">
        <f>IFERROR(__xludf.DUMMYFUNCTION("IFERROR(FILTER($G$9:$G$100, $C$9:$C$100=D4), ""NONE SELECTED"")"),"100400411")</f>
        <v>100400411</v>
      </c>
      <c r="F4" s="30"/>
      <c r="G4" s="31"/>
    </row>
    <row r="5">
      <c r="A5" s="34" t="s">
        <v>35</v>
      </c>
      <c r="B5" s="30"/>
      <c r="C5" s="31"/>
      <c r="D5" s="32" t="s">
        <v>100</v>
      </c>
      <c r="E5" s="33" t="str">
        <f>IFERROR(__xludf.DUMMYFUNCTION("IFERROR(FILTER($G$9:$G$100, $C$9:$C$100=D5), ""NONE SELECTED"")"),"100400612")</f>
        <v>100400612</v>
      </c>
      <c r="F5" s="30"/>
      <c r="G5" s="31"/>
    </row>
    <row r="6">
      <c r="A6" s="35" t="s">
        <v>36</v>
      </c>
      <c r="B6" s="30"/>
      <c r="C6" s="31"/>
      <c r="D6" s="32" t="s">
        <v>101</v>
      </c>
      <c r="E6" s="33" t="str">
        <f>IFERROR(__xludf.DUMMYFUNCTION("IFERROR(FILTER($G$9:$G$100, $C$9:$C$100=D6), ""NONE SELECTED"")"),"100401422")</f>
        <v>100401422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102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100400111</v>
      </c>
    </row>
    <row r="10">
      <c r="A10" s="43"/>
      <c r="B10" s="44"/>
      <c r="C10" s="45" t="s">
        <v>103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100400211</v>
      </c>
    </row>
    <row r="11">
      <c r="A11" s="43"/>
      <c r="B11" s="44"/>
      <c r="C11" s="45" t="s">
        <v>104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100400311</v>
      </c>
    </row>
    <row r="12">
      <c r="A12" s="43"/>
      <c r="B12" s="48"/>
      <c r="C12" s="49" t="s">
        <v>99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100400411</v>
      </c>
    </row>
    <row r="13">
      <c r="A13" s="43"/>
      <c r="B13" s="52" t="s">
        <v>44</v>
      </c>
      <c r="C13" s="53" t="s">
        <v>105</v>
      </c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100400512</v>
      </c>
    </row>
    <row r="14">
      <c r="A14" s="43"/>
      <c r="B14" s="44"/>
      <c r="C14" s="45" t="s">
        <v>100</v>
      </c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100400612</v>
      </c>
    </row>
    <row r="15">
      <c r="A15" s="43"/>
      <c r="B15" s="44"/>
      <c r="C15" s="45" t="s">
        <v>106</v>
      </c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100400712</v>
      </c>
    </row>
    <row r="16">
      <c r="A16" s="56"/>
      <c r="B16" s="57"/>
      <c r="C16" s="58" t="s">
        <v>107</v>
      </c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100400812</v>
      </c>
    </row>
    <row r="17">
      <c r="A17" s="38" t="s">
        <v>45</v>
      </c>
      <c r="B17" s="61" t="s">
        <v>43</v>
      </c>
      <c r="C17" s="62" t="s">
        <v>108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100400921</v>
      </c>
    </row>
    <row r="18">
      <c r="A18" s="43"/>
      <c r="B18" s="44"/>
      <c r="C18" s="45" t="s">
        <v>109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100401021</v>
      </c>
    </row>
    <row r="19">
      <c r="A19" s="43"/>
      <c r="B19" s="44"/>
      <c r="C19" s="45" t="s">
        <v>110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100401121</v>
      </c>
    </row>
    <row r="20">
      <c r="A20" s="43"/>
      <c r="B20" s="48"/>
      <c r="C20" s="49" t="s">
        <v>111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100401221</v>
      </c>
    </row>
    <row r="21">
      <c r="A21" s="43"/>
      <c r="B21" s="52" t="s">
        <v>44</v>
      </c>
      <c r="C21" s="53" t="s">
        <v>112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100401322</v>
      </c>
    </row>
    <row r="22">
      <c r="A22" s="43"/>
      <c r="B22" s="44"/>
      <c r="C22" s="45" t="s">
        <v>101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100401422</v>
      </c>
    </row>
    <row r="23">
      <c r="A23" s="43"/>
      <c r="B23" s="44"/>
      <c r="C23" s="45" t="s">
        <v>113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100401522</v>
      </c>
    </row>
    <row r="24">
      <c r="A24" s="56"/>
      <c r="B24" s="57"/>
      <c r="C24" s="58" t="s">
        <v>114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100401622</v>
      </c>
    </row>
    <row r="25">
      <c r="A25" s="65" t="s">
        <v>45</v>
      </c>
      <c r="B25" s="66"/>
      <c r="C25" s="91" t="s">
        <v>115</v>
      </c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100401723</v>
      </c>
    </row>
    <row r="26">
      <c r="A26" s="71" t="s">
        <v>42</v>
      </c>
      <c r="B26" s="72"/>
      <c r="C26" s="83" t="s">
        <v>116</v>
      </c>
      <c r="D26" s="74" t="str">
        <f t="shared" si="1"/>
        <v>018</v>
      </c>
      <c r="E26" s="75">
        <f t="shared" si="5"/>
        <v>1</v>
      </c>
      <c r="F26" s="72"/>
      <c r="G26" s="76" t="str">
        <f t="shared" si="6"/>
        <v>100401813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100401923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100402023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100402123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100402223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100402323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100402423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'Elisa Nelson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16</v>
      </c>
    </row>
    <row r="2">
      <c r="A2" s="27" t="s">
        <v>32</v>
      </c>
      <c r="C2" s="28">
        <f>VLOOKUP($C$1, 'School IDs'!$A$2:$B$23, 2)</f>
        <v>1005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117</v>
      </c>
      <c r="E4" s="33" t="str">
        <f>IFERROR(__xludf.DUMMYFUNCTION("IFERROR(FILTER($G$9:$G$100, $C$9:$C$100=D4), ""NONE SELECTED"")"),"100500411")</f>
        <v>100500411</v>
      </c>
      <c r="F4" s="30"/>
      <c r="G4" s="31"/>
    </row>
    <row r="5">
      <c r="A5" s="34" t="s">
        <v>35</v>
      </c>
      <c r="B5" s="30"/>
      <c r="C5" s="31"/>
      <c r="D5" s="32" t="s">
        <v>118</v>
      </c>
      <c r="E5" s="33" t="str">
        <f>IFERROR(__xludf.DUMMYFUNCTION("IFERROR(FILTER($G$9:$G$100, $C$9:$C$100=D5), ""NONE SELECTED"")"),"100500211")</f>
        <v>100500211</v>
      </c>
      <c r="F5" s="30"/>
      <c r="G5" s="31"/>
    </row>
    <row r="6">
      <c r="A6" s="35" t="s">
        <v>36</v>
      </c>
      <c r="B6" s="30"/>
      <c r="C6" s="31"/>
      <c r="D6" s="32" t="s">
        <v>119</v>
      </c>
      <c r="E6" s="33" t="str">
        <f>IFERROR(__xludf.DUMMYFUNCTION("IFERROR(FILTER($G$9:$G$100, $C$9:$C$100=D6), ""NONE SELECTED"")"),"100500111")</f>
        <v>100500111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119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100500111</v>
      </c>
    </row>
    <row r="10">
      <c r="A10" s="43"/>
      <c r="B10" s="44"/>
      <c r="C10" s="45" t="s">
        <v>118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100500211</v>
      </c>
    </row>
    <row r="11">
      <c r="A11" s="43"/>
      <c r="B11" s="44"/>
      <c r="C11" s="45" t="s">
        <v>120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100500311</v>
      </c>
    </row>
    <row r="12">
      <c r="A12" s="43"/>
      <c r="B12" s="48"/>
      <c r="C12" s="49" t="s">
        <v>117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100500411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100500512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100500612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100500712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100500812</v>
      </c>
    </row>
    <row r="17">
      <c r="A17" s="38" t="s">
        <v>45</v>
      </c>
      <c r="B17" s="61" t="s">
        <v>43</v>
      </c>
      <c r="C17" s="62"/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100500921</v>
      </c>
    </row>
    <row r="18">
      <c r="A18" s="43"/>
      <c r="B18" s="44"/>
      <c r="C18" s="45"/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100501021</v>
      </c>
    </row>
    <row r="19">
      <c r="A19" s="43"/>
      <c r="B19" s="44"/>
      <c r="C19" s="45"/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100501121</v>
      </c>
    </row>
    <row r="20">
      <c r="A20" s="43"/>
      <c r="B20" s="48"/>
      <c r="C20" s="49"/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100501221</v>
      </c>
    </row>
    <row r="21">
      <c r="A21" s="43"/>
      <c r="B21" s="52" t="s">
        <v>44</v>
      </c>
      <c r="C21" s="53"/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100501322</v>
      </c>
    </row>
    <row r="22">
      <c r="A22" s="43"/>
      <c r="B22" s="44"/>
      <c r="C22" s="45"/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100501422</v>
      </c>
    </row>
    <row r="23">
      <c r="A23" s="43"/>
      <c r="B23" s="44"/>
      <c r="C23" s="45"/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100501522</v>
      </c>
    </row>
    <row r="24">
      <c r="A24" s="56"/>
      <c r="B24" s="57"/>
      <c r="C24" s="58"/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100501622</v>
      </c>
    </row>
    <row r="25">
      <c r="A25" s="65" t="s">
        <v>37</v>
      </c>
      <c r="B25" s="66"/>
      <c r="C25" s="67"/>
      <c r="D25" s="68" t="str">
        <f t="shared" si="1"/>
        <v>017</v>
      </c>
      <c r="E25" s="69">
        <f t="shared" ref="E25:E26" si="5">VLOOKUP($A25, $A$8:$E$24, 5)</f>
        <v>2</v>
      </c>
      <c r="F25" s="66"/>
      <c r="G25" s="70" t="str">
        <f t="shared" ref="G25:G32" si="6">CONCAT(CONCAT($C$2, D25), CONCAT(E25, 3))</f>
        <v>100501723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100501823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100501923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100502023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100502123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100502223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100502323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100502423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'Garrison-Jones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7" t="s">
        <v>31</v>
      </c>
      <c r="C1" s="28" t="s">
        <v>18</v>
      </c>
    </row>
    <row r="2">
      <c r="A2" s="27" t="s">
        <v>32</v>
      </c>
      <c r="C2" s="28">
        <f>VLOOKUP($C$1, 'School IDs'!$A$2:$B$23, 2)</f>
        <v>1006</v>
      </c>
    </row>
    <row r="3">
      <c r="A3" s="27"/>
      <c r="B3" s="27"/>
      <c r="C3" s="27"/>
    </row>
    <row r="4">
      <c r="A4" s="29" t="s">
        <v>33</v>
      </c>
      <c r="B4" s="30"/>
      <c r="C4" s="31"/>
      <c r="D4" s="32" t="s">
        <v>121</v>
      </c>
      <c r="E4" s="33" t="str">
        <f>IFERROR(__xludf.DUMMYFUNCTION("IFERROR(FILTER($G$9:$G$100, $C$9:$C$100=D4), ""NONE SELECTED"")"),"100600921")</f>
        <v>100600921</v>
      </c>
      <c r="F4" s="30"/>
      <c r="G4" s="31"/>
    </row>
    <row r="5">
      <c r="A5" s="34" t="s">
        <v>35</v>
      </c>
      <c r="B5" s="30"/>
      <c r="C5" s="31"/>
      <c r="D5" s="32" t="s">
        <v>122</v>
      </c>
      <c r="E5" s="33" t="str">
        <f>IFERROR(__xludf.DUMMYFUNCTION("IFERROR(FILTER($G$9:$G$100, $C$9:$C$100=D5), ""NONE SELECTED"")"),"100600311")</f>
        <v>100600311</v>
      </c>
      <c r="F5" s="30"/>
      <c r="G5" s="31"/>
    </row>
    <row r="6">
      <c r="A6" s="35" t="s">
        <v>36</v>
      </c>
      <c r="B6" s="30"/>
      <c r="C6" s="31"/>
      <c r="D6" s="32" t="s">
        <v>121</v>
      </c>
      <c r="E6" s="33" t="str">
        <f>IFERROR(__xludf.DUMMYFUNCTION("IFERROR(FILTER($G$9:$G$100, $C$9:$C$100=D6), ""NONE SELECTED"")"),"100600921")</f>
        <v>100600921</v>
      </c>
      <c r="F6" s="30"/>
      <c r="G6" s="31"/>
    </row>
    <row r="7">
      <c r="A7" s="27"/>
      <c r="B7" s="27"/>
      <c r="C7" s="27"/>
    </row>
    <row r="8">
      <c r="A8" s="36" t="s">
        <v>37</v>
      </c>
      <c r="B8" s="37" t="s">
        <v>38</v>
      </c>
      <c r="C8" s="37" t="s">
        <v>34</v>
      </c>
      <c r="D8" s="37" t="s">
        <v>39</v>
      </c>
      <c r="E8" s="37" t="s">
        <v>40</v>
      </c>
      <c r="F8" s="37" t="s">
        <v>38</v>
      </c>
      <c r="G8" s="37" t="s">
        <v>41</v>
      </c>
    </row>
    <row r="9">
      <c r="A9" s="38" t="s">
        <v>42</v>
      </c>
      <c r="B9" s="39" t="s">
        <v>43</v>
      </c>
      <c r="C9" s="40" t="s">
        <v>123</v>
      </c>
      <c r="D9" s="41" t="str">
        <f t="shared" ref="D9:D32" si="1">TEXT(ROW(D9)-ROW($D$9)+1, "000")</f>
        <v>001</v>
      </c>
      <c r="E9" s="41">
        <f t="shared" ref="E9:E24" si="2">_xlfn.FLOOR.MATH(ROW(D9)-ROW($D$9), 8)/8 + 1</f>
        <v>1</v>
      </c>
      <c r="F9" s="41">
        <f t="shared" ref="F9:F24" si="3">MOD(_xlfn.FLOOR.MATH(ROW(D9)-ROW($D$9), 4)/4, 2) + 1</f>
        <v>1</v>
      </c>
      <c r="G9" s="42" t="str">
        <f t="shared" ref="G9:G24" si="4">CONCAT(CONCAT($C$2, D9), CONCAT(E9, F9))</f>
        <v>100600111</v>
      </c>
    </row>
    <row r="10">
      <c r="A10" s="43"/>
      <c r="B10" s="44"/>
      <c r="C10" s="45" t="s">
        <v>124</v>
      </c>
      <c r="D10" s="46" t="str">
        <f t="shared" si="1"/>
        <v>002</v>
      </c>
      <c r="E10" s="46">
        <f t="shared" si="2"/>
        <v>1</v>
      </c>
      <c r="F10" s="46">
        <f t="shared" si="3"/>
        <v>1</v>
      </c>
      <c r="G10" s="47" t="str">
        <f t="shared" si="4"/>
        <v>100600211</v>
      </c>
    </row>
    <row r="11">
      <c r="A11" s="43"/>
      <c r="B11" s="44"/>
      <c r="C11" s="45" t="s">
        <v>122</v>
      </c>
      <c r="D11" s="46" t="str">
        <f t="shared" si="1"/>
        <v>003</v>
      </c>
      <c r="E11" s="46">
        <f t="shared" si="2"/>
        <v>1</v>
      </c>
      <c r="F11" s="46">
        <f t="shared" si="3"/>
        <v>1</v>
      </c>
      <c r="G11" s="47" t="str">
        <f t="shared" si="4"/>
        <v>100600311</v>
      </c>
    </row>
    <row r="12">
      <c r="A12" s="43"/>
      <c r="B12" s="48"/>
      <c r="C12" s="49" t="s">
        <v>125</v>
      </c>
      <c r="D12" s="50" t="str">
        <f t="shared" si="1"/>
        <v>004</v>
      </c>
      <c r="E12" s="50">
        <f t="shared" si="2"/>
        <v>1</v>
      </c>
      <c r="F12" s="50">
        <f t="shared" si="3"/>
        <v>1</v>
      </c>
      <c r="G12" s="51" t="str">
        <f t="shared" si="4"/>
        <v>100600411</v>
      </c>
    </row>
    <row r="13">
      <c r="A13" s="43"/>
      <c r="B13" s="52" t="s">
        <v>44</v>
      </c>
      <c r="C13" s="53"/>
      <c r="D13" s="54" t="str">
        <f t="shared" si="1"/>
        <v>005</v>
      </c>
      <c r="E13" s="54">
        <f t="shared" si="2"/>
        <v>1</v>
      </c>
      <c r="F13" s="54">
        <f t="shared" si="3"/>
        <v>2</v>
      </c>
      <c r="G13" s="55" t="str">
        <f t="shared" si="4"/>
        <v>100600512</v>
      </c>
    </row>
    <row r="14">
      <c r="A14" s="43"/>
      <c r="B14" s="44"/>
      <c r="C14" s="45"/>
      <c r="D14" s="46" t="str">
        <f t="shared" si="1"/>
        <v>006</v>
      </c>
      <c r="E14" s="46">
        <f t="shared" si="2"/>
        <v>1</v>
      </c>
      <c r="F14" s="46">
        <f t="shared" si="3"/>
        <v>2</v>
      </c>
      <c r="G14" s="47" t="str">
        <f t="shared" si="4"/>
        <v>100600612</v>
      </c>
    </row>
    <row r="15">
      <c r="A15" s="43"/>
      <c r="B15" s="44"/>
      <c r="C15" s="45"/>
      <c r="D15" s="46" t="str">
        <f t="shared" si="1"/>
        <v>007</v>
      </c>
      <c r="E15" s="46">
        <f t="shared" si="2"/>
        <v>1</v>
      </c>
      <c r="F15" s="46">
        <f t="shared" si="3"/>
        <v>2</v>
      </c>
      <c r="G15" s="47" t="str">
        <f t="shared" si="4"/>
        <v>100600712</v>
      </c>
    </row>
    <row r="16">
      <c r="A16" s="56"/>
      <c r="B16" s="57"/>
      <c r="C16" s="58"/>
      <c r="D16" s="59" t="str">
        <f t="shared" si="1"/>
        <v>008</v>
      </c>
      <c r="E16" s="59">
        <f t="shared" si="2"/>
        <v>1</v>
      </c>
      <c r="F16" s="59">
        <f t="shared" si="3"/>
        <v>2</v>
      </c>
      <c r="G16" s="60" t="str">
        <f t="shared" si="4"/>
        <v>100600812</v>
      </c>
    </row>
    <row r="17">
      <c r="A17" s="38" t="s">
        <v>45</v>
      </c>
      <c r="B17" s="61" t="s">
        <v>43</v>
      </c>
      <c r="C17" s="62" t="s">
        <v>121</v>
      </c>
      <c r="D17" s="63" t="str">
        <f t="shared" si="1"/>
        <v>009</v>
      </c>
      <c r="E17" s="63">
        <f t="shared" si="2"/>
        <v>2</v>
      </c>
      <c r="F17" s="63">
        <f t="shared" si="3"/>
        <v>1</v>
      </c>
      <c r="G17" s="64" t="str">
        <f t="shared" si="4"/>
        <v>100600921</v>
      </c>
    </row>
    <row r="18">
      <c r="A18" s="43"/>
      <c r="B18" s="44"/>
      <c r="C18" s="45" t="s">
        <v>126</v>
      </c>
      <c r="D18" s="46" t="str">
        <f t="shared" si="1"/>
        <v>010</v>
      </c>
      <c r="E18" s="46">
        <f t="shared" si="2"/>
        <v>2</v>
      </c>
      <c r="F18" s="46">
        <f t="shared" si="3"/>
        <v>1</v>
      </c>
      <c r="G18" s="47" t="str">
        <f t="shared" si="4"/>
        <v>100601021</v>
      </c>
    </row>
    <row r="19">
      <c r="A19" s="43"/>
      <c r="B19" s="44"/>
      <c r="C19" s="45" t="s">
        <v>127</v>
      </c>
      <c r="D19" s="46" t="str">
        <f t="shared" si="1"/>
        <v>011</v>
      </c>
      <c r="E19" s="46">
        <f t="shared" si="2"/>
        <v>2</v>
      </c>
      <c r="F19" s="46">
        <f t="shared" si="3"/>
        <v>1</v>
      </c>
      <c r="G19" s="47" t="str">
        <f t="shared" si="4"/>
        <v>100601121</v>
      </c>
    </row>
    <row r="20">
      <c r="A20" s="43"/>
      <c r="B20" s="48"/>
      <c r="C20" s="49" t="s">
        <v>128</v>
      </c>
      <c r="D20" s="50" t="str">
        <f t="shared" si="1"/>
        <v>012</v>
      </c>
      <c r="E20" s="50">
        <f t="shared" si="2"/>
        <v>2</v>
      </c>
      <c r="F20" s="50">
        <f t="shared" si="3"/>
        <v>1</v>
      </c>
      <c r="G20" s="51" t="str">
        <f t="shared" si="4"/>
        <v>100601221</v>
      </c>
    </row>
    <row r="21">
      <c r="A21" s="43"/>
      <c r="B21" s="52" t="s">
        <v>44</v>
      </c>
      <c r="C21" s="53" t="s">
        <v>129</v>
      </c>
      <c r="D21" s="54" t="str">
        <f t="shared" si="1"/>
        <v>013</v>
      </c>
      <c r="E21" s="54">
        <f t="shared" si="2"/>
        <v>2</v>
      </c>
      <c r="F21" s="54">
        <f t="shared" si="3"/>
        <v>2</v>
      </c>
      <c r="G21" s="55" t="str">
        <f t="shared" si="4"/>
        <v>100601322</v>
      </c>
    </row>
    <row r="22">
      <c r="A22" s="43"/>
      <c r="B22" s="44"/>
      <c r="C22" s="45" t="s">
        <v>130</v>
      </c>
      <c r="D22" s="46" t="str">
        <f t="shared" si="1"/>
        <v>014</v>
      </c>
      <c r="E22" s="46">
        <f t="shared" si="2"/>
        <v>2</v>
      </c>
      <c r="F22" s="46">
        <f t="shared" si="3"/>
        <v>2</v>
      </c>
      <c r="G22" s="47" t="str">
        <f t="shared" si="4"/>
        <v>100601422</v>
      </c>
    </row>
    <row r="23">
      <c r="A23" s="43"/>
      <c r="B23" s="44"/>
      <c r="C23" s="45" t="s">
        <v>131</v>
      </c>
      <c r="D23" s="46" t="str">
        <f t="shared" si="1"/>
        <v>015</v>
      </c>
      <c r="E23" s="46">
        <f t="shared" si="2"/>
        <v>2</v>
      </c>
      <c r="F23" s="46">
        <f t="shared" si="3"/>
        <v>2</v>
      </c>
      <c r="G23" s="47" t="str">
        <f t="shared" si="4"/>
        <v>100601522</v>
      </c>
    </row>
    <row r="24">
      <c r="A24" s="56"/>
      <c r="B24" s="57"/>
      <c r="C24" s="58" t="s">
        <v>132</v>
      </c>
      <c r="D24" s="59" t="str">
        <f t="shared" si="1"/>
        <v>016</v>
      </c>
      <c r="E24" s="59">
        <f t="shared" si="2"/>
        <v>2</v>
      </c>
      <c r="F24" s="59">
        <f t="shared" si="3"/>
        <v>2</v>
      </c>
      <c r="G24" s="60" t="str">
        <f t="shared" si="4"/>
        <v>100601622</v>
      </c>
    </row>
    <row r="25">
      <c r="A25" s="65" t="s">
        <v>42</v>
      </c>
      <c r="B25" s="66"/>
      <c r="C25" s="91" t="s">
        <v>133</v>
      </c>
      <c r="D25" s="68" t="str">
        <f t="shared" si="1"/>
        <v>017</v>
      </c>
      <c r="E25" s="69">
        <f t="shared" ref="E25:E26" si="5">VLOOKUP($A25, $A$8:$E$24, 5)</f>
        <v>1</v>
      </c>
      <c r="F25" s="66"/>
      <c r="G25" s="70" t="str">
        <f t="shared" ref="G25:G32" si="6">CONCAT(CONCAT($C$2, D25), CONCAT(E25, 3))</f>
        <v>100601713</v>
      </c>
    </row>
    <row r="26">
      <c r="A26" s="71" t="s">
        <v>37</v>
      </c>
      <c r="B26" s="72"/>
      <c r="C26" s="73"/>
      <c r="D26" s="74" t="str">
        <f t="shared" si="1"/>
        <v>018</v>
      </c>
      <c r="E26" s="75">
        <f t="shared" si="5"/>
        <v>2</v>
      </c>
      <c r="F26" s="72"/>
      <c r="G26" s="76" t="str">
        <f t="shared" si="6"/>
        <v>100601823</v>
      </c>
    </row>
    <row r="27">
      <c r="A27" s="77" t="s">
        <v>37</v>
      </c>
      <c r="B27" s="78"/>
      <c r="C27" s="79"/>
      <c r="D27" s="80" t="str">
        <f t="shared" si="1"/>
        <v>019</v>
      </c>
      <c r="E27" s="81">
        <f t="shared" ref="E27:E31" si="7">VLOOKUP($A27, $A$7:$E$24, 5)</f>
        <v>2</v>
      </c>
      <c r="F27" s="78"/>
      <c r="G27" s="82" t="str">
        <f t="shared" si="6"/>
        <v>100601923</v>
      </c>
    </row>
    <row r="28">
      <c r="A28" s="71" t="s">
        <v>37</v>
      </c>
      <c r="B28" s="72"/>
      <c r="C28" s="83"/>
      <c r="D28" s="74" t="str">
        <f t="shared" si="1"/>
        <v>020</v>
      </c>
      <c r="E28" s="75">
        <f t="shared" si="7"/>
        <v>2</v>
      </c>
      <c r="F28" s="72"/>
      <c r="G28" s="76" t="str">
        <f t="shared" si="6"/>
        <v>100602023</v>
      </c>
    </row>
    <row r="29">
      <c r="A29" s="77" t="s">
        <v>37</v>
      </c>
      <c r="B29" s="78"/>
      <c r="C29" s="79"/>
      <c r="D29" s="80" t="str">
        <f t="shared" si="1"/>
        <v>021</v>
      </c>
      <c r="E29" s="81">
        <f t="shared" si="7"/>
        <v>2</v>
      </c>
      <c r="F29" s="78"/>
      <c r="G29" s="82" t="str">
        <f t="shared" si="6"/>
        <v>100602123</v>
      </c>
    </row>
    <row r="30">
      <c r="A30" s="71" t="s">
        <v>37</v>
      </c>
      <c r="B30" s="72"/>
      <c r="C30" s="73"/>
      <c r="D30" s="74" t="str">
        <f t="shared" si="1"/>
        <v>022</v>
      </c>
      <c r="E30" s="75">
        <f t="shared" si="7"/>
        <v>2</v>
      </c>
      <c r="F30" s="72"/>
      <c r="G30" s="76" t="str">
        <f t="shared" si="6"/>
        <v>100602223</v>
      </c>
    </row>
    <row r="31">
      <c r="A31" s="77" t="s">
        <v>37</v>
      </c>
      <c r="B31" s="78"/>
      <c r="C31" s="79"/>
      <c r="D31" s="80" t="str">
        <f t="shared" si="1"/>
        <v>023</v>
      </c>
      <c r="E31" s="81">
        <f t="shared" si="7"/>
        <v>2</v>
      </c>
      <c r="F31" s="78"/>
      <c r="G31" s="82" t="str">
        <f t="shared" si="6"/>
        <v>100602323</v>
      </c>
    </row>
    <row r="32">
      <c r="A32" s="84" t="s">
        <v>37</v>
      </c>
      <c r="B32" s="85"/>
      <c r="C32" s="86"/>
      <c r="D32" s="87" t="str">
        <f t="shared" si="1"/>
        <v>024</v>
      </c>
      <c r="E32" s="88">
        <f>VLOOKUP($A32, $A$8:$E$24, 5)</f>
        <v>2</v>
      </c>
      <c r="F32" s="85"/>
      <c r="G32" s="89" t="str">
        <f t="shared" si="6"/>
        <v>100602423</v>
      </c>
    </row>
    <row r="33">
      <c r="A33" s="90"/>
      <c r="B33" s="90"/>
    </row>
    <row r="34">
      <c r="A34" s="90"/>
      <c r="B34" s="90"/>
    </row>
    <row r="35">
      <c r="A35" s="90"/>
      <c r="B35" s="90"/>
    </row>
    <row r="36">
      <c r="A36" s="90"/>
      <c r="B36" s="90"/>
    </row>
    <row r="37">
      <c r="A37" s="90"/>
      <c r="B37" s="90"/>
    </row>
    <row r="38">
      <c r="A38" s="90"/>
      <c r="B38" s="90"/>
    </row>
    <row r="39">
      <c r="A39" s="90"/>
      <c r="B39" s="90"/>
    </row>
    <row r="40">
      <c r="A40" s="90"/>
      <c r="B40" s="90"/>
    </row>
    <row r="41">
      <c r="A41" s="90"/>
      <c r="B41" s="90"/>
    </row>
    <row r="42">
      <c r="A42" s="90"/>
      <c r="B42" s="90"/>
    </row>
    <row r="43">
      <c r="A43" s="90"/>
      <c r="B43" s="90"/>
    </row>
    <row r="44">
      <c r="A44" s="90"/>
      <c r="B44" s="90"/>
    </row>
    <row r="45">
      <c r="A45" s="90"/>
      <c r="B45" s="90"/>
    </row>
    <row r="46">
      <c r="A46" s="90"/>
      <c r="B46" s="90"/>
    </row>
    <row r="47">
      <c r="A47" s="90"/>
      <c r="B47" s="90"/>
    </row>
    <row r="48">
      <c r="A48" s="90"/>
      <c r="B48" s="90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'High Point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